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nse\Desktop\Wall Street Training Asia\IBPE\엑셀교재제작\종합\엑셀\"/>
    </mc:Choice>
  </mc:AlternateContent>
  <xr:revisionPtr revIDLastSave="0" documentId="13_ncr:1_{F551A396-0759-4618-810A-A7017E3C0F00}" xr6:coauthVersionLast="47" xr6:coauthVersionMax="47" xr10:uidLastSave="{00000000-0000-0000-0000-000000000000}"/>
  <bookViews>
    <workbookView xWindow="28692" yWindow="-108" windowWidth="29016" windowHeight="15816" xr2:uid="{D1AFBE83-C7AE-4391-8EBB-96520C72EAFA}"/>
  </bookViews>
  <sheets>
    <sheet name="Cover" sheetId="9" r:id="rId1"/>
    <sheet name="함수 (실습)" sheetId="12" r:id="rId2"/>
    <sheet name="함수 (정답)" sheetId="10" r:id="rId3"/>
    <sheet name="Research 오류 해결 전 (실습)" sheetId="11" r:id="rId4"/>
    <sheet name="Research 오류 해결 전 (정답)" sheetId="4" r:id="rId5"/>
    <sheet name="Research 오류 해결 후 (실습)" sheetId="13" r:id="rId6"/>
    <sheet name="Research 오류 해결 후 (정답)" sheetId="8" r:id="rId7"/>
    <sheet name="OR + AND" sheetId="7" state="hidden" r:id="rId8"/>
  </sheets>
  <externalReferences>
    <externalReference r:id="rId9"/>
    <externalReference r:id="rId10"/>
    <externalReference r:id="rId11"/>
  </externalReferences>
  <definedNames>
    <definedName name="__FDS_HYPERLINK_TOGGLE_STATE__" hidden="1">"ON"</definedName>
    <definedName name="_Order1" hidden="1">0</definedName>
    <definedName name="CIQWBGuid" localSheetId="0" hidden="1">"e2734957-fdc8-4b05-a470-5f478324b605"</definedName>
    <definedName name="CIQWBGuid" hidden="1">"2d4df18e-8b28-4624-8cd8-17c543f4fe3d"</definedName>
    <definedName name="CIQWBInfo" hidden="1">"{ ""CIQVersion"":""9.45.614.5792"" }"</definedName>
    <definedName name="Circ" localSheetId="0">Cover!$K$6</definedName>
    <definedName name="circ">#REF!</definedName>
    <definedName name="Date">[1]WACC!$H$1</definedName>
    <definedName name="Days">#REF!</definedName>
    <definedName name="GVKey">""</definedName>
    <definedName name="IQ_ADDIN" hidden="1">"AUTO"</definedName>
    <definedName name="IQ_AVG_PRICE_TARGET" hidden="1">"c82"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EPS_PRIMARY_EST" hidden="1">"c2226"</definedName>
    <definedName name="IQ_EPS_PRIMARY_HIGH_EST" hidden="1">"c2228"</definedName>
    <definedName name="IQ_EPS_PRIMARY_LOW_EST" hidden="1">"c2229"</definedName>
    <definedName name="IQ_EPS_PRIMARY_MEDIAN_EST" hidden="1">"c2227"</definedName>
    <definedName name="IQ_EPS_PRIMARY_NUM_EST" hidden="1">"c2230"</definedName>
    <definedName name="IQ_EPS_PRIMARY_STDDEV_EST" hidden="1">"c2231"</definedName>
    <definedName name="IQ_EST_ACT_EPS_PRIMARY" hidden="1">"c2232"</definedName>
    <definedName name="IQ_EST_EPS_SURPRISE" hidden="1">"c1635"</definedName>
    <definedName name="IQ_EST_NUM_BUY_REUT" hidden="1">"c3869"</definedName>
    <definedName name="IQ_EST_NUM_BUY_THOM" hidden="1">"c5165"</definedName>
    <definedName name="IQ_EST_NUM_HOLD_REUT" hidden="1">"c3871"</definedName>
    <definedName name="IQ_EST_NUM_HOLD_THOM" hidden="1">"c5167"</definedName>
    <definedName name="IQ_EST_NUM_OUTPERFORM_REUT" hidden="1">"c3870"</definedName>
    <definedName name="IQ_EST_NUM_OUTPERFORM_THOM" hidden="1">"c5166"</definedName>
    <definedName name="IQ_EST_NUM_SELL_REUT" hidden="1">"c3873"</definedName>
    <definedName name="IQ_EST_NUM_SELL_THOM" hidden="1">"c5169"</definedName>
    <definedName name="IQ_EST_NUM_UNDERPERFORM_REUT" hidden="1">"c3872"</definedName>
    <definedName name="IQ_EST_NUM_UNDERPERFORM_THOM" hidden="1">"c5168"</definedName>
    <definedName name="IQ_EXPENSE_CODE_" hidden="1">"test"</definedName>
    <definedName name="IQ_FH">100000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"06/19/2018 03:31:41"</definedName>
    <definedName name="IQ_NAMES_REVISION_DATE_" hidden="1">"03/09/2021 01:19:21"</definedName>
    <definedName name="IQ_NAV_ACT_OR_EST" hidden="1">"c2225"</definedName>
    <definedName name="IQ_NTM">6000</definedName>
    <definedName name="IQ_OG_TOTAL_OIL_PRODUCTON" hidden="1">"c2059"</definedName>
    <definedName name="IQ_OPENED55" hidden="1">1</definedName>
    <definedName name="IQ_PRIMARY_EPS_TYPE_THOM" hidden="1">"c5297"</definedName>
    <definedName name="IQ_QTD" hidden="1">750000</definedName>
    <definedName name="IQ_SHAREOUTSTANDING" hidden="1">"c1347"</definedName>
    <definedName name="IQ_TODAY" hidden="1">0</definedName>
    <definedName name="IQ_TOTAL_PENSION_OBLIGATION" hidden="1">"c1292"</definedName>
    <definedName name="IQ_WEEK">50000</definedName>
    <definedName name="IQ_YTD">3000</definedName>
    <definedName name="IQ_YTDMONTH" hidden="1">130000</definedName>
    <definedName name="IQRCapitalStructureDetailsV13" hidden="1">'[2]Capital Structure Details'!$V$14:$V$25</definedName>
    <definedName name="IQRCapitalStructureDetailsV31" hidden="1">'[2]Capital Structure Details'!$V$32:$V$43</definedName>
    <definedName name="IQRIncomeStatementAJ11" hidden="1">'[2]Income Statement'!$AJ$12</definedName>
    <definedName name="IQRIncomeStatementAP11" hidden="1">'[2]Income Statement'!$AP$12</definedName>
    <definedName name="IQRInput1C10" hidden="1">#REF!</definedName>
    <definedName name="IQRInput1C11" hidden="1">#REF!</definedName>
    <definedName name="IQRInput1C14" hidden="1">#REF!</definedName>
    <definedName name="IQRInput1D10" hidden="1">#REF!</definedName>
    <definedName name="IQRInputC14" hidden="1">#REF!</definedName>
    <definedName name="IQRInputC9" hidden="1">#REF!</definedName>
    <definedName name="IQRInputTabC14" hidden="1">#REF!</definedName>
    <definedName name="IQRInputTabC15" hidden="1">#REF!</definedName>
    <definedName name="IQRInputTabC9" hidden="1">#REF!</definedName>
    <definedName name="IQRWACCAnalysisBB10" hidden="1">#REF!</definedName>
    <definedName name="IQRWACCAnalysisBC10" hidden="1">#REF!</definedName>
    <definedName name="IQRWACCAnalysisBF10" hidden="1">#REF!</definedName>
    <definedName name="IQRWACCAnalysisBH10" hidden="1">#REF!</definedName>
    <definedName name="IQRWACCAnalysisBJ10" hidden="1">#REF!</definedName>
    <definedName name="IQRWACCAnalysisBK10" hidden="1">#REF!</definedName>
    <definedName name="IQRWACCAnalysisBL10" hidden="1">#REF!</definedName>
    <definedName name="IQRWACCAnalysisBM10" hidden="1">#REF!</definedName>
    <definedName name="IQRWACCAnalysisBN10" hidden="1">#REF!</definedName>
    <definedName name="IQRWACCAnalysisBO10" hidden="1">#REF!</definedName>
    <definedName name="IQRWACCAnalysisBP10" hidden="1">#REF!</definedName>
    <definedName name="IQRWACCAnalysisBQ10" hidden="1">#REF!</definedName>
    <definedName name="IQRWACCAnalysisBR10" hidden="1">#REF!</definedName>
    <definedName name="IQRWACCAnalysisBS10" hidden="1">#REF!</definedName>
    <definedName name="IQRWACCAnalysisBT10" hidden="1">#REF!</definedName>
    <definedName name="IQRWACCAnalysisBU10" hidden="1">#REF!</definedName>
    <definedName name="IQRWACCAnalysisBV10" hidden="1">#REF!</definedName>
    <definedName name="IQRWACCAnalysisBW10" hidden="1">#REF!</definedName>
    <definedName name="IQRWACCAnalysisBX10" hidden="1">#REF!</definedName>
    <definedName name="IQRWACCAnalysisBY10" hidden="1">#REF!</definedName>
    <definedName name="IQRWACCAnalysisBZ10" hidden="1">#REF!</definedName>
    <definedName name="IQRWACCAnalysisCA10" hidden="1">#REF!</definedName>
    <definedName name="IQRWACCAnalysisCB10" hidden="1">#REF!</definedName>
    <definedName name="IQRWACCAnalysisCC10" hidden="1">#REF!</definedName>
    <definedName name="IQRWACCAnalysisCD10" hidden="1">#REF!</definedName>
    <definedName name="List">'[1]Input Tab'!$AD$15:$AD$19</definedName>
    <definedName name="ListOffset" hidden="1">1</definedName>
    <definedName name="o" localSheetId="0" hidden="1">{#N/A,#N/A,FALSE,"New Depr Sch-150% DB";#N/A,#N/A,FALSE,"Cash Flows RLP";#N/A,#N/A,FALSE,"IRR";#N/A,#N/A,FALSE,"Proforma IS";#N/A,#N/A,FALSE,"Assumptions"}</definedName>
    <definedName name="o" hidden="1">{#N/A,#N/A,FALSE,"New Depr Sch-150% DB";#N/A,#N/A,FALSE,"Cash Flows RLP";#N/A,#N/A,FALSE,"IRR";#N/A,#N/A,FALSE,"Proforma IS";#N/A,#N/A,FALSE,"Assumptions"}</definedName>
    <definedName name="_xlnm.Print_Area" localSheetId="0">Cover!$A$1:$N$27</definedName>
    <definedName name="SPSet">"current"</definedName>
    <definedName name="SPWS_WBID">"D37EBD5C-BA90-4B94-B2F1-78539D014FA9"</definedName>
    <definedName name="wrn.Basic._.Report." localSheetId="0" hidden="1">{#N/A,#N/A,FALSE,"New Depr Sch-150% DB";#N/A,#N/A,FALSE,"Cash Flows RLP";#N/A,#N/A,FALSE,"IRR";#N/A,#N/A,FALSE,"Proforma IS";#N/A,#N/A,FALSE,"Assumptions"}</definedName>
    <definedName name="wrn.Basic._.Report." hidden="1">{#N/A,#N/A,FALSE,"New Depr Sch-150% DB";#N/A,#N/A,FALSE,"Cash Flows RLP";#N/A,#N/A,FALSE,"IRR";#N/A,#N/A,FALSE,"Proforma IS";#N/A,#N/A,FALSE,"Assumptions"}</definedName>
    <definedName name="wrn.clientcopy." localSheetId="0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plete._.Report." localSheetId="0" hidden="1">{#N/A,#N/A,FALSE,"Assumptions";#N/A,#N/A,FALSE,"Proforma IS";#N/A,#N/A,FALSE,"Cash Flows RLP";#N/A,#N/A,FALSE,"IRR";#N/A,#N/A,FALSE,"New Depr Sch-150% DB";#N/A,#N/A,FALSE,"Comments"}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filecopy." localSheetId="0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print." localSheetId="0" hidden="1">{#N/A,#N/A,FALSE,"Japan 2003";#N/A,#N/A,FALSE,"Sheet2"}</definedName>
    <definedName name="wrn.print." hidden="1">{#N/A,#N/A,FALSE,"Japan 2003";#N/A,#N/A,FALSE,"Sheet2"}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9" l="1"/>
  <c r="D18" i="9"/>
  <c r="D26" i="9"/>
  <c r="D24" i="9"/>
  <c r="D23" i="9"/>
  <c r="D22" i="9"/>
  <c r="D21" i="9"/>
  <c r="D20" i="9"/>
  <c r="D17" i="9"/>
  <c r="D16" i="9"/>
  <c r="D15" i="9"/>
  <c r="D14" i="9"/>
  <c r="D13" i="9"/>
  <c r="D25" i="9"/>
  <c r="D11" i="9"/>
  <c r="D12" i="9"/>
  <c r="D10" i="9"/>
  <c r="D9" i="9"/>
  <c r="D8" i="9"/>
  <c r="M309" i="13"/>
  <c r="L309" i="13"/>
  <c r="K309" i="13"/>
  <c r="H309" i="13"/>
  <c r="H308" i="13"/>
  <c r="L306" i="13"/>
  <c r="K306" i="13" s="1"/>
  <c r="J306" i="13" s="1"/>
  <c r="I306" i="13"/>
  <c r="H306" i="13" s="1"/>
  <c r="J292" i="13"/>
  <c r="K292" i="13" s="1"/>
  <c r="L292" i="13" s="1"/>
  <c r="M292" i="13" s="1"/>
  <c r="N292" i="13" s="1"/>
  <c r="H289" i="13"/>
  <c r="H288" i="13"/>
  <c r="H287" i="13"/>
  <c r="H286" i="13"/>
  <c r="H284" i="13"/>
  <c r="H283" i="13"/>
  <c r="H282" i="13"/>
  <c r="H281" i="13"/>
  <c r="J280" i="13"/>
  <c r="K280" i="13" s="1"/>
  <c r="L280" i="13" s="1"/>
  <c r="M280" i="13" s="1"/>
  <c r="N280" i="13" s="1"/>
  <c r="N278" i="13"/>
  <c r="M277" i="13"/>
  <c r="L277" i="13"/>
  <c r="H275" i="13"/>
  <c r="H274" i="13"/>
  <c r="H273" i="13"/>
  <c r="N277" i="13"/>
  <c r="M278" i="13"/>
  <c r="L278" i="13"/>
  <c r="K277" i="13"/>
  <c r="J277" i="13"/>
  <c r="I277" i="13"/>
  <c r="H272" i="13"/>
  <c r="J266" i="13"/>
  <c r="K266" i="13" s="1"/>
  <c r="L266" i="13" s="1"/>
  <c r="M266" i="13" s="1"/>
  <c r="N266" i="13" s="1"/>
  <c r="H261" i="13"/>
  <c r="H260" i="13"/>
  <c r="H259" i="13"/>
  <c r="H258" i="13"/>
  <c r="J251" i="13"/>
  <c r="K251" i="13" s="1"/>
  <c r="L251" i="13" s="1"/>
  <c r="M251" i="13" s="1"/>
  <c r="N251" i="13" s="1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J154" i="13"/>
  <c r="CN107" i="13"/>
  <c r="CM107" i="13"/>
  <c r="CL107" i="13"/>
  <c r="CK107" i="13"/>
  <c r="CJ107" i="13"/>
  <c r="CI107" i="13"/>
  <c r="CH107" i="13"/>
  <c r="CG107" i="13"/>
  <c r="CF107" i="13"/>
  <c r="CE107" i="13"/>
  <c r="CD107" i="13"/>
  <c r="CC107" i="13"/>
  <c r="BY107" i="13"/>
  <c r="BS107" i="13"/>
  <c r="BM107" i="13"/>
  <c r="BG107" i="13"/>
  <c r="BA107" i="13"/>
  <c r="AU107" i="13"/>
  <c r="AO107" i="13"/>
  <c r="AI107" i="13"/>
  <c r="AC107" i="13"/>
  <c r="W107" i="13"/>
  <c r="Q107" i="13"/>
  <c r="K107" i="13"/>
  <c r="CC106" i="13"/>
  <c r="CB100" i="13"/>
  <c r="CA100" i="13"/>
  <c r="BZ100" i="13"/>
  <c r="BX100" i="13"/>
  <c r="BW100" i="13"/>
  <c r="BV100" i="13"/>
  <c r="BU100" i="13"/>
  <c r="BT100" i="13"/>
  <c r="BR100" i="13"/>
  <c r="BQ100" i="13"/>
  <c r="BP100" i="13"/>
  <c r="BO100" i="13"/>
  <c r="BN100" i="13"/>
  <c r="BL100" i="13"/>
  <c r="BK100" i="13"/>
  <c r="BJ100" i="13"/>
  <c r="BI100" i="13"/>
  <c r="BH100" i="13"/>
  <c r="BF100" i="13"/>
  <c r="BE100" i="13"/>
  <c r="BD100" i="13"/>
  <c r="BC100" i="13"/>
  <c r="BB100" i="13"/>
  <c r="AZ100" i="13"/>
  <c r="AY100" i="13"/>
  <c r="AX100" i="13"/>
  <c r="AW100" i="13"/>
  <c r="AV100" i="13"/>
  <c r="AT100" i="13"/>
  <c r="AS100" i="13"/>
  <c r="AR100" i="13"/>
  <c r="AQ100" i="13"/>
  <c r="AP100" i="13"/>
  <c r="AN100" i="13"/>
  <c r="AM100" i="13"/>
  <c r="AL100" i="13"/>
  <c r="AK100" i="13"/>
  <c r="AJ100" i="13"/>
  <c r="AH100" i="13"/>
  <c r="AG100" i="13"/>
  <c r="AF100" i="13"/>
  <c r="AE100" i="13"/>
  <c r="AD100" i="13"/>
  <c r="AB100" i="13"/>
  <c r="AA100" i="13"/>
  <c r="Z100" i="13"/>
  <c r="Y100" i="13"/>
  <c r="X100" i="13"/>
  <c r="V100" i="13"/>
  <c r="U100" i="13"/>
  <c r="T100" i="13"/>
  <c r="S100" i="13"/>
  <c r="R100" i="13"/>
  <c r="P100" i="13"/>
  <c r="O100" i="13"/>
  <c r="N100" i="13"/>
  <c r="M100" i="13"/>
  <c r="L100" i="13"/>
  <c r="J100" i="13"/>
  <c r="I100" i="13"/>
  <c r="H100" i="13"/>
  <c r="CB99" i="13"/>
  <c r="CA99" i="13"/>
  <c r="BZ99" i="13"/>
  <c r="BX99" i="13"/>
  <c r="BW99" i="13"/>
  <c r="BV99" i="13"/>
  <c r="BU99" i="13"/>
  <c r="BT99" i="13"/>
  <c r="BR99" i="13"/>
  <c r="BQ99" i="13"/>
  <c r="BP99" i="13"/>
  <c r="BO99" i="13"/>
  <c r="BN99" i="13"/>
  <c r="BL99" i="13"/>
  <c r="BK99" i="13"/>
  <c r="BJ99" i="13"/>
  <c r="BI99" i="13"/>
  <c r="BH99" i="13"/>
  <c r="BF99" i="13"/>
  <c r="BE99" i="13"/>
  <c r="BD99" i="13"/>
  <c r="BC99" i="13"/>
  <c r="BB99" i="13"/>
  <c r="AZ99" i="13"/>
  <c r="AY99" i="13"/>
  <c r="AX99" i="13"/>
  <c r="AW99" i="13"/>
  <c r="AV99" i="13"/>
  <c r="AT99" i="13"/>
  <c r="AS99" i="13"/>
  <c r="AR99" i="13"/>
  <c r="AQ99" i="13"/>
  <c r="AP99" i="13"/>
  <c r="AN99" i="13"/>
  <c r="AM99" i="13"/>
  <c r="AL99" i="13"/>
  <c r="AK99" i="13"/>
  <c r="AJ99" i="13"/>
  <c r="AH99" i="13"/>
  <c r="AG99" i="13"/>
  <c r="AF99" i="13"/>
  <c r="AE99" i="13"/>
  <c r="AD99" i="13"/>
  <c r="AB99" i="13"/>
  <c r="AA99" i="13"/>
  <c r="Z99" i="13"/>
  <c r="Y99" i="13"/>
  <c r="X99" i="13"/>
  <c r="V99" i="13"/>
  <c r="U99" i="13"/>
  <c r="T99" i="13"/>
  <c r="S99" i="13"/>
  <c r="R99" i="13"/>
  <c r="P99" i="13"/>
  <c r="O99" i="13"/>
  <c r="N99" i="13"/>
  <c r="M99" i="13"/>
  <c r="L99" i="13"/>
  <c r="J99" i="13"/>
  <c r="I99" i="13"/>
  <c r="H99" i="13"/>
  <c r="CB98" i="13"/>
  <c r="CA98" i="13"/>
  <c r="BZ98" i="13"/>
  <c r="BX98" i="13"/>
  <c r="BW98" i="13"/>
  <c r="BV98" i="13"/>
  <c r="BU98" i="13"/>
  <c r="BT98" i="13"/>
  <c r="BR98" i="13"/>
  <c r="BQ98" i="13"/>
  <c r="BP98" i="13"/>
  <c r="BO98" i="13"/>
  <c r="BN98" i="13"/>
  <c r="BL98" i="13"/>
  <c r="BK98" i="13"/>
  <c r="BJ98" i="13"/>
  <c r="BI98" i="13"/>
  <c r="BH98" i="13"/>
  <c r="BF98" i="13"/>
  <c r="BE98" i="13"/>
  <c r="BD98" i="13"/>
  <c r="BC98" i="13"/>
  <c r="BB98" i="13"/>
  <c r="AZ98" i="13"/>
  <c r="AY98" i="13"/>
  <c r="AX98" i="13"/>
  <c r="AW98" i="13"/>
  <c r="AV98" i="13"/>
  <c r="AT98" i="13"/>
  <c r="AS98" i="13"/>
  <c r="AR98" i="13"/>
  <c r="AQ98" i="13"/>
  <c r="AP98" i="13"/>
  <c r="AN98" i="13"/>
  <c r="AM98" i="13"/>
  <c r="AL98" i="13"/>
  <c r="AK98" i="13"/>
  <c r="AJ98" i="13"/>
  <c r="AH98" i="13"/>
  <c r="AG98" i="13"/>
  <c r="AF98" i="13"/>
  <c r="AE98" i="13"/>
  <c r="AD98" i="13"/>
  <c r="AB98" i="13"/>
  <c r="AA98" i="13"/>
  <c r="Z98" i="13"/>
  <c r="Y98" i="13"/>
  <c r="X98" i="13"/>
  <c r="V98" i="13"/>
  <c r="U98" i="13"/>
  <c r="T98" i="13"/>
  <c r="S98" i="13"/>
  <c r="R98" i="13"/>
  <c r="P98" i="13"/>
  <c r="O98" i="13"/>
  <c r="N98" i="13"/>
  <c r="M98" i="13"/>
  <c r="L98" i="13"/>
  <c r="J98" i="13"/>
  <c r="I98" i="13"/>
  <c r="H98" i="13"/>
  <c r="CB97" i="13"/>
  <c r="CA97" i="13"/>
  <c r="BZ97" i="13"/>
  <c r="BX97" i="13"/>
  <c r="BW97" i="13"/>
  <c r="BV97" i="13"/>
  <c r="BU97" i="13"/>
  <c r="BT97" i="13"/>
  <c r="BR97" i="13"/>
  <c r="BQ97" i="13"/>
  <c r="BP97" i="13"/>
  <c r="BO97" i="13"/>
  <c r="BN97" i="13"/>
  <c r="BL97" i="13"/>
  <c r="BK97" i="13"/>
  <c r="BJ97" i="13"/>
  <c r="BI97" i="13"/>
  <c r="BH97" i="13"/>
  <c r="BF97" i="13"/>
  <c r="BE97" i="13"/>
  <c r="BD97" i="13"/>
  <c r="BC97" i="13"/>
  <c r="BB97" i="13"/>
  <c r="AZ97" i="13"/>
  <c r="AY97" i="13"/>
  <c r="AX97" i="13"/>
  <c r="AW97" i="13"/>
  <c r="AV97" i="13"/>
  <c r="AT97" i="13"/>
  <c r="AS97" i="13"/>
  <c r="AR97" i="13"/>
  <c r="AQ97" i="13"/>
  <c r="AP97" i="13"/>
  <c r="AN97" i="13"/>
  <c r="AM97" i="13"/>
  <c r="AL97" i="13"/>
  <c r="AK97" i="13"/>
  <c r="AJ97" i="13"/>
  <c r="AH97" i="13"/>
  <c r="AG97" i="13"/>
  <c r="AF97" i="13"/>
  <c r="AE97" i="13"/>
  <c r="AD97" i="13"/>
  <c r="AB97" i="13"/>
  <c r="AA97" i="13"/>
  <c r="Z97" i="13"/>
  <c r="Y97" i="13"/>
  <c r="X97" i="13"/>
  <c r="V97" i="13"/>
  <c r="U97" i="13"/>
  <c r="T97" i="13"/>
  <c r="S97" i="13"/>
  <c r="R97" i="13"/>
  <c r="P97" i="13"/>
  <c r="O97" i="13"/>
  <c r="N97" i="13"/>
  <c r="M97" i="13"/>
  <c r="L97" i="13"/>
  <c r="J97" i="13"/>
  <c r="I97" i="13"/>
  <c r="H97" i="13"/>
  <c r="CB96" i="13"/>
  <c r="CA96" i="13"/>
  <c r="BZ96" i="13"/>
  <c r="BX96" i="13"/>
  <c r="BW96" i="13"/>
  <c r="BV96" i="13"/>
  <c r="BU96" i="13"/>
  <c r="BT96" i="13"/>
  <c r="BR96" i="13"/>
  <c r="BQ96" i="13"/>
  <c r="BP96" i="13"/>
  <c r="BO96" i="13"/>
  <c r="BN96" i="13"/>
  <c r="BL96" i="13"/>
  <c r="BK96" i="13"/>
  <c r="BJ96" i="13"/>
  <c r="BI96" i="13"/>
  <c r="BH96" i="13"/>
  <c r="BF96" i="13"/>
  <c r="BE96" i="13"/>
  <c r="BD96" i="13"/>
  <c r="BC96" i="13"/>
  <c r="BB96" i="13"/>
  <c r="AZ96" i="13"/>
  <c r="AY96" i="13"/>
  <c r="AX96" i="13"/>
  <c r="AW96" i="13"/>
  <c r="AV96" i="13"/>
  <c r="AT96" i="13"/>
  <c r="AS96" i="13"/>
  <c r="AR96" i="13"/>
  <c r="AQ96" i="13"/>
  <c r="AP96" i="13"/>
  <c r="AN96" i="13"/>
  <c r="AM96" i="13"/>
  <c r="AL96" i="13"/>
  <c r="AK96" i="13"/>
  <c r="AJ96" i="13"/>
  <c r="AH96" i="13"/>
  <c r="AG96" i="13"/>
  <c r="AF96" i="13"/>
  <c r="AE96" i="13"/>
  <c r="AD96" i="13"/>
  <c r="AB96" i="13"/>
  <c r="AA96" i="13"/>
  <c r="Z96" i="13"/>
  <c r="Y96" i="13"/>
  <c r="X96" i="13"/>
  <c r="V96" i="13"/>
  <c r="U96" i="13"/>
  <c r="T96" i="13"/>
  <c r="S96" i="13"/>
  <c r="R96" i="13"/>
  <c r="P96" i="13"/>
  <c r="O96" i="13"/>
  <c r="N96" i="13"/>
  <c r="M96" i="13"/>
  <c r="L96" i="13"/>
  <c r="J96" i="13"/>
  <c r="I96" i="13"/>
  <c r="H96" i="13"/>
  <c r="CB95" i="13"/>
  <c r="CA95" i="13"/>
  <c r="BZ95" i="13"/>
  <c r="BX95" i="13"/>
  <c r="BW95" i="13"/>
  <c r="BV95" i="13"/>
  <c r="BU95" i="13"/>
  <c r="BT95" i="13"/>
  <c r="BR95" i="13"/>
  <c r="BQ95" i="13"/>
  <c r="BP95" i="13"/>
  <c r="BO95" i="13"/>
  <c r="BN95" i="13"/>
  <c r="BL95" i="13"/>
  <c r="BK95" i="13"/>
  <c r="BJ95" i="13"/>
  <c r="BI95" i="13"/>
  <c r="BH95" i="13"/>
  <c r="BF95" i="13"/>
  <c r="BE95" i="13"/>
  <c r="BD95" i="13"/>
  <c r="BC95" i="13"/>
  <c r="BB95" i="13"/>
  <c r="AZ95" i="13"/>
  <c r="AY95" i="13"/>
  <c r="AX95" i="13"/>
  <c r="AW95" i="13"/>
  <c r="AV95" i="13"/>
  <c r="AT95" i="13"/>
  <c r="AS95" i="13"/>
  <c r="AR95" i="13"/>
  <c r="AQ95" i="13"/>
  <c r="AP95" i="13"/>
  <c r="AN95" i="13"/>
  <c r="AM95" i="13"/>
  <c r="AL95" i="13"/>
  <c r="AK95" i="13"/>
  <c r="AJ95" i="13"/>
  <c r="AH95" i="13"/>
  <c r="AG95" i="13"/>
  <c r="AF95" i="13"/>
  <c r="AE95" i="13"/>
  <c r="AD95" i="13"/>
  <c r="AB95" i="13"/>
  <c r="AA95" i="13"/>
  <c r="Z95" i="13"/>
  <c r="Y95" i="13"/>
  <c r="X95" i="13"/>
  <c r="V95" i="13"/>
  <c r="H95" i="13"/>
  <c r="CB94" i="13"/>
  <c r="CA94" i="13"/>
  <c r="BZ94" i="13"/>
  <c r="BX94" i="13"/>
  <c r="BW94" i="13"/>
  <c r="BV94" i="13"/>
  <c r="BU94" i="13"/>
  <c r="BT94" i="13"/>
  <c r="BR94" i="13"/>
  <c r="BQ94" i="13"/>
  <c r="BP94" i="13"/>
  <c r="BO94" i="13"/>
  <c r="BN94" i="13"/>
  <c r="BL94" i="13"/>
  <c r="BK94" i="13"/>
  <c r="BJ94" i="13"/>
  <c r="BI94" i="13"/>
  <c r="BH94" i="13"/>
  <c r="BF94" i="13"/>
  <c r="BE94" i="13"/>
  <c r="BD94" i="13"/>
  <c r="BC94" i="13"/>
  <c r="BB94" i="13"/>
  <c r="AZ94" i="13"/>
  <c r="AY94" i="13"/>
  <c r="AX94" i="13"/>
  <c r="AW94" i="13"/>
  <c r="AV94" i="13"/>
  <c r="AT94" i="13"/>
  <c r="AS94" i="13"/>
  <c r="AR94" i="13"/>
  <c r="AQ94" i="13"/>
  <c r="AP94" i="13"/>
  <c r="AN94" i="13"/>
  <c r="AM94" i="13"/>
  <c r="AL94" i="13"/>
  <c r="AK94" i="13"/>
  <c r="AJ94" i="13"/>
  <c r="AH94" i="13"/>
  <c r="AG94" i="13"/>
  <c r="AF94" i="13"/>
  <c r="AE94" i="13"/>
  <c r="AD94" i="13"/>
  <c r="AB94" i="13"/>
  <c r="AA94" i="13"/>
  <c r="Z94" i="13"/>
  <c r="Y94" i="13"/>
  <c r="X94" i="13"/>
  <c r="V94" i="13"/>
  <c r="U94" i="13"/>
  <c r="T94" i="13"/>
  <c r="S94" i="13"/>
  <c r="R94" i="13"/>
  <c r="P94" i="13"/>
  <c r="O94" i="13"/>
  <c r="N94" i="13"/>
  <c r="M94" i="13"/>
  <c r="L94" i="13"/>
  <c r="J94" i="13"/>
  <c r="I94" i="13"/>
  <c r="H94" i="13"/>
  <c r="CB93" i="13"/>
  <c r="CA93" i="13"/>
  <c r="BZ93" i="13"/>
  <c r="BX93" i="13"/>
  <c r="BW93" i="13"/>
  <c r="BV93" i="13"/>
  <c r="BU93" i="13"/>
  <c r="BT93" i="13"/>
  <c r="BR93" i="13"/>
  <c r="BQ93" i="13"/>
  <c r="BP93" i="13"/>
  <c r="BO93" i="13"/>
  <c r="BN93" i="13"/>
  <c r="BL93" i="13"/>
  <c r="BK93" i="13"/>
  <c r="BJ93" i="13"/>
  <c r="BI93" i="13"/>
  <c r="BH93" i="13"/>
  <c r="BF93" i="13"/>
  <c r="BE93" i="13"/>
  <c r="BD93" i="13"/>
  <c r="BC93" i="13"/>
  <c r="BB93" i="13"/>
  <c r="AZ93" i="13"/>
  <c r="AY93" i="13"/>
  <c r="AX93" i="13"/>
  <c r="AW93" i="13"/>
  <c r="AV93" i="13"/>
  <c r="AT93" i="13"/>
  <c r="AS93" i="13"/>
  <c r="AR93" i="13"/>
  <c r="AQ93" i="13"/>
  <c r="AP93" i="13"/>
  <c r="AN93" i="13"/>
  <c r="AM93" i="13"/>
  <c r="AL93" i="13"/>
  <c r="AK93" i="13"/>
  <c r="AJ93" i="13"/>
  <c r="AH93" i="13"/>
  <c r="AG93" i="13"/>
  <c r="AF93" i="13"/>
  <c r="AE93" i="13"/>
  <c r="AD93" i="13"/>
  <c r="AB93" i="13"/>
  <c r="AA93" i="13"/>
  <c r="Z93" i="13"/>
  <c r="Y93" i="13"/>
  <c r="X93" i="13"/>
  <c r="V93" i="13"/>
  <c r="U93" i="13"/>
  <c r="T93" i="13"/>
  <c r="S93" i="13"/>
  <c r="R93" i="13"/>
  <c r="P93" i="13"/>
  <c r="O93" i="13"/>
  <c r="N93" i="13"/>
  <c r="M93" i="13"/>
  <c r="L93" i="13"/>
  <c r="J93" i="13"/>
  <c r="I93" i="13"/>
  <c r="H93" i="13"/>
  <c r="CB92" i="13"/>
  <c r="CA92" i="13"/>
  <c r="BZ92" i="13"/>
  <c r="BX92" i="13"/>
  <c r="BW92" i="13"/>
  <c r="BV92" i="13"/>
  <c r="BU92" i="13"/>
  <c r="BT92" i="13"/>
  <c r="BR92" i="13"/>
  <c r="BQ92" i="13"/>
  <c r="BP92" i="13"/>
  <c r="BO92" i="13"/>
  <c r="BN92" i="13"/>
  <c r="BL92" i="13"/>
  <c r="BK92" i="13"/>
  <c r="BJ92" i="13"/>
  <c r="BI92" i="13"/>
  <c r="BH92" i="13"/>
  <c r="BF92" i="13"/>
  <c r="BE92" i="13"/>
  <c r="BD92" i="13"/>
  <c r="BC92" i="13"/>
  <c r="BB92" i="13"/>
  <c r="AZ92" i="13"/>
  <c r="AY92" i="13"/>
  <c r="AX92" i="13"/>
  <c r="AW92" i="13"/>
  <c r="AV92" i="13"/>
  <c r="AT92" i="13"/>
  <c r="AS92" i="13"/>
  <c r="AR92" i="13"/>
  <c r="AQ92" i="13"/>
  <c r="AP92" i="13"/>
  <c r="AN92" i="13"/>
  <c r="AM92" i="13"/>
  <c r="AL92" i="13"/>
  <c r="AK92" i="13"/>
  <c r="AJ92" i="13"/>
  <c r="AH92" i="13"/>
  <c r="AG92" i="13"/>
  <c r="AF92" i="13"/>
  <c r="AE92" i="13"/>
  <c r="AD92" i="13"/>
  <c r="AB92" i="13"/>
  <c r="AA92" i="13"/>
  <c r="Z92" i="13"/>
  <c r="Y92" i="13"/>
  <c r="X92" i="13"/>
  <c r="V92" i="13"/>
  <c r="U92" i="13"/>
  <c r="T92" i="13"/>
  <c r="S92" i="13"/>
  <c r="R92" i="13"/>
  <c r="P92" i="13"/>
  <c r="O92" i="13"/>
  <c r="N92" i="13"/>
  <c r="M92" i="13"/>
  <c r="L92" i="13"/>
  <c r="J92" i="13"/>
  <c r="I92" i="13"/>
  <c r="H92" i="13"/>
  <c r="CB91" i="13"/>
  <c r="CA91" i="13"/>
  <c r="BZ91" i="13"/>
  <c r="BX91" i="13"/>
  <c r="BW91" i="13"/>
  <c r="BV91" i="13"/>
  <c r="BU91" i="13"/>
  <c r="BT91" i="13"/>
  <c r="BR91" i="13"/>
  <c r="BQ91" i="13"/>
  <c r="BP91" i="13"/>
  <c r="BO91" i="13"/>
  <c r="BN91" i="13"/>
  <c r="BL91" i="13"/>
  <c r="BK91" i="13"/>
  <c r="BJ91" i="13"/>
  <c r="BI91" i="13"/>
  <c r="BH91" i="13"/>
  <c r="BF91" i="13"/>
  <c r="BE91" i="13"/>
  <c r="BD91" i="13"/>
  <c r="BC91" i="13"/>
  <c r="BB91" i="13"/>
  <c r="AZ91" i="13"/>
  <c r="AY91" i="13"/>
  <c r="AX91" i="13"/>
  <c r="AW91" i="13"/>
  <c r="AV91" i="13"/>
  <c r="AT91" i="13"/>
  <c r="AS91" i="13"/>
  <c r="AR91" i="13"/>
  <c r="AQ91" i="13"/>
  <c r="AP91" i="13"/>
  <c r="AN91" i="13"/>
  <c r="AM91" i="13"/>
  <c r="AL91" i="13"/>
  <c r="AK91" i="13"/>
  <c r="AJ91" i="13"/>
  <c r="AH91" i="13"/>
  <c r="AG91" i="13"/>
  <c r="AF91" i="13"/>
  <c r="AE91" i="13"/>
  <c r="AD91" i="13"/>
  <c r="AB91" i="13"/>
  <c r="AA91" i="13"/>
  <c r="Z91" i="13"/>
  <c r="Y91" i="13"/>
  <c r="X91" i="13"/>
  <c r="V91" i="13"/>
  <c r="U91" i="13"/>
  <c r="T91" i="13"/>
  <c r="S91" i="13"/>
  <c r="R91" i="13"/>
  <c r="P91" i="13"/>
  <c r="O91" i="13"/>
  <c r="N91" i="13"/>
  <c r="M91" i="13"/>
  <c r="L91" i="13"/>
  <c r="J91" i="13"/>
  <c r="I91" i="13"/>
  <c r="H91" i="13"/>
  <c r="CB90" i="13"/>
  <c r="CA90" i="13"/>
  <c r="BZ90" i="13"/>
  <c r="BX90" i="13"/>
  <c r="BW90" i="13"/>
  <c r="BV90" i="13"/>
  <c r="BU90" i="13"/>
  <c r="BT90" i="13"/>
  <c r="BR90" i="13"/>
  <c r="BQ90" i="13"/>
  <c r="BP90" i="13"/>
  <c r="BO90" i="13"/>
  <c r="BN90" i="13"/>
  <c r="BL90" i="13"/>
  <c r="BK90" i="13"/>
  <c r="BJ90" i="13"/>
  <c r="BI90" i="13"/>
  <c r="BH90" i="13"/>
  <c r="BF90" i="13"/>
  <c r="BE90" i="13"/>
  <c r="BD90" i="13"/>
  <c r="BC90" i="13"/>
  <c r="BB90" i="13"/>
  <c r="AZ90" i="13"/>
  <c r="AY90" i="13"/>
  <c r="AX90" i="13"/>
  <c r="AW90" i="13"/>
  <c r="AV90" i="13"/>
  <c r="AT90" i="13"/>
  <c r="AS90" i="13"/>
  <c r="AR90" i="13"/>
  <c r="AQ90" i="13"/>
  <c r="AP90" i="13"/>
  <c r="AN90" i="13"/>
  <c r="AM90" i="13"/>
  <c r="AL90" i="13"/>
  <c r="AK90" i="13"/>
  <c r="AJ90" i="13"/>
  <c r="AH90" i="13"/>
  <c r="AG90" i="13"/>
  <c r="AF90" i="13"/>
  <c r="AE90" i="13"/>
  <c r="AD90" i="13"/>
  <c r="AB90" i="13"/>
  <c r="AA90" i="13"/>
  <c r="Z90" i="13"/>
  <c r="Y90" i="13"/>
  <c r="X90" i="13"/>
  <c r="V90" i="13"/>
  <c r="U90" i="13"/>
  <c r="T90" i="13"/>
  <c r="S90" i="13"/>
  <c r="R90" i="13"/>
  <c r="P90" i="13"/>
  <c r="O90" i="13"/>
  <c r="N90" i="13"/>
  <c r="M90" i="13"/>
  <c r="L90" i="13"/>
  <c r="J90" i="13"/>
  <c r="I90" i="13"/>
  <c r="H90" i="13"/>
  <c r="CB89" i="13"/>
  <c r="CA89" i="13"/>
  <c r="BZ89" i="13"/>
  <c r="BX89" i="13"/>
  <c r="BW89" i="13"/>
  <c r="BV89" i="13"/>
  <c r="BU89" i="13"/>
  <c r="BT89" i="13"/>
  <c r="BR89" i="13"/>
  <c r="BQ89" i="13"/>
  <c r="BP89" i="13"/>
  <c r="BO89" i="13"/>
  <c r="BN89" i="13"/>
  <c r="BL89" i="13"/>
  <c r="BK89" i="13"/>
  <c r="BJ89" i="13"/>
  <c r="BI89" i="13"/>
  <c r="BH89" i="13"/>
  <c r="BF89" i="13"/>
  <c r="BE89" i="13"/>
  <c r="BD89" i="13"/>
  <c r="BC89" i="13"/>
  <c r="BB89" i="13"/>
  <c r="AZ89" i="13"/>
  <c r="AY89" i="13"/>
  <c r="AX89" i="13"/>
  <c r="AW89" i="13"/>
  <c r="AV89" i="13"/>
  <c r="AT89" i="13"/>
  <c r="AS89" i="13"/>
  <c r="AR89" i="13"/>
  <c r="AQ89" i="13"/>
  <c r="AP89" i="13"/>
  <c r="AN89" i="13"/>
  <c r="AM89" i="13"/>
  <c r="AL89" i="13"/>
  <c r="AK89" i="13"/>
  <c r="AJ89" i="13"/>
  <c r="AH89" i="13"/>
  <c r="AG89" i="13"/>
  <c r="AF89" i="13"/>
  <c r="AE89" i="13"/>
  <c r="AD89" i="13"/>
  <c r="AB89" i="13"/>
  <c r="AA89" i="13"/>
  <c r="Z89" i="13"/>
  <c r="Y89" i="13"/>
  <c r="X89" i="13"/>
  <c r="V89" i="13"/>
  <c r="U89" i="13"/>
  <c r="T89" i="13"/>
  <c r="S89" i="13"/>
  <c r="R89" i="13"/>
  <c r="P89" i="13"/>
  <c r="O89" i="13"/>
  <c r="H89" i="13"/>
  <c r="CB88" i="13"/>
  <c r="CA88" i="13"/>
  <c r="BZ88" i="13"/>
  <c r="BX88" i="13"/>
  <c r="BW88" i="13"/>
  <c r="BV88" i="13"/>
  <c r="BU88" i="13"/>
  <c r="BT88" i="13"/>
  <c r="BR88" i="13"/>
  <c r="BQ88" i="13"/>
  <c r="BP88" i="13"/>
  <c r="BO88" i="13"/>
  <c r="BN88" i="13"/>
  <c r="BL88" i="13"/>
  <c r="BK88" i="13"/>
  <c r="BJ88" i="13"/>
  <c r="BI88" i="13"/>
  <c r="BH88" i="13"/>
  <c r="BF88" i="13"/>
  <c r="BE88" i="13"/>
  <c r="BD88" i="13"/>
  <c r="BC88" i="13"/>
  <c r="BB88" i="13"/>
  <c r="AZ88" i="13"/>
  <c r="AY88" i="13"/>
  <c r="AX88" i="13"/>
  <c r="AW88" i="13"/>
  <c r="AV88" i="13"/>
  <c r="AT88" i="13"/>
  <c r="AS88" i="13"/>
  <c r="AR88" i="13"/>
  <c r="AQ88" i="13"/>
  <c r="AP88" i="13"/>
  <c r="AN88" i="13"/>
  <c r="AM88" i="13"/>
  <c r="AL88" i="13"/>
  <c r="AK88" i="13"/>
  <c r="AJ88" i="13"/>
  <c r="AH88" i="13"/>
  <c r="AG88" i="13"/>
  <c r="AF88" i="13"/>
  <c r="AE88" i="13"/>
  <c r="AD88" i="13"/>
  <c r="AB88" i="13"/>
  <c r="AA88" i="13"/>
  <c r="Z88" i="13"/>
  <c r="Y88" i="13"/>
  <c r="X88" i="13"/>
  <c r="V88" i="13"/>
  <c r="U88" i="13"/>
  <c r="T88" i="13"/>
  <c r="S88" i="13"/>
  <c r="R88" i="13"/>
  <c r="P88" i="13"/>
  <c r="O88" i="13"/>
  <c r="N88" i="13"/>
  <c r="M88" i="13"/>
  <c r="L88" i="13"/>
  <c r="H88" i="13"/>
  <c r="CB87" i="13"/>
  <c r="CA87" i="13"/>
  <c r="BZ87" i="13"/>
  <c r="BX87" i="13"/>
  <c r="BW87" i="13"/>
  <c r="BV87" i="13"/>
  <c r="BU87" i="13"/>
  <c r="BT87" i="13"/>
  <c r="BR87" i="13"/>
  <c r="BQ87" i="13"/>
  <c r="BP87" i="13"/>
  <c r="BO87" i="13"/>
  <c r="BN87" i="13"/>
  <c r="BL87" i="13"/>
  <c r="BK87" i="13"/>
  <c r="BJ87" i="13"/>
  <c r="BI87" i="13"/>
  <c r="BH87" i="13"/>
  <c r="BF87" i="13"/>
  <c r="BE87" i="13"/>
  <c r="BD87" i="13"/>
  <c r="BC87" i="13"/>
  <c r="BB87" i="13"/>
  <c r="AZ87" i="13"/>
  <c r="AY87" i="13"/>
  <c r="AX87" i="13"/>
  <c r="AW87" i="13"/>
  <c r="AV87" i="13"/>
  <c r="AT87" i="13"/>
  <c r="AS87" i="13"/>
  <c r="AR87" i="13"/>
  <c r="AQ87" i="13"/>
  <c r="AP87" i="13"/>
  <c r="AN87" i="13"/>
  <c r="AM87" i="13"/>
  <c r="AL87" i="13"/>
  <c r="AK87" i="13"/>
  <c r="AJ87" i="13"/>
  <c r="AH87" i="13"/>
  <c r="AG87" i="13"/>
  <c r="AF87" i="13"/>
  <c r="AE87" i="13"/>
  <c r="AD87" i="13"/>
  <c r="AB87" i="13"/>
  <c r="AA87" i="13"/>
  <c r="Z87" i="13"/>
  <c r="Y87" i="13"/>
  <c r="X87" i="13"/>
  <c r="V87" i="13"/>
  <c r="U87" i="13"/>
  <c r="T87" i="13"/>
  <c r="S87" i="13"/>
  <c r="R87" i="13"/>
  <c r="P87" i="13"/>
  <c r="O87" i="13"/>
  <c r="N87" i="13"/>
  <c r="M87" i="13"/>
  <c r="L87" i="13"/>
  <c r="J87" i="13"/>
  <c r="I87" i="13"/>
  <c r="H87" i="13"/>
  <c r="CB86" i="13"/>
  <c r="CA86" i="13"/>
  <c r="BZ86" i="13"/>
  <c r="BX86" i="13"/>
  <c r="BW86" i="13"/>
  <c r="BV86" i="13"/>
  <c r="BU86" i="13"/>
  <c r="BT86" i="13"/>
  <c r="BR86" i="13"/>
  <c r="BQ86" i="13"/>
  <c r="BP86" i="13"/>
  <c r="BO86" i="13"/>
  <c r="BN86" i="13"/>
  <c r="BL86" i="13"/>
  <c r="BK86" i="13"/>
  <c r="BJ86" i="13"/>
  <c r="BI86" i="13"/>
  <c r="BH86" i="13"/>
  <c r="BF86" i="13"/>
  <c r="BE86" i="13"/>
  <c r="BD86" i="13"/>
  <c r="BC86" i="13"/>
  <c r="BB86" i="13"/>
  <c r="AZ86" i="13"/>
  <c r="AY86" i="13"/>
  <c r="AX86" i="13"/>
  <c r="AW86" i="13"/>
  <c r="AV86" i="13"/>
  <c r="AT86" i="13"/>
  <c r="AS86" i="13"/>
  <c r="AR86" i="13"/>
  <c r="AQ86" i="13"/>
  <c r="AP86" i="13"/>
  <c r="AN86" i="13"/>
  <c r="AM86" i="13"/>
  <c r="AL86" i="13"/>
  <c r="AK86" i="13"/>
  <c r="AJ86" i="13"/>
  <c r="AH86" i="13"/>
  <c r="AG86" i="13"/>
  <c r="AF86" i="13"/>
  <c r="AE86" i="13"/>
  <c r="AD86" i="13"/>
  <c r="AB86" i="13"/>
  <c r="AA86" i="13"/>
  <c r="Z86" i="13"/>
  <c r="Y86" i="13"/>
  <c r="X86" i="13"/>
  <c r="V86" i="13"/>
  <c r="U86" i="13"/>
  <c r="T86" i="13"/>
  <c r="S86" i="13"/>
  <c r="R86" i="13"/>
  <c r="P86" i="13"/>
  <c r="O86" i="13"/>
  <c r="N86" i="13"/>
  <c r="M86" i="13"/>
  <c r="L86" i="13"/>
  <c r="J86" i="13"/>
  <c r="I86" i="13"/>
  <c r="H86" i="13"/>
  <c r="CB85" i="13"/>
  <c r="CA85" i="13"/>
  <c r="BZ85" i="13"/>
  <c r="BX85" i="13"/>
  <c r="BW85" i="13"/>
  <c r="BV85" i="13"/>
  <c r="BU85" i="13"/>
  <c r="BT85" i="13"/>
  <c r="BR85" i="13"/>
  <c r="BQ85" i="13"/>
  <c r="BP85" i="13"/>
  <c r="BO85" i="13"/>
  <c r="BN85" i="13"/>
  <c r="BL85" i="13"/>
  <c r="BK85" i="13"/>
  <c r="BJ85" i="13"/>
  <c r="BI85" i="13"/>
  <c r="BH85" i="13"/>
  <c r="BF85" i="13"/>
  <c r="BE85" i="13"/>
  <c r="BD85" i="13"/>
  <c r="BC85" i="13"/>
  <c r="BB85" i="13"/>
  <c r="AZ85" i="13"/>
  <c r="AY85" i="13"/>
  <c r="AX85" i="13"/>
  <c r="AW85" i="13"/>
  <c r="AV85" i="13"/>
  <c r="AT85" i="13"/>
  <c r="AS85" i="13"/>
  <c r="AR85" i="13"/>
  <c r="AQ85" i="13"/>
  <c r="AP85" i="13"/>
  <c r="AN85" i="13"/>
  <c r="AM85" i="13"/>
  <c r="AL85" i="13"/>
  <c r="AK85" i="13"/>
  <c r="AJ85" i="13"/>
  <c r="AH85" i="13"/>
  <c r="AG85" i="13"/>
  <c r="AF85" i="13"/>
  <c r="AE85" i="13"/>
  <c r="AD85" i="13"/>
  <c r="AB85" i="13"/>
  <c r="AA85" i="13"/>
  <c r="Z85" i="13"/>
  <c r="Y85" i="13"/>
  <c r="X85" i="13"/>
  <c r="V85" i="13"/>
  <c r="U85" i="13"/>
  <c r="T85" i="13"/>
  <c r="S85" i="13"/>
  <c r="R85" i="13"/>
  <c r="P85" i="13"/>
  <c r="O85" i="13"/>
  <c r="N85" i="13"/>
  <c r="M85" i="13"/>
  <c r="L85" i="13"/>
  <c r="J85" i="13"/>
  <c r="I85" i="13"/>
  <c r="H85" i="13"/>
  <c r="CB84" i="13"/>
  <c r="CA84" i="13"/>
  <c r="BZ84" i="13"/>
  <c r="BX84" i="13"/>
  <c r="BW84" i="13"/>
  <c r="BV84" i="13"/>
  <c r="BU84" i="13"/>
  <c r="BT84" i="13"/>
  <c r="BR84" i="13"/>
  <c r="BQ84" i="13"/>
  <c r="BP84" i="13"/>
  <c r="BO84" i="13"/>
  <c r="BN84" i="13"/>
  <c r="BL84" i="13"/>
  <c r="BK84" i="13"/>
  <c r="BJ84" i="13"/>
  <c r="BI84" i="13"/>
  <c r="BH84" i="13"/>
  <c r="BF84" i="13"/>
  <c r="BE84" i="13"/>
  <c r="BD84" i="13"/>
  <c r="BC84" i="13"/>
  <c r="BB84" i="13"/>
  <c r="AZ84" i="13"/>
  <c r="AY84" i="13"/>
  <c r="AX84" i="13"/>
  <c r="AW84" i="13"/>
  <c r="AV84" i="13"/>
  <c r="AT84" i="13"/>
  <c r="AS84" i="13"/>
  <c r="AR84" i="13"/>
  <c r="AQ84" i="13"/>
  <c r="AP84" i="13"/>
  <c r="AN84" i="13"/>
  <c r="AM84" i="13"/>
  <c r="AL84" i="13"/>
  <c r="AK84" i="13"/>
  <c r="AJ84" i="13"/>
  <c r="AH84" i="13"/>
  <c r="AG84" i="13"/>
  <c r="AF84" i="13"/>
  <c r="AE84" i="13"/>
  <c r="AD84" i="13"/>
  <c r="AB84" i="13"/>
  <c r="AA84" i="13"/>
  <c r="Z84" i="13"/>
  <c r="Y84" i="13"/>
  <c r="X84" i="13"/>
  <c r="V84" i="13"/>
  <c r="H84" i="13"/>
  <c r="CB83" i="13"/>
  <c r="CA83" i="13"/>
  <c r="BZ83" i="13"/>
  <c r="BX83" i="13"/>
  <c r="BW83" i="13"/>
  <c r="BV83" i="13"/>
  <c r="BU83" i="13"/>
  <c r="BT83" i="13"/>
  <c r="BR83" i="13"/>
  <c r="BQ83" i="13"/>
  <c r="BP83" i="13"/>
  <c r="BO83" i="13"/>
  <c r="BN83" i="13"/>
  <c r="BL83" i="13"/>
  <c r="BK83" i="13"/>
  <c r="BJ83" i="13"/>
  <c r="BI83" i="13"/>
  <c r="BH83" i="13"/>
  <c r="BF83" i="13"/>
  <c r="BE83" i="13"/>
  <c r="BD83" i="13"/>
  <c r="BC83" i="13"/>
  <c r="BB83" i="13"/>
  <c r="AZ83" i="13"/>
  <c r="AY83" i="13"/>
  <c r="AX83" i="13"/>
  <c r="AW83" i="13"/>
  <c r="AV83" i="13"/>
  <c r="AT83" i="13"/>
  <c r="AS83" i="13"/>
  <c r="AR83" i="13"/>
  <c r="AQ83" i="13"/>
  <c r="AP83" i="13"/>
  <c r="AN83" i="13"/>
  <c r="AM83" i="13"/>
  <c r="AL83" i="13"/>
  <c r="AK83" i="13"/>
  <c r="AJ83" i="13"/>
  <c r="AH83" i="13"/>
  <c r="AG83" i="13"/>
  <c r="AF83" i="13"/>
  <c r="AE83" i="13"/>
  <c r="AD83" i="13"/>
  <c r="AB83" i="13"/>
  <c r="AA83" i="13"/>
  <c r="Z83" i="13"/>
  <c r="Y83" i="13"/>
  <c r="X83" i="13"/>
  <c r="V83" i="13"/>
  <c r="U83" i="13"/>
  <c r="T83" i="13"/>
  <c r="S83" i="13"/>
  <c r="R83" i="13"/>
  <c r="P83" i="13"/>
  <c r="O83" i="13"/>
  <c r="N83" i="13"/>
  <c r="M83" i="13"/>
  <c r="L83" i="13"/>
  <c r="J83" i="13"/>
  <c r="I83" i="13"/>
  <c r="H83" i="13"/>
  <c r="CB82" i="13"/>
  <c r="CA82" i="13"/>
  <c r="BZ82" i="13"/>
  <c r="BX82" i="13"/>
  <c r="BW82" i="13"/>
  <c r="BV82" i="13"/>
  <c r="BU82" i="13"/>
  <c r="BT82" i="13"/>
  <c r="BR82" i="13"/>
  <c r="BQ82" i="13"/>
  <c r="BP82" i="13"/>
  <c r="BO82" i="13"/>
  <c r="BN82" i="13"/>
  <c r="BL82" i="13"/>
  <c r="BK82" i="13"/>
  <c r="BJ82" i="13"/>
  <c r="BI82" i="13"/>
  <c r="BH82" i="13"/>
  <c r="BF82" i="13"/>
  <c r="BE82" i="13"/>
  <c r="BD82" i="13"/>
  <c r="BC82" i="13"/>
  <c r="BB82" i="13"/>
  <c r="AZ82" i="13"/>
  <c r="AY82" i="13"/>
  <c r="AX82" i="13"/>
  <c r="AW82" i="13"/>
  <c r="AV82" i="13"/>
  <c r="AT82" i="13"/>
  <c r="AS82" i="13"/>
  <c r="AR82" i="13"/>
  <c r="AQ82" i="13"/>
  <c r="AP82" i="13"/>
  <c r="AN82" i="13"/>
  <c r="AM82" i="13"/>
  <c r="AL82" i="13"/>
  <c r="AK82" i="13"/>
  <c r="AJ82" i="13"/>
  <c r="AH82" i="13"/>
  <c r="AG82" i="13"/>
  <c r="AF82" i="13"/>
  <c r="AE82" i="13"/>
  <c r="AD82" i="13"/>
  <c r="AB82" i="13"/>
  <c r="AA82" i="13"/>
  <c r="Z82" i="13"/>
  <c r="Y82" i="13"/>
  <c r="X82" i="13"/>
  <c r="V82" i="13"/>
  <c r="U82" i="13"/>
  <c r="T82" i="13"/>
  <c r="S82" i="13"/>
  <c r="R82" i="13"/>
  <c r="P82" i="13"/>
  <c r="O82" i="13"/>
  <c r="N82" i="13"/>
  <c r="M82" i="13"/>
  <c r="L82" i="13"/>
  <c r="J82" i="13"/>
  <c r="I82" i="13"/>
  <c r="H82" i="13"/>
  <c r="CB81" i="13"/>
  <c r="CA81" i="13"/>
  <c r="BZ81" i="13"/>
  <c r="BX81" i="13"/>
  <c r="BW81" i="13"/>
  <c r="BV81" i="13"/>
  <c r="BU81" i="13"/>
  <c r="BT81" i="13"/>
  <c r="BR81" i="13"/>
  <c r="BQ81" i="13"/>
  <c r="BP81" i="13"/>
  <c r="BO81" i="13"/>
  <c r="BN81" i="13"/>
  <c r="BL81" i="13"/>
  <c r="BK81" i="13"/>
  <c r="BJ81" i="13"/>
  <c r="BI81" i="13"/>
  <c r="BH81" i="13"/>
  <c r="BF81" i="13"/>
  <c r="BE81" i="13"/>
  <c r="BD81" i="13"/>
  <c r="BC81" i="13"/>
  <c r="BB81" i="13"/>
  <c r="AZ81" i="13"/>
  <c r="AY81" i="13"/>
  <c r="AX81" i="13"/>
  <c r="AW81" i="13"/>
  <c r="AV81" i="13"/>
  <c r="AT81" i="13"/>
  <c r="AS81" i="13"/>
  <c r="AR81" i="13"/>
  <c r="AQ81" i="13"/>
  <c r="AP81" i="13"/>
  <c r="AN81" i="13"/>
  <c r="AM81" i="13"/>
  <c r="AL81" i="13"/>
  <c r="AK81" i="13"/>
  <c r="AJ81" i="13"/>
  <c r="AH81" i="13"/>
  <c r="AG81" i="13"/>
  <c r="AF81" i="13"/>
  <c r="AE81" i="13"/>
  <c r="AD81" i="13"/>
  <c r="AB81" i="13"/>
  <c r="AA81" i="13"/>
  <c r="Z81" i="13"/>
  <c r="Y81" i="13"/>
  <c r="X81" i="13"/>
  <c r="V81" i="13"/>
  <c r="U81" i="13"/>
  <c r="T81" i="13"/>
  <c r="S81" i="13"/>
  <c r="R81" i="13"/>
  <c r="P81" i="13"/>
  <c r="O81" i="13"/>
  <c r="N81" i="13"/>
  <c r="M81" i="13"/>
  <c r="L81" i="13"/>
  <c r="J81" i="13"/>
  <c r="I81" i="13"/>
  <c r="H81" i="13"/>
  <c r="CB80" i="13"/>
  <c r="CA80" i="13"/>
  <c r="BZ80" i="13"/>
  <c r="BX80" i="13"/>
  <c r="BW80" i="13"/>
  <c r="BV80" i="13"/>
  <c r="BU80" i="13"/>
  <c r="BT80" i="13"/>
  <c r="BR80" i="13"/>
  <c r="BQ80" i="13"/>
  <c r="BP80" i="13"/>
  <c r="BO80" i="13"/>
  <c r="BN80" i="13"/>
  <c r="BL80" i="13"/>
  <c r="BK80" i="13"/>
  <c r="BJ80" i="13"/>
  <c r="BI80" i="13"/>
  <c r="BH80" i="13"/>
  <c r="BF80" i="13"/>
  <c r="BE80" i="13"/>
  <c r="BD80" i="13"/>
  <c r="BC80" i="13"/>
  <c r="BB80" i="13"/>
  <c r="AZ80" i="13"/>
  <c r="AY80" i="13"/>
  <c r="AX80" i="13"/>
  <c r="AW80" i="13"/>
  <c r="AV80" i="13"/>
  <c r="AT80" i="13"/>
  <c r="AS80" i="13"/>
  <c r="AR80" i="13"/>
  <c r="AQ80" i="13"/>
  <c r="AP80" i="13"/>
  <c r="AN80" i="13"/>
  <c r="AM80" i="13"/>
  <c r="AL80" i="13"/>
  <c r="AK80" i="13"/>
  <c r="AJ80" i="13"/>
  <c r="AH80" i="13"/>
  <c r="AG80" i="13"/>
  <c r="AF80" i="13"/>
  <c r="AE80" i="13"/>
  <c r="AD80" i="13"/>
  <c r="AB80" i="13"/>
  <c r="AA80" i="13"/>
  <c r="Z80" i="13"/>
  <c r="Y80" i="13"/>
  <c r="X80" i="13"/>
  <c r="V80" i="13"/>
  <c r="U80" i="13"/>
  <c r="T80" i="13"/>
  <c r="S80" i="13"/>
  <c r="R80" i="13"/>
  <c r="P80" i="13"/>
  <c r="O80" i="13"/>
  <c r="N80" i="13"/>
  <c r="M80" i="13"/>
  <c r="L80" i="13"/>
  <c r="J80" i="13"/>
  <c r="I80" i="13"/>
  <c r="H80" i="13"/>
  <c r="CB79" i="13"/>
  <c r="CA79" i="13"/>
  <c r="BZ79" i="13"/>
  <c r="BX79" i="13"/>
  <c r="BW79" i="13"/>
  <c r="BV79" i="13"/>
  <c r="BU79" i="13"/>
  <c r="BT79" i="13"/>
  <c r="BR79" i="13"/>
  <c r="BQ79" i="13"/>
  <c r="BP79" i="13"/>
  <c r="BO79" i="13"/>
  <c r="BN79" i="13"/>
  <c r="BL79" i="13"/>
  <c r="BK79" i="13"/>
  <c r="BJ79" i="13"/>
  <c r="BI79" i="13"/>
  <c r="BH79" i="13"/>
  <c r="BF79" i="13"/>
  <c r="BE79" i="13"/>
  <c r="BD79" i="13"/>
  <c r="BC79" i="13"/>
  <c r="BB79" i="13"/>
  <c r="AZ79" i="13"/>
  <c r="AY79" i="13"/>
  <c r="AX79" i="13"/>
  <c r="AW79" i="13"/>
  <c r="AV79" i="13"/>
  <c r="AT79" i="13"/>
  <c r="AS79" i="13"/>
  <c r="AR79" i="13"/>
  <c r="AQ79" i="13"/>
  <c r="AP79" i="13"/>
  <c r="AN79" i="13"/>
  <c r="AM79" i="13"/>
  <c r="AL79" i="13"/>
  <c r="AK79" i="13"/>
  <c r="AJ79" i="13"/>
  <c r="AH79" i="13"/>
  <c r="AG79" i="13"/>
  <c r="AF79" i="13"/>
  <c r="AE79" i="13"/>
  <c r="AD79" i="13"/>
  <c r="AB79" i="13"/>
  <c r="AA79" i="13"/>
  <c r="Z79" i="13"/>
  <c r="Y79" i="13"/>
  <c r="X79" i="13"/>
  <c r="V79" i="13"/>
  <c r="U79" i="13"/>
  <c r="T79" i="13"/>
  <c r="S79" i="13"/>
  <c r="R79" i="13"/>
  <c r="P79" i="13"/>
  <c r="O79" i="13"/>
  <c r="N79" i="13"/>
  <c r="M79" i="13"/>
  <c r="L79" i="13"/>
  <c r="J79" i="13"/>
  <c r="I79" i="13"/>
  <c r="H79" i="13"/>
  <c r="CB78" i="13"/>
  <c r="CA78" i="13"/>
  <c r="BZ78" i="13"/>
  <c r="BX78" i="13"/>
  <c r="BW78" i="13"/>
  <c r="BV78" i="13"/>
  <c r="BU78" i="13"/>
  <c r="BT78" i="13"/>
  <c r="BR78" i="13"/>
  <c r="BQ78" i="13"/>
  <c r="BP78" i="13"/>
  <c r="BO78" i="13"/>
  <c r="BN78" i="13"/>
  <c r="BL78" i="13"/>
  <c r="BK78" i="13"/>
  <c r="BJ78" i="13"/>
  <c r="BI78" i="13"/>
  <c r="BH78" i="13"/>
  <c r="BF78" i="13"/>
  <c r="BE78" i="13"/>
  <c r="BD78" i="13"/>
  <c r="BC78" i="13"/>
  <c r="BB78" i="13"/>
  <c r="AZ78" i="13"/>
  <c r="AY78" i="13"/>
  <c r="AX78" i="13"/>
  <c r="AW78" i="13"/>
  <c r="AV78" i="13"/>
  <c r="AT78" i="13"/>
  <c r="AS78" i="13"/>
  <c r="AR78" i="13"/>
  <c r="AQ78" i="13"/>
  <c r="AP78" i="13"/>
  <c r="AN78" i="13"/>
  <c r="AM78" i="13"/>
  <c r="AL78" i="13"/>
  <c r="AK78" i="13"/>
  <c r="AJ78" i="13"/>
  <c r="AH78" i="13"/>
  <c r="AG78" i="13"/>
  <c r="AF78" i="13"/>
  <c r="AE78" i="13"/>
  <c r="AD78" i="13"/>
  <c r="AB78" i="13"/>
  <c r="AA78" i="13"/>
  <c r="Z78" i="13"/>
  <c r="Y78" i="13"/>
  <c r="X78" i="13"/>
  <c r="V78" i="13"/>
  <c r="U78" i="13"/>
  <c r="T78" i="13"/>
  <c r="S78" i="13"/>
  <c r="R78" i="13"/>
  <c r="P78" i="13"/>
  <c r="O78" i="13"/>
  <c r="N78" i="13"/>
  <c r="M78" i="13"/>
  <c r="L78" i="13"/>
  <c r="J78" i="13"/>
  <c r="I78" i="13"/>
  <c r="H78" i="13"/>
  <c r="CB77" i="13"/>
  <c r="CA77" i="13"/>
  <c r="BZ77" i="13"/>
  <c r="BX77" i="13"/>
  <c r="BW77" i="13"/>
  <c r="BV77" i="13"/>
  <c r="BU77" i="13"/>
  <c r="BT77" i="13"/>
  <c r="BR77" i="13"/>
  <c r="BQ77" i="13"/>
  <c r="BP77" i="13"/>
  <c r="BO77" i="13"/>
  <c r="BN77" i="13"/>
  <c r="BL77" i="13"/>
  <c r="BK77" i="13"/>
  <c r="BJ77" i="13"/>
  <c r="BI77" i="13"/>
  <c r="BH77" i="13"/>
  <c r="BF77" i="13"/>
  <c r="BE77" i="13"/>
  <c r="BD77" i="13"/>
  <c r="BC77" i="13"/>
  <c r="BB77" i="13"/>
  <c r="AZ77" i="13"/>
  <c r="AY77" i="13"/>
  <c r="AX77" i="13"/>
  <c r="AW77" i="13"/>
  <c r="AV77" i="13"/>
  <c r="AT77" i="13"/>
  <c r="AS77" i="13"/>
  <c r="AR77" i="13"/>
  <c r="AQ77" i="13"/>
  <c r="AP77" i="13"/>
  <c r="AN77" i="13"/>
  <c r="AM77" i="13"/>
  <c r="AL77" i="13"/>
  <c r="AK77" i="13"/>
  <c r="AJ77" i="13"/>
  <c r="AH77" i="13"/>
  <c r="AG77" i="13"/>
  <c r="AF77" i="13"/>
  <c r="AE77" i="13"/>
  <c r="AD77" i="13"/>
  <c r="AB77" i="13"/>
  <c r="AA77" i="13"/>
  <c r="Z77" i="13"/>
  <c r="Y77" i="13"/>
  <c r="X77" i="13"/>
  <c r="V77" i="13"/>
  <c r="U77" i="13"/>
  <c r="T77" i="13"/>
  <c r="S77" i="13"/>
  <c r="R77" i="13"/>
  <c r="P77" i="13"/>
  <c r="O77" i="13"/>
  <c r="N77" i="13"/>
  <c r="M77" i="13"/>
  <c r="L77" i="13"/>
  <c r="J77" i="13"/>
  <c r="I77" i="13"/>
  <c r="H77" i="13"/>
  <c r="CB76" i="13"/>
  <c r="CA76" i="13"/>
  <c r="BZ76" i="13"/>
  <c r="BX76" i="13"/>
  <c r="BW76" i="13"/>
  <c r="BV76" i="13"/>
  <c r="BU76" i="13"/>
  <c r="BT76" i="13"/>
  <c r="BR76" i="13"/>
  <c r="BQ76" i="13"/>
  <c r="BP76" i="13"/>
  <c r="BO76" i="13"/>
  <c r="BN76" i="13"/>
  <c r="BL76" i="13"/>
  <c r="BK76" i="13"/>
  <c r="BJ76" i="13"/>
  <c r="BI76" i="13"/>
  <c r="BH76" i="13"/>
  <c r="BF76" i="13"/>
  <c r="BE76" i="13"/>
  <c r="BD76" i="13"/>
  <c r="BC76" i="13"/>
  <c r="BB76" i="13"/>
  <c r="AZ76" i="13"/>
  <c r="AY76" i="13"/>
  <c r="AX76" i="13"/>
  <c r="AW76" i="13"/>
  <c r="AV76" i="13"/>
  <c r="AT76" i="13"/>
  <c r="AS76" i="13"/>
  <c r="AR76" i="13"/>
  <c r="AQ76" i="13"/>
  <c r="AP76" i="13"/>
  <c r="AN76" i="13"/>
  <c r="AM76" i="13"/>
  <c r="AL76" i="13"/>
  <c r="AK76" i="13"/>
  <c r="AJ76" i="13"/>
  <c r="AH76" i="13"/>
  <c r="AG76" i="13"/>
  <c r="AF76" i="13"/>
  <c r="AE76" i="13"/>
  <c r="AD76" i="13"/>
  <c r="AB76" i="13"/>
  <c r="AA76" i="13"/>
  <c r="Z76" i="13"/>
  <c r="Y76" i="13"/>
  <c r="X76" i="13"/>
  <c r="V76" i="13"/>
  <c r="U76" i="13"/>
  <c r="T76" i="13"/>
  <c r="S76" i="13"/>
  <c r="R76" i="13"/>
  <c r="P76" i="13"/>
  <c r="O76" i="13"/>
  <c r="N76" i="13"/>
  <c r="M76" i="13"/>
  <c r="L76" i="13"/>
  <c r="J76" i="13"/>
  <c r="I76" i="13"/>
  <c r="H76" i="13"/>
  <c r="CB75" i="13"/>
  <c r="CA75" i="13"/>
  <c r="BZ75" i="13"/>
  <c r="BX75" i="13"/>
  <c r="BW75" i="13"/>
  <c r="BV75" i="13"/>
  <c r="BU75" i="13"/>
  <c r="BT75" i="13"/>
  <c r="BR75" i="13"/>
  <c r="BQ75" i="13"/>
  <c r="BP75" i="13"/>
  <c r="BO75" i="13"/>
  <c r="BN75" i="13"/>
  <c r="BL75" i="13"/>
  <c r="BK75" i="13"/>
  <c r="BJ75" i="13"/>
  <c r="BI75" i="13"/>
  <c r="BH75" i="13"/>
  <c r="BF75" i="13"/>
  <c r="BE75" i="13"/>
  <c r="BD75" i="13"/>
  <c r="BC75" i="13"/>
  <c r="BB75" i="13"/>
  <c r="AZ75" i="13"/>
  <c r="AY75" i="13"/>
  <c r="AX75" i="13"/>
  <c r="AW75" i="13"/>
  <c r="AV75" i="13"/>
  <c r="AT75" i="13"/>
  <c r="AS75" i="13"/>
  <c r="AR75" i="13"/>
  <c r="AQ75" i="13"/>
  <c r="AP75" i="13"/>
  <c r="AN75" i="13"/>
  <c r="AM75" i="13"/>
  <c r="AL75" i="13"/>
  <c r="AK75" i="13"/>
  <c r="AJ75" i="13"/>
  <c r="AH75" i="13"/>
  <c r="AG75" i="13"/>
  <c r="AF75" i="13"/>
  <c r="AE75" i="13"/>
  <c r="AD75" i="13"/>
  <c r="AB75" i="13"/>
  <c r="AA75" i="13"/>
  <c r="Z75" i="13"/>
  <c r="Y75" i="13"/>
  <c r="X75" i="13"/>
  <c r="V75" i="13"/>
  <c r="U75" i="13"/>
  <c r="T75" i="13"/>
  <c r="S75" i="13"/>
  <c r="R75" i="13"/>
  <c r="P75" i="13"/>
  <c r="O75" i="13"/>
  <c r="N75" i="13"/>
  <c r="M75" i="13"/>
  <c r="L75" i="13"/>
  <c r="J75" i="13"/>
  <c r="I75" i="13"/>
  <c r="H75" i="13"/>
  <c r="CB74" i="13"/>
  <c r="CA74" i="13"/>
  <c r="BZ74" i="13"/>
  <c r="BX74" i="13"/>
  <c r="BW74" i="13"/>
  <c r="BV74" i="13"/>
  <c r="BU74" i="13"/>
  <c r="BT74" i="13"/>
  <c r="BR74" i="13"/>
  <c r="BQ74" i="13"/>
  <c r="BP74" i="13"/>
  <c r="BO74" i="13"/>
  <c r="BN74" i="13"/>
  <c r="BL74" i="13"/>
  <c r="BK74" i="13"/>
  <c r="BJ74" i="13"/>
  <c r="BI74" i="13"/>
  <c r="BH74" i="13"/>
  <c r="BF74" i="13"/>
  <c r="BE74" i="13"/>
  <c r="BD74" i="13"/>
  <c r="BC74" i="13"/>
  <c r="BB74" i="13"/>
  <c r="AZ74" i="13"/>
  <c r="AY74" i="13"/>
  <c r="AX74" i="13"/>
  <c r="AW74" i="13"/>
  <c r="AV74" i="13"/>
  <c r="AT74" i="13"/>
  <c r="AS74" i="13"/>
  <c r="AR74" i="13"/>
  <c r="AQ74" i="13"/>
  <c r="AP74" i="13"/>
  <c r="AN74" i="13"/>
  <c r="AM74" i="13"/>
  <c r="AL74" i="13"/>
  <c r="AK74" i="13"/>
  <c r="AJ74" i="13"/>
  <c r="AH74" i="13"/>
  <c r="AG74" i="13"/>
  <c r="AF74" i="13"/>
  <c r="AE74" i="13"/>
  <c r="AD74" i="13"/>
  <c r="AB74" i="13"/>
  <c r="AA74" i="13"/>
  <c r="Z74" i="13"/>
  <c r="Y74" i="13"/>
  <c r="X74" i="13"/>
  <c r="V74" i="13"/>
  <c r="U74" i="13"/>
  <c r="T74" i="13"/>
  <c r="S74" i="13"/>
  <c r="R74" i="13"/>
  <c r="P74" i="13"/>
  <c r="O74" i="13"/>
  <c r="N74" i="13"/>
  <c r="M74" i="13"/>
  <c r="L74" i="13"/>
  <c r="J74" i="13"/>
  <c r="I74" i="13"/>
  <c r="H74" i="13"/>
  <c r="CB73" i="13"/>
  <c r="CA73" i="13"/>
  <c r="BZ73" i="13"/>
  <c r="BX73" i="13"/>
  <c r="BW73" i="13"/>
  <c r="BV73" i="13"/>
  <c r="BU73" i="13"/>
  <c r="BT73" i="13"/>
  <c r="BR73" i="13"/>
  <c r="BQ73" i="13"/>
  <c r="BP73" i="13"/>
  <c r="BO73" i="13"/>
  <c r="BN73" i="13"/>
  <c r="BL73" i="13"/>
  <c r="BK73" i="13"/>
  <c r="BJ73" i="13"/>
  <c r="BI73" i="13"/>
  <c r="BH73" i="13"/>
  <c r="BF73" i="13"/>
  <c r="BE73" i="13"/>
  <c r="BD73" i="13"/>
  <c r="BC73" i="13"/>
  <c r="BB73" i="13"/>
  <c r="AZ73" i="13"/>
  <c r="AY73" i="13"/>
  <c r="AX73" i="13"/>
  <c r="AW73" i="13"/>
  <c r="AV73" i="13"/>
  <c r="AT73" i="13"/>
  <c r="AS73" i="13"/>
  <c r="AR73" i="13"/>
  <c r="AQ73" i="13"/>
  <c r="AP73" i="13"/>
  <c r="AN73" i="13"/>
  <c r="AM73" i="13"/>
  <c r="AL73" i="13"/>
  <c r="AK73" i="13"/>
  <c r="AJ73" i="13"/>
  <c r="AH73" i="13"/>
  <c r="AG73" i="13"/>
  <c r="AF73" i="13"/>
  <c r="AE73" i="13"/>
  <c r="AD73" i="13"/>
  <c r="AB73" i="13"/>
  <c r="AA73" i="13"/>
  <c r="Z73" i="13"/>
  <c r="Y73" i="13"/>
  <c r="X73" i="13"/>
  <c r="V73" i="13"/>
  <c r="U73" i="13"/>
  <c r="T73" i="13"/>
  <c r="S73" i="13"/>
  <c r="R73" i="13"/>
  <c r="P73" i="13"/>
  <c r="O73" i="13"/>
  <c r="N73" i="13"/>
  <c r="M73" i="13"/>
  <c r="L73" i="13"/>
  <c r="J73" i="13"/>
  <c r="I73" i="13"/>
  <c r="H73" i="13"/>
  <c r="CB72" i="13"/>
  <c r="CA72" i="13"/>
  <c r="BZ72" i="13"/>
  <c r="BX72" i="13"/>
  <c r="BW72" i="13"/>
  <c r="BV72" i="13"/>
  <c r="BU72" i="13"/>
  <c r="BT72" i="13"/>
  <c r="BR72" i="13"/>
  <c r="BQ72" i="13"/>
  <c r="BP72" i="13"/>
  <c r="BO72" i="13"/>
  <c r="BN72" i="13"/>
  <c r="BL72" i="13"/>
  <c r="BK72" i="13"/>
  <c r="BJ72" i="13"/>
  <c r="BI72" i="13"/>
  <c r="BH72" i="13"/>
  <c r="BF72" i="13"/>
  <c r="BE72" i="13"/>
  <c r="BD72" i="13"/>
  <c r="BC72" i="13"/>
  <c r="BB72" i="13"/>
  <c r="AZ72" i="13"/>
  <c r="AY72" i="13"/>
  <c r="AX72" i="13"/>
  <c r="AW72" i="13"/>
  <c r="AV72" i="13"/>
  <c r="AT72" i="13"/>
  <c r="AS72" i="13"/>
  <c r="AR72" i="13"/>
  <c r="AQ72" i="13"/>
  <c r="AP72" i="13"/>
  <c r="AN72" i="13"/>
  <c r="AM72" i="13"/>
  <c r="AL72" i="13"/>
  <c r="AK72" i="13"/>
  <c r="AJ72" i="13"/>
  <c r="AH72" i="13"/>
  <c r="AG72" i="13"/>
  <c r="AF72" i="13"/>
  <c r="AE72" i="13"/>
  <c r="AD72" i="13"/>
  <c r="AB72" i="13"/>
  <c r="AA72" i="13"/>
  <c r="Z72" i="13"/>
  <c r="Y72" i="13"/>
  <c r="X72" i="13"/>
  <c r="V72" i="13"/>
  <c r="U72" i="13"/>
  <c r="T72" i="13"/>
  <c r="S72" i="13"/>
  <c r="R72" i="13"/>
  <c r="P72" i="13"/>
  <c r="O72" i="13"/>
  <c r="N72" i="13"/>
  <c r="M72" i="13"/>
  <c r="L72" i="13"/>
  <c r="J72" i="13"/>
  <c r="I72" i="13"/>
  <c r="H72" i="13"/>
  <c r="CB71" i="13"/>
  <c r="CA71" i="13"/>
  <c r="BZ71" i="13"/>
  <c r="BX71" i="13"/>
  <c r="BW71" i="13"/>
  <c r="BV71" i="13"/>
  <c r="BU71" i="13"/>
  <c r="BT71" i="13"/>
  <c r="BR71" i="13"/>
  <c r="BQ71" i="13"/>
  <c r="BP71" i="13"/>
  <c r="BO71" i="13"/>
  <c r="BN71" i="13"/>
  <c r="BL71" i="13"/>
  <c r="BK71" i="13"/>
  <c r="BJ71" i="13"/>
  <c r="BI71" i="13"/>
  <c r="BH71" i="13"/>
  <c r="BF71" i="13"/>
  <c r="BE71" i="13"/>
  <c r="BD71" i="13"/>
  <c r="BC71" i="13"/>
  <c r="BB71" i="13"/>
  <c r="AZ71" i="13"/>
  <c r="AY71" i="13"/>
  <c r="AX71" i="13"/>
  <c r="AW71" i="13"/>
  <c r="AV71" i="13"/>
  <c r="AT71" i="13"/>
  <c r="AS71" i="13"/>
  <c r="AR71" i="13"/>
  <c r="AQ71" i="13"/>
  <c r="AP71" i="13"/>
  <c r="AN71" i="13"/>
  <c r="AM71" i="13"/>
  <c r="AL71" i="13"/>
  <c r="AK71" i="13"/>
  <c r="AJ71" i="13"/>
  <c r="AH71" i="13"/>
  <c r="AG71" i="13"/>
  <c r="AF71" i="13"/>
  <c r="AE71" i="13"/>
  <c r="AD71" i="13"/>
  <c r="AB71" i="13"/>
  <c r="AA71" i="13"/>
  <c r="Z71" i="13"/>
  <c r="Y71" i="13"/>
  <c r="X71" i="13"/>
  <c r="V71" i="13"/>
  <c r="U71" i="13"/>
  <c r="T71" i="13"/>
  <c r="S71" i="13"/>
  <c r="R71" i="13"/>
  <c r="P71" i="13"/>
  <c r="O71" i="13"/>
  <c r="N71" i="13"/>
  <c r="M71" i="13"/>
  <c r="L71" i="13"/>
  <c r="J71" i="13"/>
  <c r="I71" i="13"/>
  <c r="H71" i="13"/>
  <c r="CB70" i="13"/>
  <c r="CA70" i="13"/>
  <c r="BZ70" i="13"/>
  <c r="BX70" i="13"/>
  <c r="BW70" i="13"/>
  <c r="BV70" i="13"/>
  <c r="BU70" i="13"/>
  <c r="BT70" i="13"/>
  <c r="BR70" i="13"/>
  <c r="BQ70" i="13"/>
  <c r="BP70" i="13"/>
  <c r="BO70" i="13"/>
  <c r="BN70" i="13"/>
  <c r="BL70" i="13"/>
  <c r="BK70" i="13"/>
  <c r="BJ70" i="13"/>
  <c r="BI70" i="13"/>
  <c r="BH70" i="13"/>
  <c r="BF70" i="13"/>
  <c r="BE70" i="13"/>
  <c r="BD70" i="13"/>
  <c r="BC70" i="13"/>
  <c r="BB70" i="13"/>
  <c r="AZ70" i="13"/>
  <c r="AY70" i="13"/>
  <c r="AX70" i="13"/>
  <c r="AW70" i="13"/>
  <c r="AV70" i="13"/>
  <c r="AT70" i="13"/>
  <c r="AS70" i="13"/>
  <c r="AR70" i="13"/>
  <c r="AQ70" i="13"/>
  <c r="AP70" i="13"/>
  <c r="AN70" i="13"/>
  <c r="AM70" i="13"/>
  <c r="AL70" i="13"/>
  <c r="AK70" i="13"/>
  <c r="AJ70" i="13"/>
  <c r="AH70" i="13"/>
  <c r="AG70" i="13"/>
  <c r="AF70" i="13"/>
  <c r="AE70" i="13"/>
  <c r="AD70" i="13"/>
  <c r="AB70" i="13"/>
  <c r="AA70" i="13"/>
  <c r="Z70" i="13"/>
  <c r="Y70" i="13"/>
  <c r="X70" i="13"/>
  <c r="V70" i="13"/>
  <c r="U70" i="13"/>
  <c r="T70" i="13"/>
  <c r="S70" i="13"/>
  <c r="R70" i="13"/>
  <c r="P70" i="13"/>
  <c r="O70" i="13"/>
  <c r="N70" i="13"/>
  <c r="M70" i="13"/>
  <c r="L70" i="13"/>
  <c r="J70" i="13"/>
  <c r="I70" i="13"/>
  <c r="H70" i="13"/>
  <c r="CB69" i="13"/>
  <c r="CA69" i="13"/>
  <c r="BZ69" i="13"/>
  <c r="BX69" i="13"/>
  <c r="BW69" i="13"/>
  <c r="BV69" i="13"/>
  <c r="BU69" i="13"/>
  <c r="BT69" i="13"/>
  <c r="BR69" i="13"/>
  <c r="BQ69" i="13"/>
  <c r="BP69" i="13"/>
  <c r="BO69" i="13"/>
  <c r="BN69" i="13"/>
  <c r="BL69" i="13"/>
  <c r="BK69" i="13"/>
  <c r="BJ69" i="13"/>
  <c r="BI69" i="13"/>
  <c r="BH69" i="13"/>
  <c r="BF69" i="13"/>
  <c r="BE69" i="13"/>
  <c r="BD69" i="13"/>
  <c r="BC69" i="13"/>
  <c r="BB69" i="13"/>
  <c r="AZ69" i="13"/>
  <c r="AY69" i="13"/>
  <c r="AX69" i="13"/>
  <c r="AW69" i="13"/>
  <c r="AV69" i="13"/>
  <c r="AT69" i="13"/>
  <c r="AS69" i="13"/>
  <c r="AR69" i="13"/>
  <c r="AQ69" i="13"/>
  <c r="AP69" i="13"/>
  <c r="AN69" i="13"/>
  <c r="AM69" i="13"/>
  <c r="AL69" i="13"/>
  <c r="AK69" i="13"/>
  <c r="AJ69" i="13"/>
  <c r="AH69" i="13"/>
  <c r="AG69" i="13"/>
  <c r="AF69" i="13"/>
  <c r="AE69" i="13"/>
  <c r="AD69" i="13"/>
  <c r="AB69" i="13"/>
  <c r="AA69" i="13"/>
  <c r="Z69" i="13"/>
  <c r="Y69" i="13"/>
  <c r="X69" i="13"/>
  <c r="V69" i="13"/>
  <c r="U69" i="13"/>
  <c r="T69" i="13"/>
  <c r="S69" i="13"/>
  <c r="R69" i="13"/>
  <c r="P69" i="13"/>
  <c r="O69" i="13"/>
  <c r="N69" i="13"/>
  <c r="M69" i="13"/>
  <c r="L69" i="13"/>
  <c r="J69" i="13"/>
  <c r="I69" i="13"/>
  <c r="H69" i="13"/>
  <c r="CB68" i="13"/>
  <c r="CA68" i="13"/>
  <c r="BZ68" i="13"/>
  <c r="BX68" i="13"/>
  <c r="BW68" i="13"/>
  <c r="BV68" i="13"/>
  <c r="BU68" i="13"/>
  <c r="BT68" i="13"/>
  <c r="BR68" i="13"/>
  <c r="BQ68" i="13"/>
  <c r="BP68" i="13"/>
  <c r="BO68" i="13"/>
  <c r="BN68" i="13"/>
  <c r="BL68" i="13"/>
  <c r="BK68" i="13"/>
  <c r="BJ68" i="13"/>
  <c r="BI68" i="13"/>
  <c r="BH68" i="13"/>
  <c r="BF68" i="13"/>
  <c r="BE68" i="13"/>
  <c r="BD68" i="13"/>
  <c r="BC68" i="13"/>
  <c r="BB68" i="13"/>
  <c r="AZ68" i="13"/>
  <c r="AY68" i="13"/>
  <c r="AX68" i="13"/>
  <c r="AW68" i="13"/>
  <c r="AV68" i="13"/>
  <c r="AT68" i="13"/>
  <c r="AS68" i="13"/>
  <c r="AR68" i="13"/>
  <c r="AQ68" i="13"/>
  <c r="AP68" i="13"/>
  <c r="AN68" i="13"/>
  <c r="AM68" i="13"/>
  <c r="AL68" i="13"/>
  <c r="AK68" i="13"/>
  <c r="AJ68" i="13"/>
  <c r="AH68" i="13"/>
  <c r="AG68" i="13"/>
  <c r="AF68" i="13"/>
  <c r="AE68" i="13"/>
  <c r="AD68" i="13"/>
  <c r="AB68" i="13"/>
  <c r="AA68" i="13"/>
  <c r="Z68" i="13"/>
  <c r="Y68" i="13"/>
  <c r="X68" i="13"/>
  <c r="V68" i="13"/>
  <c r="U68" i="13"/>
  <c r="T68" i="13"/>
  <c r="S68" i="13"/>
  <c r="R68" i="13"/>
  <c r="P68" i="13"/>
  <c r="O68" i="13"/>
  <c r="N68" i="13"/>
  <c r="M68" i="13"/>
  <c r="L68" i="13"/>
  <c r="J68" i="13"/>
  <c r="I68" i="13"/>
  <c r="H68" i="13"/>
  <c r="CB67" i="13"/>
  <c r="CA67" i="13"/>
  <c r="BZ67" i="13"/>
  <c r="BX67" i="13"/>
  <c r="BW67" i="13"/>
  <c r="BV67" i="13"/>
  <c r="BU67" i="13"/>
  <c r="BT67" i="13"/>
  <c r="BR67" i="13"/>
  <c r="BQ67" i="13"/>
  <c r="BP67" i="13"/>
  <c r="BO67" i="13"/>
  <c r="BN67" i="13"/>
  <c r="BL67" i="13"/>
  <c r="BK67" i="13"/>
  <c r="BJ67" i="13"/>
  <c r="BI67" i="13"/>
  <c r="BH67" i="13"/>
  <c r="BF67" i="13"/>
  <c r="BE67" i="13"/>
  <c r="BD67" i="13"/>
  <c r="BC67" i="13"/>
  <c r="BB67" i="13"/>
  <c r="AZ67" i="13"/>
  <c r="AY67" i="13"/>
  <c r="AX67" i="13"/>
  <c r="AW67" i="13"/>
  <c r="AV67" i="13"/>
  <c r="AT67" i="13"/>
  <c r="AS67" i="13"/>
  <c r="AR67" i="13"/>
  <c r="AQ67" i="13"/>
  <c r="AP67" i="13"/>
  <c r="AN67" i="13"/>
  <c r="AM67" i="13"/>
  <c r="AL67" i="13"/>
  <c r="AK67" i="13"/>
  <c r="AJ67" i="13"/>
  <c r="AH67" i="13"/>
  <c r="AG67" i="13"/>
  <c r="AF67" i="13"/>
  <c r="AE67" i="13"/>
  <c r="AD67" i="13"/>
  <c r="AB67" i="13"/>
  <c r="AA67" i="13"/>
  <c r="Z67" i="13"/>
  <c r="Y67" i="13"/>
  <c r="X67" i="13"/>
  <c r="V67" i="13"/>
  <c r="U67" i="13"/>
  <c r="T67" i="13"/>
  <c r="S67" i="13"/>
  <c r="R67" i="13"/>
  <c r="P67" i="13"/>
  <c r="O67" i="13"/>
  <c r="N67" i="13"/>
  <c r="M67" i="13"/>
  <c r="L67" i="13"/>
  <c r="J67" i="13"/>
  <c r="I67" i="13"/>
  <c r="H67" i="13"/>
  <c r="CB66" i="13"/>
  <c r="CA66" i="13"/>
  <c r="BZ66" i="13"/>
  <c r="BX66" i="13"/>
  <c r="BW66" i="13"/>
  <c r="BV66" i="13"/>
  <c r="BU66" i="13"/>
  <c r="BT66" i="13"/>
  <c r="BR66" i="13"/>
  <c r="BQ66" i="13"/>
  <c r="BP66" i="13"/>
  <c r="BO66" i="13"/>
  <c r="BN66" i="13"/>
  <c r="BL66" i="13"/>
  <c r="BK66" i="13"/>
  <c r="BJ66" i="13"/>
  <c r="BI66" i="13"/>
  <c r="BH66" i="13"/>
  <c r="BF66" i="13"/>
  <c r="BE66" i="13"/>
  <c r="BD66" i="13"/>
  <c r="BC66" i="13"/>
  <c r="BB66" i="13"/>
  <c r="AZ66" i="13"/>
  <c r="AY66" i="13"/>
  <c r="AX66" i="13"/>
  <c r="AW66" i="13"/>
  <c r="AV66" i="13"/>
  <c r="AT66" i="13"/>
  <c r="AS66" i="13"/>
  <c r="AR66" i="13"/>
  <c r="AQ66" i="13"/>
  <c r="AP66" i="13"/>
  <c r="AN66" i="13"/>
  <c r="AM66" i="13"/>
  <c r="AL66" i="13"/>
  <c r="AK66" i="13"/>
  <c r="AJ66" i="13"/>
  <c r="AH66" i="13"/>
  <c r="AG66" i="13"/>
  <c r="AF66" i="13"/>
  <c r="AE66" i="13"/>
  <c r="AD66" i="13"/>
  <c r="AB66" i="13"/>
  <c r="AA66" i="13"/>
  <c r="Z66" i="13"/>
  <c r="Y66" i="13"/>
  <c r="X66" i="13"/>
  <c r="V66" i="13"/>
  <c r="U66" i="13"/>
  <c r="T66" i="13"/>
  <c r="S66" i="13"/>
  <c r="R66" i="13"/>
  <c r="P66" i="13"/>
  <c r="O66" i="13"/>
  <c r="N66" i="13"/>
  <c r="M66" i="13"/>
  <c r="L66" i="13"/>
  <c r="J66" i="13"/>
  <c r="I66" i="13"/>
  <c r="H66" i="13"/>
  <c r="CB65" i="13"/>
  <c r="CA65" i="13"/>
  <c r="BZ65" i="13"/>
  <c r="BX65" i="13"/>
  <c r="BW65" i="13"/>
  <c r="BV65" i="13"/>
  <c r="BU65" i="13"/>
  <c r="BT65" i="13"/>
  <c r="BR65" i="13"/>
  <c r="BQ65" i="13"/>
  <c r="BP65" i="13"/>
  <c r="BO65" i="13"/>
  <c r="BN65" i="13"/>
  <c r="BL65" i="13"/>
  <c r="BK65" i="13"/>
  <c r="BJ65" i="13"/>
  <c r="BI65" i="13"/>
  <c r="BH65" i="13"/>
  <c r="BF65" i="13"/>
  <c r="BE65" i="13"/>
  <c r="BD65" i="13"/>
  <c r="BC65" i="13"/>
  <c r="BB65" i="13"/>
  <c r="AZ65" i="13"/>
  <c r="AY65" i="13"/>
  <c r="AX65" i="13"/>
  <c r="AW65" i="13"/>
  <c r="AV65" i="13"/>
  <c r="AT65" i="13"/>
  <c r="AS65" i="13"/>
  <c r="AR65" i="13"/>
  <c r="AQ65" i="13"/>
  <c r="AP65" i="13"/>
  <c r="AN65" i="13"/>
  <c r="AM65" i="13"/>
  <c r="AL65" i="13"/>
  <c r="AK65" i="13"/>
  <c r="AJ65" i="13"/>
  <c r="AH65" i="13"/>
  <c r="AG65" i="13"/>
  <c r="AF65" i="13"/>
  <c r="AE65" i="13"/>
  <c r="AD65" i="13"/>
  <c r="AB65" i="13"/>
  <c r="AA65" i="13"/>
  <c r="Z65" i="13"/>
  <c r="Y65" i="13"/>
  <c r="X65" i="13"/>
  <c r="V65" i="13"/>
  <c r="U65" i="13"/>
  <c r="T65" i="13"/>
  <c r="S65" i="13"/>
  <c r="R65" i="13"/>
  <c r="P65" i="13"/>
  <c r="O65" i="13"/>
  <c r="N65" i="13"/>
  <c r="M65" i="13"/>
  <c r="L65" i="13"/>
  <c r="J65" i="13"/>
  <c r="I65" i="13"/>
  <c r="H65" i="13"/>
  <c r="CB64" i="13"/>
  <c r="CA64" i="13"/>
  <c r="BZ64" i="13"/>
  <c r="BX64" i="13"/>
  <c r="BW64" i="13"/>
  <c r="BV64" i="13"/>
  <c r="BU64" i="13"/>
  <c r="BT64" i="13"/>
  <c r="BR64" i="13"/>
  <c r="BQ64" i="13"/>
  <c r="BP64" i="13"/>
  <c r="BO64" i="13"/>
  <c r="BN64" i="13"/>
  <c r="BL64" i="13"/>
  <c r="BK64" i="13"/>
  <c r="BJ64" i="13"/>
  <c r="BI64" i="13"/>
  <c r="BH64" i="13"/>
  <c r="BF64" i="13"/>
  <c r="BE64" i="13"/>
  <c r="BD64" i="13"/>
  <c r="BC64" i="13"/>
  <c r="BB64" i="13"/>
  <c r="AZ64" i="13"/>
  <c r="AY64" i="13"/>
  <c r="AX64" i="13"/>
  <c r="AW64" i="13"/>
  <c r="AV64" i="13"/>
  <c r="AT64" i="13"/>
  <c r="AS64" i="13"/>
  <c r="AR64" i="13"/>
  <c r="AQ64" i="13"/>
  <c r="AP64" i="13"/>
  <c r="AN64" i="13"/>
  <c r="AM64" i="13"/>
  <c r="AL64" i="13"/>
  <c r="AK64" i="13"/>
  <c r="AJ64" i="13"/>
  <c r="AH64" i="13"/>
  <c r="AG64" i="13"/>
  <c r="AF64" i="13"/>
  <c r="AE64" i="13"/>
  <c r="AD64" i="13"/>
  <c r="AB64" i="13"/>
  <c r="AA64" i="13"/>
  <c r="Z64" i="13"/>
  <c r="Y64" i="13"/>
  <c r="X64" i="13"/>
  <c r="V64" i="13"/>
  <c r="U64" i="13"/>
  <c r="T64" i="13"/>
  <c r="S64" i="13"/>
  <c r="R64" i="13"/>
  <c r="P64" i="13"/>
  <c r="O64" i="13"/>
  <c r="N64" i="13"/>
  <c r="M64" i="13"/>
  <c r="L64" i="13"/>
  <c r="J64" i="13"/>
  <c r="I64" i="13"/>
  <c r="H64" i="13"/>
  <c r="CB63" i="13"/>
  <c r="CA63" i="13"/>
  <c r="BZ63" i="13"/>
  <c r="BX63" i="13"/>
  <c r="BW63" i="13"/>
  <c r="BV63" i="13"/>
  <c r="BU63" i="13"/>
  <c r="BT63" i="13"/>
  <c r="BR63" i="13"/>
  <c r="BQ63" i="13"/>
  <c r="BP63" i="13"/>
  <c r="BO63" i="13"/>
  <c r="BN63" i="13"/>
  <c r="BL63" i="13"/>
  <c r="BK63" i="13"/>
  <c r="BJ63" i="13"/>
  <c r="BI63" i="13"/>
  <c r="BH63" i="13"/>
  <c r="BF63" i="13"/>
  <c r="BE63" i="13"/>
  <c r="BD63" i="13"/>
  <c r="BC63" i="13"/>
  <c r="BB63" i="13"/>
  <c r="AZ63" i="13"/>
  <c r="AY63" i="13"/>
  <c r="AX63" i="13"/>
  <c r="AW63" i="13"/>
  <c r="AV63" i="13"/>
  <c r="AT63" i="13"/>
  <c r="AS63" i="13"/>
  <c r="AR63" i="13"/>
  <c r="AQ63" i="13"/>
  <c r="AP63" i="13"/>
  <c r="AN63" i="13"/>
  <c r="AM63" i="13"/>
  <c r="AL63" i="13"/>
  <c r="AK63" i="13"/>
  <c r="AJ63" i="13"/>
  <c r="AH63" i="13"/>
  <c r="AG63" i="13"/>
  <c r="AF63" i="13"/>
  <c r="AE63" i="13"/>
  <c r="AD63" i="13"/>
  <c r="AB63" i="13"/>
  <c r="AA63" i="13"/>
  <c r="Z63" i="13"/>
  <c r="Y63" i="13"/>
  <c r="X63" i="13"/>
  <c r="V63" i="13"/>
  <c r="U63" i="13"/>
  <c r="T63" i="13"/>
  <c r="S63" i="13"/>
  <c r="R63" i="13"/>
  <c r="P63" i="13"/>
  <c r="O63" i="13"/>
  <c r="N63" i="13"/>
  <c r="M63" i="13"/>
  <c r="L63" i="13"/>
  <c r="J63" i="13"/>
  <c r="I63" i="13"/>
  <c r="H63" i="13"/>
  <c r="CB62" i="13"/>
  <c r="CA62" i="13"/>
  <c r="BZ62" i="13"/>
  <c r="BX62" i="13"/>
  <c r="BW62" i="13"/>
  <c r="BV62" i="13"/>
  <c r="BU62" i="13"/>
  <c r="BT62" i="13"/>
  <c r="BR62" i="13"/>
  <c r="BQ62" i="13"/>
  <c r="BP62" i="13"/>
  <c r="BO62" i="13"/>
  <c r="BN62" i="13"/>
  <c r="BL62" i="13"/>
  <c r="BK62" i="13"/>
  <c r="BJ62" i="13"/>
  <c r="BI62" i="13"/>
  <c r="BH62" i="13"/>
  <c r="BF62" i="13"/>
  <c r="BE62" i="13"/>
  <c r="BD62" i="13"/>
  <c r="BC62" i="13"/>
  <c r="BB62" i="13"/>
  <c r="AZ62" i="13"/>
  <c r="AY62" i="13"/>
  <c r="AX62" i="13"/>
  <c r="AW62" i="13"/>
  <c r="AV62" i="13"/>
  <c r="AT62" i="13"/>
  <c r="AS62" i="13"/>
  <c r="AR62" i="13"/>
  <c r="AQ62" i="13"/>
  <c r="AP62" i="13"/>
  <c r="AN62" i="13"/>
  <c r="AM62" i="13"/>
  <c r="AL62" i="13"/>
  <c r="AK62" i="13"/>
  <c r="AJ62" i="13"/>
  <c r="AH62" i="13"/>
  <c r="AG62" i="13"/>
  <c r="AF62" i="13"/>
  <c r="AE62" i="13"/>
  <c r="AD62" i="13"/>
  <c r="AB62" i="13"/>
  <c r="AA62" i="13"/>
  <c r="Z62" i="13"/>
  <c r="Y62" i="13"/>
  <c r="X62" i="13"/>
  <c r="V62" i="13"/>
  <c r="U62" i="13"/>
  <c r="T62" i="13"/>
  <c r="S62" i="13"/>
  <c r="R62" i="13"/>
  <c r="P62" i="13"/>
  <c r="O62" i="13"/>
  <c r="N62" i="13"/>
  <c r="M62" i="13"/>
  <c r="L62" i="13"/>
  <c r="J62" i="13"/>
  <c r="I62" i="13"/>
  <c r="H62" i="13"/>
  <c r="CB61" i="13"/>
  <c r="CA61" i="13"/>
  <c r="BZ61" i="13"/>
  <c r="BX61" i="13"/>
  <c r="BW61" i="13"/>
  <c r="BV61" i="13"/>
  <c r="BU61" i="13"/>
  <c r="BT61" i="13"/>
  <c r="BR61" i="13"/>
  <c r="BQ61" i="13"/>
  <c r="BP61" i="13"/>
  <c r="BO61" i="13"/>
  <c r="BN61" i="13"/>
  <c r="BL61" i="13"/>
  <c r="BK61" i="13"/>
  <c r="BJ61" i="13"/>
  <c r="BI61" i="13"/>
  <c r="BH61" i="13"/>
  <c r="BF61" i="13"/>
  <c r="BE61" i="13"/>
  <c r="BD61" i="13"/>
  <c r="BC61" i="13"/>
  <c r="BB61" i="13"/>
  <c r="AZ61" i="13"/>
  <c r="AY61" i="13"/>
  <c r="AX61" i="13"/>
  <c r="AW61" i="13"/>
  <c r="AV61" i="13"/>
  <c r="AT61" i="13"/>
  <c r="AS61" i="13"/>
  <c r="AR61" i="13"/>
  <c r="AQ61" i="13"/>
  <c r="AP61" i="13"/>
  <c r="AN61" i="13"/>
  <c r="AM61" i="13"/>
  <c r="AL61" i="13"/>
  <c r="AK61" i="13"/>
  <c r="AJ61" i="13"/>
  <c r="AH61" i="13"/>
  <c r="AG61" i="13"/>
  <c r="AF61" i="13"/>
  <c r="AE61" i="13"/>
  <c r="AD61" i="13"/>
  <c r="AB61" i="13"/>
  <c r="AA61" i="13"/>
  <c r="Z61" i="13"/>
  <c r="Y61" i="13"/>
  <c r="X61" i="13"/>
  <c r="V61" i="13"/>
  <c r="U61" i="13"/>
  <c r="T61" i="13"/>
  <c r="S61" i="13"/>
  <c r="R61" i="13"/>
  <c r="P61" i="13"/>
  <c r="O61" i="13"/>
  <c r="N61" i="13"/>
  <c r="M61" i="13"/>
  <c r="L61" i="13"/>
  <c r="J61" i="13"/>
  <c r="I61" i="13"/>
  <c r="H61" i="13"/>
  <c r="CB60" i="13"/>
  <c r="CA60" i="13"/>
  <c r="BZ60" i="13"/>
  <c r="BX60" i="13"/>
  <c r="BW60" i="13"/>
  <c r="BV60" i="13"/>
  <c r="BU60" i="13"/>
  <c r="BT60" i="13"/>
  <c r="BR60" i="13"/>
  <c r="BQ60" i="13"/>
  <c r="BP60" i="13"/>
  <c r="BO60" i="13"/>
  <c r="BN60" i="13"/>
  <c r="BL60" i="13"/>
  <c r="BK60" i="13"/>
  <c r="BJ60" i="13"/>
  <c r="BI60" i="13"/>
  <c r="BH60" i="13"/>
  <c r="BF60" i="13"/>
  <c r="BE60" i="13"/>
  <c r="BD60" i="13"/>
  <c r="BC60" i="13"/>
  <c r="BB60" i="13"/>
  <c r="AZ60" i="13"/>
  <c r="AY60" i="13"/>
  <c r="AX60" i="13"/>
  <c r="AW60" i="13"/>
  <c r="AV60" i="13"/>
  <c r="AT60" i="13"/>
  <c r="AS60" i="13"/>
  <c r="AR60" i="13"/>
  <c r="AQ60" i="13"/>
  <c r="AP60" i="13"/>
  <c r="AN60" i="13"/>
  <c r="AM60" i="13"/>
  <c r="AL60" i="13"/>
  <c r="AK60" i="13"/>
  <c r="AJ60" i="13"/>
  <c r="AH60" i="13"/>
  <c r="AG60" i="13"/>
  <c r="AF60" i="13"/>
  <c r="AE60" i="13"/>
  <c r="AD60" i="13"/>
  <c r="AB60" i="13"/>
  <c r="AA60" i="13"/>
  <c r="Z60" i="13"/>
  <c r="Y60" i="13"/>
  <c r="X60" i="13"/>
  <c r="V60" i="13"/>
  <c r="U60" i="13"/>
  <c r="T60" i="13"/>
  <c r="S60" i="13"/>
  <c r="R60" i="13"/>
  <c r="P60" i="13"/>
  <c r="O60" i="13"/>
  <c r="N60" i="13"/>
  <c r="M60" i="13"/>
  <c r="L60" i="13"/>
  <c r="J60" i="13"/>
  <c r="I60" i="13"/>
  <c r="H60" i="13"/>
  <c r="CB59" i="13"/>
  <c r="CA59" i="13"/>
  <c r="BZ59" i="13"/>
  <c r="BX59" i="13"/>
  <c r="BW59" i="13"/>
  <c r="BV59" i="13"/>
  <c r="BU59" i="13"/>
  <c r="BT59" i="13"/>
  <c r="BR59" i="13"/>
  <c r="BQ59" i="13"/>
  <c r="BP59" i="13"/>
  <c r="BO59" i="13"/>
  <c r="BN59" i="13"/>
  <c r="H59" i="13"/>
  <c r="CB58" i="13"/>
  <c r="CA58" i="13"/>
  <c r="BZ58" i="13"/>
  <c r="BX58" i="13"/>
  <c r="BW58" i="13"/>
  <c r="BV58" i="13"/>
  <c r="BU58" i="13"/>
  <c r="BT58" i="13"/>
  <c r="BR58" i="13"/>
  <c r="BQ58" i="13"/>
  <c r="BP58" i="13"/>
  <c r="BO58" i="13"/>
  <c r="BN58" i="13"/>
  <c r="BL58" i="13"/>
  <c r="BK58" i="13"/>
  <c r="BJ58" i="13"/>
  <c r="BI58" i="13"/>
  <c r="BH58" i="13"/>
  <c r="BF58" i="13"/>
  <c r="BE58" i="13"/>
  <c r="BD58" i="13"/>
  <c r="BC58" i="13"/>
  <c r="BB58" i="13"/>
  <c r="AZ58" i="13"/>
  <c r="AY58" i="13"/>
  <c r="AX58" i="13"/>
  <c r="AW58" i="13"/>
  <c r="AV58" i="13"/>
  <c r="AT58" i="13"/>
  <c r="AS58" i="13"/>
  <c r="AR58" i="13"/>
  <c r="AQ58" i="13"/>
  <c r="AP58" i="13"/>
  <c r="H58" i="13"/>
  <c r="CB57" i="13"/>
  <c r="CA57" i="13"/>
  <c r="BZ57" i="13"/>
  <c r="BX57" i="13"/>
  <c r="BW57" i="13"/>
  <c r="BV57" i="13"/>
  <c r="BU57" i="13"/>
  <c r="BT57" i="13"/>
  <c r="BR57" i="13"/>
  <c r="BQ57" i="13"/>
  <c r="BP57" i="13"/>
  <c r="BO57" i="13"/>
  <c r="BN57" i="13"/>
  <c r="BL57" i="13"/>
  <c r="BK57" i="13"/>
  <c r="BJ57" i="13"/>
  <c r="BI57" i="13"/>
  <c r="BH57" i="13"/>
  <c r="BF57" i="13"/>
  <c r="BE57" i="13"/>
  <c r="BD57" i="13"/>
  <c r="BC57" i="13"/>
  <c r="BB57" i="13"/>
  <c r="AZ57" i="13"/>
  <c r="AY57" i="13"/>
  <c r="AX57" i="13"/>
  <c r="AW57" i="13"/>
  <c r="AV57" i="13"/>
  <c r="AT57" i="13"/>
  <c r="AS57" i="13"/>
  <c r="AR57" i="13"/>
  <c r="AQ57" i="13"/>
  <c r="AP57" i="13"/>
  <c r="AN57" i="13"/>
  <c r="AM57" i="13"/>
  <c r="AL57" i="13"/>
  <c r="AK57" i="13"/>
  <c r="AJ57" i="13"/>
  <c r="AH57" i="13"/>
  <c r="AG57" i="13"/>
  <c r="AF57" i="13"/>
  <c r="AE57" i="13"/>
  <c r="AD57" i="13"/>
  <c r="AB57" i="13"/>
  <c r="AA57" i="13"/>
  <c r="Z57" i="13"/>
  <c r="Y57" i="13"/>
  <c r="X57" i="13"/>
  <c r="V57" i="13"/>
  <c r="U57" i="13"/>
  <c r="T57" i="13"/>
  <c r="S57" i="13"/>
  <c r="R57" i="13"/>
  <c r="P57" i="13"/>
  <c r="O57" i="13"/>
  <c r="N57" i="13"/>
  <c r="M57" i="13"/>
  <c r="L57" i="13"/>
  <c r="J57" i="13"/>
  <c r="I57" i="13"/>
  <c r="H57" i="13"/>
  <c r="CB56" i="13"/>
  <c r="CA56" i="13"/>
  <c r="BZ56" i="13"/>
  <c r="BX56" i="13"/>
  <c r="BW56" i="13"/>
  <c r="BV56" i="13"/>
  <c r="BU56" i="13"/>
  <c r="BT56" i="13"/>
  <c r="BR56" i="13"/>
  <c r="BQ56" i="13"/>
  <c r="BP56" i="13"/>
  <c r="BO56" i="13"/>
  <c r="BN56" i="13"/>
  <c r="BL56" i="13"/>
  <c r="BK56" i="13"/>
  <c r="BJ56" i="13"/>
  <c r="BI56" i="13"/>
  <c r="BH56" i="13"/>
  <c r="BF56" i="13"/>
  <c r="BE56" i="13"/>
  <c r="BD56" i="13"/>
  <c r="BC56" i="13"/>
  <c r="BB56" i="13"/>
  <c r="AZ56" i="13"/>
  <c r="AY56" i="13"/>
  <c r="AX56" i="13"/>
  <c r="AW56" i="13"/>
  <c r="AV56" i="13"/>
  <c r="AT56" i="13"/>
  <c r="AS56" i="13"/>
  <c r="AR56" i="13"/>
  <c r="AQ56" i="13"/>
  <c r="AP56" i="13"/>
  <c r="AN56" i="13"/>
  <c r="AM56" i="13"/>
  <c r="AL56" i="13"/>
  <c r="AK56" i="13"/>
  <c r="AJ56" i="13"/>
  <c r="AH56" i="13"/>
  <c r="AG56" i="13"/>
  <c r="AF56" i="13"/>
  <c r="AE56" i="13"/>
  <c r="AD56" i="13"/>
  <c r="AB56" i="13"/>
  <c r="AA56" i="13"/>
  <c r="Z56" i="13"/>
  <c r="Y56" i="13"/>
  <c r="X56" i="13"/>
  <c r="V56" i="13"/>
  <c r="U56" i="13"/>
  <c r="T56" i="13"/>
  <c r="S56" i="13"/>
  <c r="R56" i="13"/>
  <c r="P56" i="13"/>
  <c r="O56" i="13"/>
  <c r="N56" i="13"/>
  <c r="M56" i="13"/>
  <c r="L56" i="13"/>
  <c r="J56" i="13"/>
  <c r="I56" i="13"/>
  <c r="H56" i="13"/>
  <c r="CB55" i="13"/>
  <c r="CA55" i="13"/>
  <c r="BZ55" i="13"/>
  <c r="BX55" i="13"/>
  <c r="BW55" i="13"/>
  <c r="BV55" i="13"/>
  <c r="BU55" i="13"/>
  <c r="BT55" i="13"/>
  <c r="BR55" i="13"/>
  <c r="BQ55" i="13"/>
  <c r="BP55" i="13"/>
  <c r="BO55" i="13"/>
  <c r="BN55" i="13"/>
  <c r="BL55" i="13"/>
  <c r="BK55" i="13"/>
  <c r="BJ55" i="13"/>
  <c r="BI55" i="13"/>
  <c r="BH55" i="13"/>
  <c r="BF55" i="13"/>
  <c r="BE55" i="13"/>
  <c r="BD55" i="13"/>
  <c r="BC55" i="13"/>
  <c r="BB55" i="13"/>
  <c r="AZ55" i="13"/>
  <c r="AY55" i="13"/>
  <c r="AX55" i="13"/>
  <c r="AW55" i="13"/>
  <c r="AV55" i="13"/>
  <c r="AT55" i="13"/>
  <c r="AS55" i="13"/>
  <c r="AR55" i="13"/>
  <c r="AQ55" i="13"/>
  <c r="AP55" i="13"/>
  <c r="AN55" i="13"/>
  <c r="AM55" i="13"/>
  <c r="AL55" i="13"/>
  <c r="AK55" i="13"/>
  <c r="AJ55" i="13"/>
  <c r="AH55" i="13"/>
  <c r="AG55" i="13"/>
  <c r="AF55" i="13"/>
  <c r="AE55" i="13"/>
  <c r="AD55" i="13"/>
  <c r="AB55" i="13"/>
  <c r="AA55" i="13"/>
  <c r="Z55" i="13"/>
  <c r="Y55" i="13"/>
  <c r="X55" i="13"/>
  <c r="V55" i="13"/>
  <c r="U55" i="13"/>
  <c r="T55" i="13"/>
  <c r="S55" i="13"/>
  <c r="R55" i="13"/>
  <c r="P55" i="13"/>
  <c r="O55" i="13"/>
  <c r="N55" i="13"/>
  <c r="M55" i="13"/>
  <c r="L55" i="13"/>
  <c r="J55" i="13"/>
  <c r="I55" i="13"/>
  <c r="H55" i="13"/>
  <c r="CB54" i="13"/>
  <c r="CA54" i="13"/>
  <c r="BZ54" i="13"/>
  <c r="BX54" i="13"/>
  <c r="H54" i="13"/>
  <c r="CB53" i="13"/>
  <c r="CA53" i="13"/>
  <c r="BZ53" i="13"/>
  <c r="BX53" i="13"/>
  <c r="BW53" i="13"/>
  <c r="BV53" i="13"/>
  <c r="BU53" i="13"/>
  <c r="BT53" i="13"/>
  <c r="BR53" i="13"/>
  <c r="BQ53" i="13"/>
  <c r="BP53" i="13"/>
  <c r="BO53" i="13"/>
  <c r="BN53" i="13"/>
  <c r="BL53" i="13"/>
  <c r="BK53" i="13"/>
  <c r="BJ53" i="13"/>
  <c r="BI53" i="13"/>
  <c r="BH53" i="13"/>
  <c r="BF53" i="13"/>
  <c r="BE53" i="13"/>
  <c r="BD53" i="13"/>
  <c r="BC53" i="13"/>
  <c r="BB53" i="13"/>
  <c r="AZ53" i="13"/>
  <c r="AY53" i="13"/>
  <c r="AX53" i="13"/>
  <c r="AW53" i="13"/>
  <c r="AV53" i="13"/>
  <c r="AT53" i="13"/>
  <c r="AS53" i="13"/>
  <c r="AR53" i="13"/>
  <c r="AQ53" i="13"/>
  <c r="AP53" i="13"/>
  <c r="AN53" i="13"/>
  <c r="AM53" i="13"/>
  <c r="AL53" i="13"/>
  <c r="AK53" i="13"/>
  <c r="AJ53" i="13"/>
  <c r="AH53" i="13"/>
  <c r="AG53" i="13"/>
  <c r="AF53" i="13"/>
  <c r="AE53" i="13"/>
  <c r="AD53" i="13"/>
  <c r="AB53" i="13"/>
  <c r="AA53" i="13"/>
  <c r="Z53" i="13"/>
  <c r="Y53" i="13"/>
  <c r="X53" i="13"/>
  <c r="V53" i="13"/>
  <c r="U53" i="13"/>
  <c r="T53" i="13"/>
  <c r="S53" i="13"/>
  <c r="R53" i="13"/>
  <c r="P53" i="13"/>
  <c r="O53" i="13"/>
  <c r="N53" i="13"/>
  <c r="M53" i="13"/>
  <c r="L53" i="13"/>
  <c r="J53" i="13"/>
  <c r="I53" i="13"/>
  <c r="H53" i="13"/>
  <c r="CB52" i="13"/>
  <c r="CA52" i="13"/>
  <c r="BZ52" i="13"/>
  <c r="BX52" i="13"/>
  <c r="BW52" i="13"/>
  <c r="BV52" i="13"/>
  <c r="BU52" i="13"/>
  <c r="BT52" i="13"/>
  <c r="BR52" i="13"/>
  <c r="BQ52" i="13"/>
  <c r="BP52" i="13"/>
  <c r="BO52" i="13"/>
  <c r="BN52" i="13"/>
  <c r="BL52" i="13"/>
  <c r="BK52" i="13"/>
  <c r="BJ52" i="13"/>
  <c r="BI52" i="13"/>
  <c r="BH52" i="13"/>
  <c r="BF52" i="13"/>
  <c r="BE52" i="13"/>
  <c r="BD52" i="13"/>
  <c r="BC52" i="13"/>
  <c r="BB52" i="13"/>
  <c r="H52" i="13"/>
  <c r="CB51" i="13"/>
  <c r="CA51" i="13"/>
  <c r="BZ51" i="13"/>
  <c r="BX51" i="13"/>
  <c r="BW51" i="13"/>
  <c r="BV51" i="13"/>
  <c r="BU51" i="13"/>
  <c r="BT51" i="13"/>
  <c r="BR51" i="13"/>
  <c r="BQ51" i="13"/>
  <c r="BP51" i="13"/>
  <c r="BO51" i="13"/>
  <c r="BN51" i="13"/>
  <c r="BL51" i="13"/>
  <c r="BK51" i="13"/>
  <c r="BJ51" i="13"/>
  <c r="BI51" i="13"/>
  <c r="BH51" i="13"/>
  <c r="BF51" i="13"/>
  <c r="BE51" i="13"/>
  <c r="BD51" i="13"/>
  <c r="BC51" i="13"/>
  <c r="BB51" i="13"/>
  <c r="AZ51" i="13"/>
  <c r="AY51" i="13"/>
  <c r="AX51" i="13"/>
  <c r="AW51" i="13"/>
  <c r="AV51" i="13"/>
  <c r="AT51" i="13"/>
  <c r="H51" i="13"/>
  <c r="CB50" i="13"/>
  <c r="CA50" i="13"/>
  <c r="BZ50" i="13"/>
  <c r="BX50" i="13"/>
  <c r="BW50" i="13"/>
  <c r="BV50" i="13"/>
  <c r="BU50" i="13"/>
  <c r="BT50" i="13"/>
  <c r="BR50" i="13"/>
  <c r="BQ50" i="13"/>
  <c r="BP50" i="13"/>
  <c r="BO50" i="13"/>
  <c r="BN50" i="13"/>
  <c r="BL50" i="13"/>
  <c r="BK50" i="13"/>
  <c r="BJ50" i="13"/>
  <c r="BI50" i="13"/>
  <c r="BH50" i="13"/>
  <c r="BF50" i="13"/>
  <c r="BE50" i="13"/>
  <c r="BD50" i="13"/>
  <c r="BC50" i="13"/>
  <c r="BB50" i="13"/>
  <c r="AZ50" i="13"/>
  <c r="AY50" i="13"/>
  <c r="AX50" i="13"/>
  <c r="AW50" i="13"/>
  <c r="AV50" i="13"/>
  <c r="AT50" i="13"/>
  <c r="AS50" i="13"/>
  <c r="AR50" i="13"/>
  <c r="AQ50" i="13"/>
  <c r="AP50" i="13"/>
  <c r="AN50" i="13"/>
  <c r="AM50" i="13"/>
  <c r="AL50" i="13"/>
  <c r="AK50" i="13"/>
  <c r="AJ50" i="13"/>
  <c r="AH50" i="13"/>
  <c r="AG50" i="13"/>
  <c r="AF50" i="13"/>
  <c r="AE50" i="13"/>
  <c r="AD50" i="13"/>
  <c r="AB50" i="13"/>
  <c r="AA50" i="13"/>
  <c r="Z50" i="13"/>
  <c r="Y50" i="13"/>
  <c r="X50" i="13"/>
  <c r="V50" i="13"/>
  <c r="U50" i="13"/>
  <c r="T50" i="13"/>
  <c r="S50" i="13"/>
  <c r="R50" i="13"/>
  <c r="P50" i="13"/>
  <c r="O50" i="13"/>
  <c r="N50" i="13"/>
  <c r="M50" i="13"/>
  <c r="L50" i="13"/>
  <c r="J50" i="13"/>
  <c r="I50" i="13"/>
  <c r="H50" i="13"/>
  <c r="CB49" i="13"/>
  <c r="CA49" i="13"/>
  <c r="BZ49" i="13"/>
  <c r="H49" i="13"/>
  <c r="CB48" i="13"/>
  <c r="CA48" i="13"/>
  <c r="BZ48" i="13"/>
  <c r="BX48" i="13"/>
  <c r="BW48" i="13"/>
  <c r="BV48" i="13"/>
  <c r="BU48" i="13"/>
  <c r="BT48" i="13"/>
  <c r="BR48" i="13"/>
  <c r="BQ48" i="13"/>
  <c r="BP48" i="13"/>
  <c r="BO48" i="13"/>
  <c r="BN48" i="13"/>
  <c r="BL48" i="13"/>
  <c r="BK48" i="13"/>
  <c r="BJ48" i="13"/>
  <c r="BI48" i="13"/>
  <c r="BH48" i="13"/>
  <c r="BF48" i="13"/>
  <c r="BE48" i="13"/>
  <c r="BD48" i="13"/>
  <c r="BC48" i="13"/>
  <c r="BB48" i="13"/>
  <c r="AZ48" i="13"/>
  <c r="AY48" i="13"/>
  <c r="AX48" i="13"/>
  <c r="AW48" i="13"/>
  <c r="AV48" i="13"/>
  <c r="AT48" i="13"/>
  <c r="AS48" i="13"/>
  <c r="AR48" i="13"/>
  <c r="AQ48" i="13"/>
  <c r="AP48" i="13"/>
  <c r="AN48" i="13"/>
  <c r="AM48" i="13"/>
  <c r="AL48" i="13"/>
  <c r="AK48" i="13"/>
  <c r="AJ48" i="13"/>
  <c r="AH48" i="13"/>
  <c r="AG48" i="13"/>
  <c r="AF48" i="13"/>
  <c r="AE48" i="13"/>
  <c r="AD48" i="13"/>
  <c r="AB48" i="13"/>
  <c r="AA48" i="13"/>
  <c r="Z48" i="13"/>
  <c r="Y48" i="13"/>
  <c r="X48" i="13"/>
  <c r="V48" i="13"/>
  <c r="U48" i="13"/>
  <c r="T48" i="13"/>
  <c r="S48" i="13"/>
  <c r="R48" i="13"/>
  <c r="P48" i="13"/>
  <c r="O48" i="13"/>
  <c r="N48" i="13"/>
  <c r="M48" i="13"/>
  <c r="L48" i="13"/>
  <c r="J48" i="13"/>
  <c r="I48" i="13"/>
  <c r="H48" i="13"/>
  <c r="CB47" i="13"/>
  <c r="CA47" i="13"/>
  <c r="BZ47" i="13"/>
  <c r="BX47" i="13"/>
  <c r="BW47" i="13"/>
  <c r="BV47" i="13"/>
  <c r="BU47" i="13"/>
  <c r="BT47" i="13"/>
  <c r="BR47" i="13"/>
  <c r="BQ47" i="13"/>
  <c r="BP47" i="13"/>
  <c r="BO47" i="13"/>
  <c r="BN47" i="13"/>
  <c r="BL47" i="13"/>
  <c r="BK47" i="13"/>
  <c r="BJ47" i="13"/>
  <c r="BI47" i="13"/>
  <c r="BH47" i="13"/>
  <c r="BF47" i="13"/>
  <c r="BE47" i="13"/>
  <c r="BD47" i="13"/>
  <c r="BC47" i="13"/>
  <c r="BB47" i="13"/>
  <c r="AZ47" i="13"/>
  <c r="AY47" i="13"/>
  <c r="AX47" i="13"/>
  <c r="AW47" i="13"/>
  <c r="AV47" i="13"/>
  <c r="AT47" i="13"/>
  <c r="AS47" i="13"/>
  <c r="AR47" i="13"/>
  <c r="AQ47" i="13"/>
  <c r="AP47" i="13"/>
  <c r="AN47" i="13"/>
  <c r="AM47" i="13"/>
  <c r="AL47" i="13"/>
  <c r="AK47" i="13"/>
  <c r="AJ47" i="13"/>
  <c r="AH47" i="13"/>
  <c r="AG47" i="13"/>
  <c r="AF47" i="13"/>
  <c r="AE47" i="13"/>
  <c r="AD47" i="13"/>
  <c r="AB47" i="13"/>
  <c r="AA47" i="13"/>
  <c r="Z47" i="13"/>
  <c r="Y47" i="13"/>
  <c r="X47" i="13"/>
  <c r="V47" i="13"/>
  <c r="U47" i="13"/>
  <c r="T47" i="13"/>
  <c r="S47" i="13"/>
  <c r="R47" i="13"/>
  <c r="P47" i="13"/>
  <c r="O47" i="13"/>
  <c r="N47" i="13"/>
  <c r="M47" i="13"/>
  <c r="L47" i="13"/>
  <c r="J47" i="13"/>
  <c r="I47" i="13"/>
  <c r="H47" i="13"/>
  <c r="CB46" i="13"/>
  <c r="CA46" i="13"/>
  <c r="BZ46" i="13"/>
  <c r="BX46" i="13"/>
  <c r="BW46" i="13"/>
  <c r="BV46" i="13"/>
  <c r="BU46" i="13"/>
  <c r="BT46" i="13"/>
  <c r="BR46" i="13"/>
  <c r="BQ46" i="13"/>
  <c r="BP46" i="13"/>
  <c r="BO46" i="13"/>
  <c r="BN46" i="13"/>
  <c r="BL46" i="13"/>
  <c r="BK46" i="13"/>
  <c r="BJ46" i="13"/>
  <c r="BI46" i="13"/>
  <c r="BH46" i="13"/>
  <c r="BF46" i="13"/>
  <c r="BE46" i="13"/>
  <c r="BD46" i="13"/>
  <c r="BC46" i="13"/>
  <c r="BB46" i="13"/>
  <c r="AZ46" i="13"/>
  <c r="AY46" i="13"/>
  <c r="AX46" i="13"/>
  <c r="AW46" i="13"/>
  <c r="AV46" i="13"/>
  <c r="AT46" i="13"/>
  <c r="AS46" i="13"/>
  <c r="AR46" i="13"/>
  <c r="AQ46" i="13"/>
  <c r="AP46" i="13"/>
  <c r="AN46" i="13"/>
  <c r="AM46" i="13"/>
  <c r="AL46" i="13"/>
  <c r="AK46" i="13"/>
  <c r="AJ46" i="13"/>
  <c r="AH46" i="13"/>
  <c r="AG46" i="13"/>
  <c r="AF46" i="13"/>
  <c r="AE46" i="13"/>
  <c r="AD46" i="13"/>
  <c r="AB46" i="13"/>
  <c r="AA46" i="13"/>
  <c r="Z46" i="13"/>
  <c r="Y46" i="13"/>
  <c r="X46" i="13"/>
  <c r="V46" i="13"/>
  <c r="U46" i="13"/>
  <c r="T46" i="13"/>
  <c r="S46" i="13"/>
  <c r="R46" i="13"/>
  <c r="P46" i="13"/>
  <c r="O46" i="13"/>
  <c r="N46" i="13"/>
  <c r="M46" i="13"/>
  <c r="L46" i="13"/>
  <c r="J46" i="13"/>
  <c r="I46" i="13"/>
  <c r="H46" i="13"/>
  <c r="CB45" i="13"/>
  <c r="CA45" i="13"/>
  <c r="BZ45" i="13"/>
  <c r="BX45" i="13"/>
  <c r="BW45" i="13"/>
  <c r="BV45" i="13"/>
  <c r="BU45" i="13"/>
  <c r="BT45" i="13"/>
  <c r="BR45" i="13"/>
  <c r="BQ45" i="13"/>
  <c r="BP45" i="13"/>
  <c r="BO45" i="13"/>
  <c r="BN45" i="13"/>
  <c r="BL45" i="13"/>
  <c r="BK45" i="13"/>
  <c r="BJ45" i="13"/>
  <c r="BI45" i="13"/>
  <c r="BH45" i="13"/>
  <c r="BF45" i="13"/>
  <c r="BE45" i="13"/>
  <c r="BD45" i="13"/>
  <c r="BC45" i="13"/>
  <c r="BB45" i="13"/>
  <c r="AZ45" i="13"/>
  <c r="AY45" i="13"/>
  <c r="AX45" i="13"/>
  <c r="AW45" i="13"/>
  <c r="AV45" i="13"/>
  <c r="AT45" i="13"/>
  <c r="AS45" i="13"/>
  <c r="AR45" i="13"/>
  <c r="AQ45" i="13"/>
  <c r="AP45" i="13"/>
  <c r="AN45" i="13"/>
  <c r="AM45" i="13"/>
  <c r="AL45" i="13"/>
  <c r="AK45" i="13"/>
  <c r="AJ45" i="13"/>
  <c r="AH45" i="13"/>
  <c r="AG45" i="13"/>
  <c r="AF45" i="13"/>
  <c r="AE45" i="13"/>
  <c r="AD45" i="13"/>
  <c r="AB45" i="13"/>
  <c r="AA45" i="13"/>
  <c r="Z45" i="13"/>
  <c r="Y45" i="13"/>
  <c r="X45" i="13"/>
  <c r="V45" i="13"/>
  <c r="U45" i="13"/>
  <c r="T45" i="13"/>
  <c r="S45" i="13"/>
  <c r="R45" i="13"/>
  <c r="P45" i="13"/>
  <c r="O45" i="13"/>
  <c r="N45" i="13"/>
  <c r="M45" i="13"/>
  <c r="L45" i="13"/>
  <c r="J45" i="13"/>
  <c r="I45" i="13"/>
  <c r="H45" i="13"/>
  <c r="CB44" i="13"/>
  <c r="CA44" i="13"/>
  <c r="BZ44" i="13"/>
  <c r="BX44" i="13"/>
  <c r="BW44" i="13"/>
  <c r="BV44" i="13"/>
  <c r="BU44" i="13"/>
  <c r="BT44" i="13"/>
  <c r="BR44" i="13"/>
  <c r="BQ44" i="13"/>
  <c r="BP44" i="13"/>
  <c r="BO44" i="13"/>
  <c r="BN44" i="13"/>
  <c r="BL44" i="13"/>
  <c r="BK44" i="13"/>
  <c r="BJ44" i="13"/>
  <c r="BI44" i="13"/>
  <c r="BH44" i="13"/>
  <c r="BF44" i="13"/>
  <c r="BE44" i="13"/>
  <c r="BD44" i="13"/>
  <c r="BC44" i="13"/>
  <c r="BB44" i="13"/>
  <c r="AZ44" i="13"/>
  <c r="AY44" i="13"/>
  <c r="AX44" i="13"/>
  <c r="AW44" i="13"/>
  <c r="AV44" i="13"/>
  <c r="AT44" i="13"/>
  <c r="AS44" i="13"/>
  <c r="AR44" i="13"/>
  <c r="AQ44" i="13"/>
  <c r="AP44" i="13"/>
  <c r="AN44" i="13"/>
  <c r="AM44" i="13"/>
  <c r="AL44" i="13"/>
  <c r="AK44" i="13"/>
  <c r="AJ44" i="13"/>
  <c r="AH44" i="13"/>
  <c r="AG44" i="13"/>
  <c r="AF44" i="13"/>
  <c r="AE44" i="13"/>
  <c r="AD44" i="13"/>
  <c r="AB44" i="13"/>
  <c r="AA44" i="13"/>
  <c r="Z44" i="13"/>
  <c r="Y44" i="13"/>
  <c r="X44" i="13"/>
  <c r="V44" i="13"/>
  <c r="U44" i="13"/>
  <c r="T44" i="13"/>
  <c r="S44" i="13"/>
  <c r="R44" i="13"/>
  <c r="P44" i="13"/>
  <c r="O44" i="13"/>
  <c r="N44" i="13"/>
  <c r="M44" i="13"/>
  <c r="L44" i="13"/>
  <c r="J44" i="13"/>
  <c r="I44" i="13"/>
  <c r="H44" i="13"/>
  <c r="CB43" i="13"/>
  <c r="CA43" i="13"/>
  <c r="BZ43" i="13"/>
  <c r="BX43" i="13"/>
  <c r="BW43" i="13"/>
  <c r="BV43" i="13"/>
  <c r="BU43" i="13"/>
  <c r="BT43" i="13"/>
  <c r="BR43" i="13"/>
  <c r="BQ43" i="13"/>
  <c r="BP43" i="13"/>
  <c r="BO43" i="13"/>
  <c r="BN43" i="13"/>
  <c r="BL43" i="13"/>
  <c r="BK43" i="13"/>
  <c r="BJ43" i="13"/>
  <c r="BI43" i="13"/>
  <c r="BH43" i="13"/>
  <c r="BF43" i="13"/>
  <c r="BE43" i="13"/>
  <c r="BD43" i="13"/>
  <c r="BC43" i="13"/>
  <c r="BB43" i="13"/>
  <c r="AZ43" i="13"/>
  <c r="AY43" i="13"/>
  <c r="AX43" i="13"/>
  <c r="AW43" i="13"/>
  <c r="AV43" i="13"/>
  <c r="AT43" i="13"/>
  <c r="AS43" i="13"/>
  <c r="AR43" i="13"/>
  <c r="AQ43" i="13"/>
  <c r="AP43" i="13"/>
  <c r="AN43" i="13"/>
  <c r="AM43" i="13"/>
  <c r="AL43" i="13"/>
  <c r="AK43" i="13"/>
  <c r="AJ43" i="13"/>
  <c r="AH43" i="13"/>
  <c r="AG43" i="13"/>
  <c r="AF43" i="13"/>
  <c r="AE43" i="13"/>
  <c r="AD43" i="13"/>
  <c r="AB43" i="13"/>
  <c r="AA43" i="13"/>
  <c r="Z43" i="13"/>
  <c r="Y43" i="13"/>
  <c r="X43" i="13"/>
  <c r="V43" i="13"/>
  <c r="U43" i="13"/>
  <c r="T43" i="13"/>
  <c r="S43" i="13"/>
  <c r="R43" i="13"/>
  <c r="P43" i="13"/>
  <c r="O43" i="13"/>
  <c r="N43" i="13"/>
  <c r="M43" i="13"/>
  <c r="L43" i="13"/>
  <c r="J43" i="13"/>
  <c r="I43" i="13"/>
  <c r="H43" i="13"/>
  <c r="CB42" i="13"/>
  <c r="CA42" i="13"/>
  <c r="BZ42" i="13"/>
  <c r="BX42" i="13"/>
  <c r="BW42" i="13"/>
  <c r="BV42" i="13"/>
  <c r="BU42" i="13"/>
  <c r="BT42" i="13"/>
  <c r="BR42" i="13"/>
  <c r="BQ42" i="13"/>
  <c r="BP42" i="13"/>
  <c r="BO42" i="13"/>
  <c r="BN42" i="13"/>
  <c r="BL42" i="13"/>
  <c r="BK42" i="13"/>
  <c r="BJ42" i="13"/>
  <c r="BI42" i="13"/>
  <c r="BH42" i="13"/>
  <c r="BF42" i="13"/>
  <c r="BE42" i="13"/>
  <c r="BD42" i="13"/>
  <c r="BC42" i="13"/>
  <c r="BB42" i="13"/>
  <c r="AZ42" i="13"/>
  <c r="AY42" i="13"/>
  <c r="AX42" i="13"/>
  <c r="AW42" i="13"/>
  <c r="AV42" i="13"/>
  <c r="AT42" i="13"/>
  <c r="AS42" i="13"/>
  <c r="AR42" i="13"/>
  <c r="AQ42" i="13"/>
  <c r="AP42" i="13"/>
  <c r="AN42" i="13"/>
  <c r="AM42" i="13"/>
  <c r="AL42" i="13"/>
  <c r="AK42" i="13"/>
  <c r="AJ42" i="13"/>
  <c r="AH42" i="13"/>
  <c r="AG42" i="13"/>
  <c r="AF42" i="13"/>
  <c r="AE42" i="13"/>
  <c r="AD42" i="13"/>
  <c r="AB42" i="13"/>
  <c r="AA42" i="13"/>
  <c r="Z42" i="13"/>
  <c r="Y42" i="13"/>
  <c r="X42" i="13"/>
  <c r="V42" i="13"/>
  <c r="U42" i="13"/>
  <c r="T42" i="13"/>
  <c r="S42" i="13"/>
  <c r="R42" i="13"/>
  <c r="P42" i="13"/>
  <c r="O42" i="13"/>
  <c r="N42" i="13"/>
  <c r="M42" i="13"/>
  <c r="L42" i="13"/>
  <c r="J42" i="13"/>
  <c r="I42" i="13"/>
  <c r="H42" i="13"/>
  <c r="CB41" i="13"/>
  <c r="CA41" i="13"/>
  <c r="BZ41" i="13"/>
  <c r="BX41" i="13"/>
  <c r="BW41" i="13"/>
  <c r="BV41" i="13"/>
  <c r="BU41" i="13"/>
  <c r="BT41" i="13"/>
  <c r="BR41" i="13"/>
  <c r="BQ41" i="13"/>
  <c r="BP41" i="13"/>
  <c r="BO41" i="13"/>
  <c r="BN41" i="13"/>
  <c r="BL41" i="13"/>
  <c r="BK41" i="13"/>
  <c r="BJ41" i="13"/>
  <c r="BI41" i="13"/>
  <c r="BH41" i="13"/>
  <c r="BF41" i="13"/>
  <c r="BE41" i="13"/>
  <c r="BD41" i="13"/>
  <c r="BC41" i="13"/>
  <c r="BB41" i="13"/>
  <c r="AZ41" i="13"/>
  <c r="AY41" i="13"/>
  <c r="AX41" i="13"/>
  <c r="AW41" i="13"/>
  <c r="AV41" i="13"/>
  <c r="AT41" i="13"/>
  <c r="AS41" i="13"/>
  <c r="AR41" i="13"/>
  <c r="AQ41" i="13"/>
  <c r="AP41" i="13"/>
  <c r="AN41" i="13"/>
  <c r="AM41" i="13"/>
  <c r="AL41" i="13"/>
  <c r="AK41" i="13"/>
  <c r="AJ41" i="13"/>
  <c r="AH41" i="13"/>
  <c r="AG41" i="13"/>
  <c r="AF41" i="13"/>
  <c r="AE41" i="13"/>
  <c r="AD41" i="13"/>
  <c r="AB41" i="13"/>
  <c r="AA41" i="13"/>
  <c r="Z41" i="13"/>
  <c r="Y41" i="13"/>
  <c r="X41" i="13"/>
  <c r="V41" i="13"/>
  <c r="U41" i="13"/>
  <c r="T41" i="13"/>
  <c r="S41" i="13"/>
  <c r="R41" i="13"/>
  <c r="P41" i="13"/>
  <c r="O41" i="13"/>
  <c r="N41" i="13"/>
  <c r="M41" i="13"/>
  <c r="L41" i="13"/>
  <c r="J41" i="13"/>
  <c r="I41" i="13"/>
  <c r="H41" i="13"/>
  <c r="CB40" i="13"/>
  <c r="CA40" i="13"/>
  <c r="BZ40" i="13"/>
  <c r="BX40" i="13"/>
  <c r="BW40" i="13"/>
  <c r="BV40" i="13"/>
  <c r="BU40" i="13"/>
  <c r="BT40" i="13"/>
  <c r="BR40" i="13"/>
  <c r="BQ40" i="13"/>
  <c r="BP40" i="13"/>
  <c r="BO40" i="13"/>
  <c r="BN40" i="13"/>
  <c r="BL40" i="13"/>
  <c r="BK40" i="13"/>
  <c r="BJ40" i="13"/>
  <c r="BI40" i="13"/>
  <c r="BH40" i="13"/>
  <c r="BF40" i="13"/>
  <c r="BE40" i="13"/>
  <c r="BD40" i="13"/>
  <c r="BC40" i="13"/>
  <c r="BB40" i="13"/>
  <c r="AZ40" i="13"/>
  <c r="AY40" i="13"/>
  <c r="AX40" i="13"/>
  <c r="AW40" i="13"/>
  <c r="AV40" i="13"/>
  <c r="AT40" i="13"/>
  <c r="AS40" i="13"/>
  <c r="AR40" i="13"/>
  <c r="AQ40" i="13"/>
  <c r="AP40" i="13"/>
  <c r="AN40" i="13"/>
  <c r="AM40" i="13"/>
  <c r="AL40" i="13"/>
  <c r="AK40" i="13"/>
  <c r="AJ40" i="13"/>
  <c r="AH40" i="13"/>
  <c r="AG40" i="13"/>
  <c r="AF40" i="13"/>
  <c r="AE40" i="13"/>
  <c r="AD40" i="13"/>
  <c r="AB40" i="13"/>
  <c r="AA40" i="13"/>
  <c r="Z40" i="13"/>
  <c r="Y40" i="13"/>
  <c r="X40" i="13"/>
  <c r="V40" i="13"/>
  <c r="U40" i="13"/>
  <c r="T40" i="13"/>
  <c r="S40" i="13"/>
  <c r="R40" i="13"/>
  <c r="P40" i="13"/>
  <c r="O40" i="13"/>
  <c r="N40" i="13"/>
  <c r="M40" i="13"/>
  <c r="L40" i="13"/>
  <c r="J40" i="13"/>
  <c r="I40" i="13"/>
  <c r="H40" i="13"/>
  <c r="CB39" i="13"/>
  <c r="CA39" i="13"/>
  <c r="BZ39" i="13"/>
  <c r="BX39" i="13"/>
  <c r="BW39" i="13"/>
  <c r="BV39" i="13"/>
  <c r="BU39" i="13"/>
  <c r="BT39" i="13"/>
  <c r="BR39" i="13"/>
  <c r="BQ39" i="13"/>
  <c r="BP39" i="13"/>
  <c r="BO39" i="13"/>
  <c r="BN39" i="13"/>
  <c r="BL39" i="13"/>
  <c r="BK39" i="13"/>
  <c r="BJ39" i="13"/>
  <c r="BI39" i="13"/>
  <c r="BH39" i="13"/>
  <c r="BF39" i="13"/>
  <c r="BE39" i="13"/>
  <c r="BD39" i="13"/>
  <c r="BC39" i="13"/>
  <c r="BB39" i="13"/>
  <c r="AZ39" i="13"/>
  <c r="AY39" i="13"/>
  <c r="AX39" i="13"/>
  <c r="AW39" i="13"/>
  <c r="AV39" i="13"/>
  <c r="AT39" i="13"/>
  <c r="AS39" i="13"/>
  <c r="AR39" i="13"/>
  <c r="AQ39" i="13"/>
  <c r="AP39" i="13"/>
  <c r="AN39" i="13"/>
  <c r="AM39" i="13"/>
  <c r="AL39" i="13"/>
  <c r="AK39" i="13"/>
  <c r="AJ39" i="13"/>
  <c r="AH39" i="13"/>
  <c r="AG39" i="13"/>
  <c r="AF39" i="13"/>
  <c r="AE39" i="13"/>
  <c r="AD39" i="13"/>
  <c r="AB39" i="13"/>
  <c r="AA39" i="13"/>
  <c r="Z39" i="13"/>
  <c r="Y39" i="13"/>
  <c r="X39" i="13"/>
  <c r="V39" i="13"/>
  <c r="U39" i="13"/>
  <c r="T39" i="13"/>
  <c r="S39" i="13"/>
  <c r="R39" i="13"/>
  <c r="P39" i="13"/>
  <c r="O39" i="13"/>
  <c r="N39" i="13"/>
  <c r="M39" i="13"/>
  <c r="L39" i="13"/>
  <c r="J39" i="13"/>
  <c r="I39" i="13"/>
  <c r="H39" i="13"/>
  <c r="CB38" i="13"/>
  <c r="CA38" i="13"/>
  <c r="BZ38" i="13"/>
  <c r="BX38" i="13"/>
  <c r="BW38" i="13"/>
  <c r="BV38" i="13"/>
  <c r="BU38" i="13"/>
  <c r="BT38" i="13"/>
  <c r="BR38" i="13"/>
  <c r="BQ38" i="13"/>
  <c r="BP38" i="13"/>
  <c r="BO38" i="13"/>
  <c r="BN38" i="13"/>
  <c r="BL38" i="13"/>
  <c r="BK38" i="13"/>
  <c r="BJ38" i="13"/>
  <c r="BI38" i="13"/>
  <c r="BH38" i="13"/>
  <c r="BF38" i="13"/>
  <c r="BE38" i="13"/>
  <c r="BD38" i="13"/>
  <c r="BC38" i="13"/>
  <c r="BB38" i="13"/>
  <c r="AZ38" i="13"/>
  <c r="AY38" i="13"/>
  <c r="AX38" i="13"/>
  <c r="AW38" i="13"/>
  <c r="AV38" i="13"/>
  <c r="AT38" i="13"/>
  <c r="AS38" i="13"/>
  <c r="AR38" i="13"/>
  <c r="AQ38" i="13"/>
  <c r="AP38" i="13"/>
  <c r="AN38" i="13"/>
  <c r="AM38" i="13"/>
  <c r="AL38" i="13"/>
  <c r="AK38" i="13"/>
  <c r="AJ38" i="13"/>
  <c r="AH38" i="13"/>
  <c r="AG38" i="13"/>
  <c r="AF38" i="13"/>
  <c r="AE38" i="13"/>
  <c r="AD38" i="13"/>
  <c r="AB38" i="13"/>
  <c r="AA38" i="13"/>
  <c r="Z38" i="13"/>
  <c r="Y38" i="13"/>
  <c r="X38" i="13"/>
  <c r="V38" i="13"/>
  <c r="U38" i="13"/>
  <c r="T38" i="13"/>
  <c r="S38" i="13"/>
  <c r="R38" i="13"/>
  <c r="P38" i="13"/>
  <c r="O38" i="13"/>
  <c r="N38" i="13"/>
  <c r="M38" i="13"/>
  <c r="L38" i="13"/>
  <c r="J38" i="13"/>
  <c r="I38" i="13"/>
  <c r="H38" i="13"/>
  <c r="CB37" i="13"/>
  <c r="CA37" i="13"/>
  <c r="BZ37" i="13"/>
  <c r="BX37" i="13"/>
  <c r="BW37" i="13"/>
  <c r="BV37" i="13"/>
  <c r="BU37" i="13"/>
  <c r="BT37" i="13"/>
  <c r="BR37" i="13"/>
  <c r="BQ37" i="13"/>
  <c r="BP37" i="13"/>
  <c r="BO37" i="13"/>
  <c r="BN37" i="13"/>
  <c r="BL37" i="13"/>
  <c r="BK37" i="13"/>
  <c r="BJ37" i="13"/>
  <c r="BI37" i="13"/>
  <c r="BH37" i="13"/>
  <c r="BF37" i="13"/>
  <c r="BE37" i="13"/>
  <c r="BD37" i="13"/>
  <c r="BC37" i="13"/>
  <c r="BB37" i="13"/>
  <c r="AZ37" i="13"/>
  <c r="AY37" i="13"/>
  <c r="AX37" i="13"/>
  <c r="AW37" i="13"/>
  <c r="AV37" i="13"/>
  <c r="AT37" i="13"/>
  <c r="AS37" i="13"/>
  <c r="AR37" i="13"/>
  <c r="AQ37" i="13"/>
  <c r="AP37" i="13"/>
  <c r="AN37" i="13"/>
  <c r="AM37" i="13"/>
  <c r="AL37" i="13"/>
  <c r="AK37" i="13"/>
  <c r="AJ37" i="13"/>
  <c r="AH37" i="13"/>
  <c r="AG37" i="13"/>
  <c r="AF37" i="13"/>
  <c r="AE37" i="13"/>
  <c r="AD37" i="13"/>
  <c r="AB37" i="13"/>
  <c r="AA37" i="13"/>
  <c r="Z37" i="13"/>
  <c r="Y37" i="13"/>
  <c r="X37" i="13"/>
  <c r="V37" i="13"/>
  <c r="U37" i="13"/>
  <c r="T37" i="13"/>
  <c r="S37" i="13"/>
  <c r="R37" i="13"/>
  <c r="P37" i="13"/>
  <c r="O37" i="13"/>
  <c r="N37" i="13"/>
  <c r="M37" i="13"/>
  <c r="L37" i="13"/>
  <c r="J37" i="13"/>
  <c r="I37" i="13"/>
  <c r="H37" i="13"/>
  <c r="CB36" i="13"/>
  <c r="CA36" i="13"/>
  <c r="BZ36" i="13"/>
  <c r="BX36" i="13"/>
  <c r="BW36" i="13"/>
  <c r="BV36" i="13"/>
  <c r="BU36" i="13"/>
  <c r="BT36" i="13"/>
  <c r="BR36" i="13"/>
  <c r="BQ36" i="13"/>
  <c r="BP36" i="13"/>
  <c r="BO36" i="13"/>
  <c r="BN36" i="13"/>
  <c r="BL36" i="13"/>
  <c r="BK36" i="13"/>
  <c r="BJ36" i="13"/>
  <c r="BI36" i="13"/>
  <c r="BH36" i="13"/>
  <c r="BF36" i="13"/>
  <c r="BE36" i="13"/>
  <c r="BD36" i="13"/>
  <c r="BC36" i="13"/>
  <c r="BB36" i="13"/>
  <c r="AZ36" i="13"/>
  <c r="AY36" i="13"/>
  <c r="AX36" i="13"/>
  <c r="AW36" i="13"/>
  <c r="AV36" i="13"/>
  <c r="AT36" i="13"/>
  <c r="AS36" i="13"/>
  <c r="AR36" i="13"/>
  <c r="AQ36" i="13"/>
  <c r="AP36" i="13"/>
  <c r="AN36" i="13"/>
  <c r="AM36" i="13"/>
  <c r="AL36" i="13"/>
  <c r="AK36" i="13"/>
  <c r="AJ36" i="13"/>
  <c r="AH36" i="13"/>
  <c r="AG36" i="13"/>
  <c r="AF36" i="13"/>
  <c r="AE36" i="13"/>
  <c r="AD36" i="13"/>
  <c r="AB36" i="13"/>
  <c r="AA36" i="13"/>
  <c r="Z36" i="13"/>
  <c r="Y36" i="13"/>
  <c r="X36" i="13"/>
  <c r="V36" i="13"/>
  <c r="U36" i="13"/>
  <c r="T36" i="13"/>
  <c r="S36" i="13"/>
  <c r="R36" i="13"/>
  <c r="P36" i="13"/>
  <c r="O36" i="13"/>
  <c r="N36" i="13"/>
  <c r="M36" i="13"/>
  <c r="L36" i="13"/>
  <c r="J36" i="13"/>
  <c r="I36" i="13"/>
  <c r="H36" i="13"/>
  <c r="CB35" i="13"/>
  <c r="CA35" i="13"/>
  <c r="BZ35" i="13"/>
  <c r="BX35" i="13"/>
  <c r="BW35" i="13"/>
  <c r="BV35" i="13"/>
  <c r="BU35" i="13"/>
  <c r="BT35" i="13"/>
  <c r="BR35" i="13"/>
  <c r="BQ35" i="13"/>
  <c r="BP35" i="13"/>
  <c r="BO35" i="13"/>
  <c r="BN35" i="13"/>
  <c r="BL35" i="13"/>
  <c r="BK35" i="13"/>
  <c r="BJ35" i="13"/>
  <c r="BI35" i="13"/>
  <c r="BH35" i="13"/>
  <c r="BF35" i="13"/>
  <c r="BE35" i="13"/>
  <c r="BD35" i="13"/>
  <c r="BC35" i="13"/>
  <c r="BB35" i="13"/>
  <c r="AZ35" i="13"/>
  <c r="AY35" i="13"/>
  <c r="AX35" i="13"/>
  <c r="AW35" i="13"/>
  <c r="AV35" i="13"/>
  <c r="AT35" i="13"/>
  <c r="AS35" i="13"/>
  <c r="AR35" i="13"/>
  <c r="AQ35" i="13"/>
  <c r="AP35" i="13"/>
  <c r="AN35" i="13"/>
  <c r="AM35" i="13"/>
  <c r="AL35" i="13"/>
  <c r="AK35" i="13"/>
  <c r="AJ35" i="13"/>
  <c r="AH35" i="13"/>
  <c r="AG35" i="13"/>
  <c r="AF35" i="13"/>
  <c r="AE35" i="13"/>
  <c r="AD35" i="13"/>
  <c r="AB35" i="13"/>
  <c r="AA35" i="13"/>
  <c r="Z35" i="13"/>
  <c r="Y35" i="13"/>
  <c r="X35" i="13"/>
  <c r="V35" i="13"/>
  <c r="U35" i="13"/>
  <c r="T35" i="13"/>
  <c r="S35" i="13"/>
  <c r="R35" i="13"/>
  <c r="P35" i="13"/>
  <c r="O35" i="13"/>
  <c r="N35" i="13"/>
  <c r="M35" i="13"/>
  <c r="L35" i="13"/>
  <c r="J35" i="13"/>
  <c r="I35" i="13"/>
  <c r="H35" i="13"/>
  <c r="CB34" i="13"/>
  <c r="CA34" i="13"/>
  <c r="BZ34" i="13"/>
  <c r="BX34" i="13"/>
  <c r="BW34" i="13"/>
  <c r="BV34" i="13"/>
  <c r="BU34" i="13"/>
  <c r="BT34" i="13"/>
  <c r="BR34" i="13"/>
  <c r="BQ34" i="13"/>
  <c r="BP34" i="13"/>
  <c r="BO34" i="13"/>
  <c r="BN34" i="13"/>
  <c r="BL34" i="13"/>
  <c r="BK34" i="13"/>
  <c r="BJ34" i="13"/>
  <c r="BI34" i="13"/>
  <c r="BH34" i="13"/>
  <c r="BF34" i="13"/>
  <c r="BE34" i="13"/>
  <c r="BD34" i="13"/>
  <c r="BC34" i="13"/>
  <c r="BB34" i="13"/>
  <c r="AZ34" i="13"/>
  <c r="AY34" i="13"/>
  <c r="AX34" i="13"/>
  <c r="AW34" i="13"/>
  <c r="AV34" i="13"/>
  <c r="AT34" i="13"/>
  <c r="AS34" i="13"/>
  <c r="AR34" i="13"/>
  <c r="AQ34" i="13"/>
  <c r="AP34" i="13"/>
  <c r="AN34" i="13"/>
  <c r="AM34" i="13"/>
  <c r="AL34" i="13"/>
  <c r="AK34" i="13"/>
  <c r="AJ34" i="13"/>
  <c r="AH34" i="13"/>
  <c r="AG34" i="13"/>
  <c r="AF34" i="13"/>
  <c r="AE34" i="13"/>
  <c r="AD34" i="13"/>
  <c r="AB34" i="13"/>
  <c r="AA34" i="13"/>
  <c r="Z34" i="13"/>
  <c r="Y34" i="13"/>
  <c r="X34" i="13"/>
  <c r="V34" i="13"/>
  <c r="U34" i="13"/>
  <c r="T34" i="13"/>
  <c r="S34" i="13"/>
  <c r="R34" i="13"/>
  <c r="P34" i="13"/>
  <c r="O34" i="13"/>
  <c r="N34" i="13"/>
  <c r="M34" i="13"/>
  <c r="L34" i="13"/>
  <c r="J34" i="13"/>
  <c r="I34" i="13"/>
  <c r="H34" i="13"/>
  <c r="CB33" i="13"/>
  <c r="CA33" i="13"/>
  <c r="BZ33" i="13"/>
  <c r="BX33" i="13"/>
  <c r="BW33" i="13"/>
  <c r="BV33" i="13"/>
  <c r="BU33" i="13"/>
  <c r="BT33" i="13"/>
  <c r="BR33" i="13"/>
  <c r="BQ33" i="13"/>
  <c r="BP33" i="13"/>
  <c r="BO33" i="13"/>
  <c r="BN33" i="13"/>
  <c r="BL33" i="13"/>
  <c r="BK33" i="13"/>
  <c r="BJ33" i="13"/>
  <c r="BI33" i="13"/>
  <c r="BH33" i="13"/>
  <c r="BF33" i="13"/>
  <c r="BE33" i="13"/>
  <c r="BD33" i="13"/>
  <c r="BC33" i="13"/>
  <c r="BB33" i="13"/>
  <c r="AZ33" i="13"/>
  <c r="AY33" i="13"/>
  <c r="AX33" i="13"/>
  <c r="AW33" i="13"/>
  <c r="AV33" i="13"/>
  <c r="AT33" i="13"/>
  <c r="AS33" i="13"/>
  <c r="AR33" i="13"/>
  <c r="AQ33" i="13"/>
  <c r="AP33" i="13"/>
  <c r="AN33" i="13"/>
  <c r="AM33" i="13"/>
  <c r="AL33" i="13"/>
  <c r="AK33" i="13"/>
  <c r="AJ33" i="13"/>
  <c r="AH33" i="13"/>
  <c r="AG33" i="13"/>
  <c r="AF33" i="13"/>
  <c r="AE33" i="13"/>
  <c r="AD33" i="13"/>
  <c r="AB33" i="13"/>
  <c r="AA33" i="13"/>
  <c r="Z33" i="13"/>
  <c r="Y33" i="13"/>
  <c r="X33" i="13"/>
  <c r="V33" i="13"/>
  <c r="U33" i="13"/>
  <c r="T33" i="13"/>
  <c r="S33" i="13"/>
  <c r="R33" i="13"/>
  <c r="P33" i="13"/>
  <c r="O33" i="13"/>
  <c r="N33" i="13"/>
  <c r="M33" i="13"/>
  <c r="L33" i="13"/>
  <c r="J33" i="13"/>
  <c r="I33" i="13"/>
  <c r="H33" i="13"/>
  <c r="CB32" i="13"/>
  <c r="CA32" i="13"/>
  <c r="BZ32" i="13"/>
  <c r="BX32" i="13"/>
  <c r="BW32" i="13"/>
  <c r="BV32" i="13"/>
  <c r="BU32" i="13"/>
  <c r="BT32" i="13"/>
  <c r="BR32" i="13"/>
  <c r="BQ32" i="13"/>
  <c r="BP32" i="13"/>
  <c r="BO32" i="13"/>
  <c r="BN32" i="13"/>
  <c r="BL32" i="13"/>
  <c r="BK32" i="13"/>
  <c r="BJ32" i="13"/>
  <c r="BI32" i="13"/>
  <c r="BH32" i="13"/>
  <c r="BF32" i="13"/>
  <c r="BE32" i="13"/>
  <c r="BD32" i="13"/>
  <c r="BC32" i="13"/>
  <c r="BB32" i="13"/>
  <c r="AZ32" i="13"/>
  <c r="AY32" i="13"/>
  <c r="AX32" i="13"/>
  <c r="AW32" i="13"/>
  <c r="AV32" i="13"/>
  <c r="AT32" i="13"/>
  <c r="AS32" i="13"/>
  <c r="AR32" i="13"/>
  <c r="AQ32" i="13"/>
  <c r="AP32" i="13"/>
  <c r="AN32" i="13"/>
  <c r="AM32" i="13"/>
  <c r="AL32" i="13"/>
  <c r="AK32" i="13"/>
  <c r="AJ32" i="13"/>
  <c r="AH32" i="13"/>
  <c r="AG32" i="13"/>
  <c r="AF32" i="13"/>
  <c r="AE32" i="13"/>
  <c r="AD32" i="13"/>
  <c r="AB32" i="13"/>
  <c r="AA32" i="13"/>
  <c r="Z32" i="13"/>
  <c r="Y32" i="13"/>
  <c r="X32" i="13"/>
  <c r="V32" i="13"/>
  <c r="U32" i="13"/>
  <c r="T32" i="13"/>
  <c r="S32" i="13"/>
  <c r="R32" i="13"/>
  <c r="P32" i="13"/>
  <c r="O32" i="13"/>
  <c r="N32" i="13"/>
  <c r="M32" i="13"/>
  <c r="L32" i="13"/>
  <c r="J32" i="13"/>
  <c r="I32" i="13"/>
  <c r="H32" i="13"/>
  <c r="CB31" i="13"/>
  <c r="CA31" i="13"/>
  <c r="BZ31" i="13"/>
  <c r="BX31" i="13"/>
  <c r="BW31" i="13"/>
  <c r="BV31" i="13"/>
  <c r="BU31" i="13"/>
  <c r="BT31" i="13"/>
  <c r="BR31" i="13"/>
  <c r="BQ31" i="13"/>
  <c r="BP31" i="13"/>
  <c r="BO31" i="13"/>
  <c r="BN31" i="13"/>
  <c r="BL31" i="13"/>
  <c r="BK31" i="13"/>
  <c r="BJ31" i="13"/>
  <c r="BI31" i="13"/>
  <c r="BH31" i="13"/>
  <c r="BF31" i="13"/>
  <c r="BE31" i="13"/>
  <c r="BD31" i="13"/>
  <c r="BC31" i="13"/>
  <c r="BB31" i="13"/>
  <c r="AZ31" i="13"/>
  <c r="AY31" i="13"/>
  <c r="AX31" i="13"/>
  <c r="AW31" i="13"/>
  <c r="AV31" i="13"/>
  <c r="AT31" i="13"/>
  <c r="AS31" i="13"/>
  <c r="AR31" i="13"/>
  <c r="AQ31" i="13"/>
  <c r="AP31" i="13"/>
  <c r="AN31" i="13"/>
  <c r="AM31" i="13"/>
  <c r="AL31" i="13"/>
  <c r="AK31" i="13"/>
  <c r="AJ31" i="13"/>
  <c r="AH31" i="13"/>
  <c r="AG31" i="13"/>
  <c r="AF31" i="13"/>
  <c r="AE31" i="13"/>
  <c r="AD31" i="13"/>
  <c r="AB31" i="13"/>
  <c r="AA31" i="13"/>
  <c r="Z31" i="13"/>
  <c r="Y31" i="13"/>
  <c r="X31" i="13"/>
  <c r="V31" i="13"/>
  <c r="U31" i="13"/>
  <c r="T31" i="13"/>
  <c r="S31" i="13"/>
  <c r="R31" i="13"/>
  <c r="P31" i="13"/>
  <c r="O31" i="13"/>
  <c r="N31" i="13"/>
  <c r="M31" i="13"/>
  <c r="L31" i="13"/>
  <c r="J31" i="13"/>
  <c r="I31" i="13"/>
  <c r="H31" i="13"/>
  <c r="CB30" i="13"/>
  <c r="CA30" i="13"/>
  <c r="BZ30" i="13"/>
  <c r="BX30" i="13"/>
  <c r="BW30" i="13"/>
  <c r="BV30" i="13"/>
  <c r="BU30" i="13"/>
  <c r="BT30" i="13"/>
  <c r="BR30" i="13"/>
  <c r="BQ30" i="13"/>
  <c r="BP30" i="13"/>
  <c r="BO30" i="13"/>
  <c r="BN30" i="13"/>
  <c r="BL30" i="13"/>
  <c r="BK30" i="13"/>
  <c r="BJ30" i="13"/>
  <c r="BI30" i="13"/>
  <c r="BH30" i="13"/>
  <c r="BF30" i="13"/>
  <c r="BE30" i="13"/>
  <c r="BD30" i="13"/>
  <c r="BC30" i="13"/>
  <c r="BB30" i="13"/>
  <c r="AZ30" i="13"/>
  <c r="AY30" i="13"/>
  <c r="AX30" i="13"/>
  <c r="AW30" i="13"/>
  <c r="AV30" i="13"/>
  <c r="AT30" i="13"/>
  <c r="AS30" i="13"/>
  <c r="AR30" i="13"/>
  <c r="AQ30" i="13"/>
  <c r="AP30" i="13"/>
  <c r="AN30" i="13"/>
  <c r="AM30" i="13"/>
  <c r="AL30" i="13"/>
  <c r="AK30" i="13"/>
  <c r="AJ30" i="13"/>
  <c r="AH30" i="13"/>
  <c r="AG30" i="13"/>
  <c r="AF30" i="13"/>
  <c r="AE30" i="13"/>
  <c r="AD30" i="13"/>
  <c r="AB30" i="13"/>
  <c r="AA30" i="13"/>
  <c r="Z30" i="13"/>
  <c r="Y30" i="13"/>
  <c r="X30" i="13"/>
  <c r="V30" i="13"/>
  <c r="U30" i="13"/>
  <c r="T30" i="13"/>
  <c r="S30" i="13"/>
  <c r="R30" i="13"/>
  <c r="P30" i="13"/>
  <c r="O30" i="13"/>
  <c r="N30" i="13"/>
  <c r="M30" i="13"/>
  <c r="L30" i="13"/>
  <c r="J30" i="13"/>
  <c r="I30" i="13"/>
  <c r="H30" i="13"/>
  <c r="CB29" i="13"/>
  <c r="CA29" i="13"/>
  <c r="BZ29" i="13"/>
  <c r="BX29" i="13"/>
  <c r="BW29" i="13"/>
  <c r="BV29" i="13"/>
  <c r="BU29" i="13"/>
  <c r="BT29" i="13"/>
  <c r="BR29" i="13"/>
  <c r="BQ29" i="13"/>
  <c r="BP29" i="13"/>
  <c r="BO29" i="13"/>
  <c r="BN29" i="13"/>
  <c r="BL29" i="13"/>
  <c r="BK29" i="13"/>
  <c r="BJ29" i="13"/>
  <c r="BI29" i="13"/>
  <c r="BH29" i="13"/>
  <c r="BF29" i="13"/>
  <c r="BE29" i="13"/>
  <c r="BD29" i="13"/>
  <c r="BC29" i="13"/>
  <c r="BB29" i="13"/>
  <c r="AZ29" i="13"/>
  <c r="AY29" i="13"/>
  <c r="AX29" i="13"/>
  <c r="AW29" i="13"/>
  <c r="AV29" i="13"/>
  <c r="AT29" i="13"/>
  <c r="AS29" i="13"/>
  <c r="AR29" i="13"/>
  <c r="AQ29" i="13"/>
  <c r="AP29" i="13"/>
  <c r="AN29" i="13"/>
  <c r="AM29" i="13"/>
  <c r="AL29" i="13"/>
  <c r="AK29" i="13"/>
  <c r="AJ29" i="13"/>
  <c r="AH29" i="13"/>
  <c r="AG29" i="13"/>
  <c r="AF29" i="13"/>
  <c r="AE29" i="13"/>
  <c r="AD29" i="13"/>
  <c r="AB29" i="13"/>
  <c r="AA29" i="13"/>
  <c r="Z29" i="13"/>
  <c r="Y29" i="13"/>
  <c r="X29" i="13"/>
  <c r="V29" i="13"/>
  <c r="U29" i="13"/>
  <c r="T29" i="13"/>
  <c r="S29" i="13"/>
  <c r="R29" i="13"/>
  <c r="P29" i="13"/>
  <c r="O29" i="13"/>
  <c r="N29" i="13"/>
  <c r="M29" i="13"/>
  <c r="L29" i="13"/>
  <c r="J29" i="13"/>
  <c r="I29" i="13"/>
  <c r="H29" i="13"/>
  <c r="CB28" i="13"/>
  <c r="CA28" i="13"/>
  <c r="BZ28" i="13"/>
  <c r="BX28" i="13"/>
  <c r="BW28" i="13"/>
  <c r="BV28" i="13"/>
  <c r="BU28" i="13"/>
  <c r="BT28" i="13"/>
  <c r="BR28" i="13"/>
  <c r="BQ28" i="13"/>
  <c r="BP28" i="13"/>
  <c r="BO28" i="13"/>
  <c r="BN28" i="13"/>
  <c r="BL28" i="13"/>
  <c r="BK28" i="13"/>
  <c r="BJ28" i="13"/>
  <c r="BI28" i="13"/>
  <c r="BH28" i="13"/>
  <c r="BF28" i="13"/>
  <c r="BE28" i="13"/>
  <c r="BD28" i="13"/>
  <c r="BC28" i="13"/>
  <c r="BB28" i="13"/>
  <c r="AZ28" i="13"/>
  <c r="AY28" i="13"/>
  <c r="AX28" i="13"/>
  <c r="AW28" i="13"/>
  <c r="AV28" i="13"/>
  <c r="AT28" i="13"/>
  <c r="AS28" i="13"/>
  <c r="AR28" i="13"/>
  <c r="AQ28" i="13"/>
  <c r="AP28" i="13"/>
  <c r="AN28" i="13"/>
  <c r="AM28" i="13"/>
  <c r="AL28" i="13"/>
  <c r="AK28" i="13"/>
  <c r="AJ28" i="13"/>
  <c r="AH28" i="13"/>
  <c r="AG28" i="13"/>
  <c r="AF28" i="13"/>
  <c r="AE28" i="13"/>
  <c r="AD28" i="13"/>
  <c r="AB28" i="13"/>
  <c r="AA28" i="13"/>
  <c r="Z28" i="13"/>
  <c r="Y28" i="13"/>
  <c r="X28" i="13"/>
  <c r="V28" i="13"/>
  <c r="U28" i="13"/>
  <c r="T28" i="13"/>
  <c r="S28" i="13"/>
  <c r="R28" i="13"/>
  <c r="P28" i="13"/>
  <c r="O28" i="13"/>
  <c r="N28" i="13"/>
  <c r="M28" i="13"/>
  <c r="L28" i="13"/>
  <c r="J28" i="13"/>
  <c r="I28" i="13"/>
  <c r="H28" i="13"/>
  <c r="CB27" i="13"/>
  <c r="CA27" i="13"/>
  <c r="BZ27" i="13"/>
  <c r="BX27" i="13"/>
  <c r="BW27" i="13"/>
  <c r="BV27" i="13"/>
  <c r="BU27" i="13"/>
  <c r="BT27" i="13"/>
  <c r="BR27" i="13"/>
  <c r="BQ27" i="13"/>
  <c r="BP27" i="13"/>
  <c r="BO27" i="13"/>
  <c r="BN27" i="13"/>
  <c r="BL27" i="13"/>
  <c r="BK27" i="13"/>
  <c r="BJ27" i="13"/>
  <c r="BI27" i="13"/>
  <c r="BH27" i="13"/>
  <c r="BF27" i="13"/>
  <c r="BE27" i="13"/>
  <c r="BD27" i="13"/>
  <c r="BC27" i="13"/>
  <c r="BB27" i="13"/>
  <c r="AZ27" i="13"/>
  <c r="AY27" i="13"/>
  <c r="AX27" i="13"/>
  <c r="AW27" i="13"/>
  <c r="AV27" i="13"/>
  <c r="AT27" i="13"/>
  <c r="AS27" i="13"/>
  <c r="AR27" i="13"/>
  <c r="AQ27" i="13"/>
  <c r="AP27" i="13"/>
  <c r="AN27" i="13"/>
  <c r="AM27" i="13"/>
  <c r="AL27" i="13"/>
  <c r="AK27" i="13"/>
  <c r="AJ27" i="13"/>
  <c r="AH27" i="13"/>
  <c r="AG27" i="13"/>
  <c r="AF27" i="13"/>
  <c r="AE27" i="13"/>
  <c r="AD27" i="13"/>
  <c r="AB27" i="13"/>
  <c r="AA27" i="13"/>
  <c r="Z27" i="13"/>
  <c r="Y27" i="13"/>
  <c r="X27" i="13"/>
  <c r="V27" i="13"/>
  <c r="U27" i="13"/>
  <c r="T27" i="13"/>
  <c r="S27" i="13"/>
  <c r="R27" i="13"/>
  <c r="P27" i="13"/>
  <c r="O27" i="13"/>
  <c r="N27" i="13"/>
  <c r="M27" i="13"/>
  <c r="L27" i="13"/>
  <c r="J27" i="13"/>
  <c r="I27" i="13"/>
  <c r="H27" i="13"/>
  <c r="CB26" i="13"/>
  <c r="CA26" i="13"/>
  <c r="BZ26" i="13"/>
  <c r="BX26" i="13"/>
  <c r="BW26" i="13"/>
  <c r="BV26" i="13"/>
  <c r="BU26" i="13"/>
  <c r="BT26" i="13"/>
  <c r="BR26" i="13"/>
  <c r="BQ26" i="13"/>
  <c r="BP26" i="13"/>
  <c r="BO26" i="13"/>
  <c r="BN26" i="13"/>
  <c r="BL26" i="13"/>
  <c r="BK26" i="13"/>
  <c r="BJ26" i="13"/>
  <c r="BI26" i="13"/>
  <c r="BH26" i="13"/>
  <c r="BF26" i="13"/>
  <c r="BE26" i="13"/>
  <c r="BD26" i="13"/>
  <c r="BC26" i="13"/>
  <c r="BB26" i="13"/>
  <c r="AZ26" i="13"/>
  <c r="AY26" i="13"/>
  <c r="AX26" i="13"/>
  <c r="AW26" i="13"/>
  <c r="AV26" i="13"/>
  <c r="AT26" i="13"/>
  <c r="AS26" i="13"/>
  <c r="AR26" i="13"/>
  <c r="AQ26" i="13"/>
  <c r="AP26" i="13"/>
  <c r="AN26" i="13"/>
  <c r="AM26" i="13"/>
  <c r="AL26" i="13"/>
  <c r="AK26" i="13"/>
  <c r="AJ26" i="13"/>
  <c r="AH26" i="13"/>
  <c r="AG26" i="13"/>
  <c r="AF26" i="13"/>
  <c r="AE26" i="13"/>
  <c r="AD26" i="13"/>
  <c r="AB26" i="13"/>
  <c r="AA26" i="13"/>
  <c r="Z26" i="13"/>
  <c r="Y26" i="13"/>
  <c r="X26" i="13"/>
  <c r="V26" i="13"/>
  <c r="U26" i="13"/>
  <c r="T26" i="13"/>
  <c r="S26" i="13"/>
  <c r="R26" i="13"/>
  <c r="P26" i="13"/>
  <c r="O26" i="13"/>
  <c r="N26" i="13"/>
  <c r="M26" i="13"/>
  <c r="L26" i="13"/>
  <c r="J26" i="13"/>
  <c r="I26" i="13"/>
  <c r="H26" i="13"/>
  <c r="CB25" i="13"/>
  <c r="CA25" i="13"/>
  <c r="BZ25" i="13"/>
  <c r="BX25" i="13"/>
  <c r="BW25" i="13"/>
  <c r="BV25" i="13"/>
  <c r="BU25" i="13"/>
  <c r="BT25" i="13"/>
  <c r="BR25" i="13"/>
  <c r="BQ25" i="13"/>
  <c r="BP25" i="13"/>
  <c r="BO25" i="13"/>
  <c r="BN25" i="13"/>
  <c r="BL25" i="13"/>
  <c r="BK25" i="13"/>
  <c r="BJ25" i="13"/>
  <c r="BI25" i="13"/>
  <c r="BH25" i="13"/>
  <c r="BF25" i="13"/>
  <c r="BE25" i="13"/>
  <c r="BD25" i="13"/>
  <c r="BC25" i="13"/>
  <c r="BB25" i="13"/>
  <c r="AZ25" i="13"/>
  <c r="AY25" i="13"/>
  <c r="AX25" i="13"/>
  <c r="AW25" i="13"/>
  <c r="AV25" i="13"/>
  <c r="AT25" i="13"/>
  <c r="AS25" i="13"/>
  <c r="AR25" i="13"/>
  <c r="AQ25" i="13"/>
  <c r="AP25" i="13"/>
  <c r="AN25" i="13"/>
  <c r="AM25" i="13"/>
  <c r="AL25" i="13"/>
  <c r="AK25" i="13"/>
  <c r="AJ25" i="13"/>
  <c r="AH25" i="13"/>
  <c r="AG25" i="13"/>
  <c r="AF25" i="13"/>
  <c r="AE25" i="13"/>
  <c r="AD25" i="13"/>
  <c r="AB25" i="13"/>
  <c r="AA25" i="13"/>
  <c r="Z25" i="13"/>
  <c r="Y25" i="13"/>
  <c r="X25" i="13"/>
  <c r="V25" i="13"/>
  <c r="U25" i="13"/>
  <c r="T25" i="13"/>
  <c r="S25" i="13"/>
  <c r="R25" i="13"/>
  <c r="P25" i="13"/>
  <c r="O25" i="13"/>
  <c r="N25" i="13"/>
  <c r="M25" i="13"/>
  <c r="L25" i="13"/>
  <c r="J25" i="13"/>
  <c r="I25" i="13"/>
  <c r="H25" i="13"/>
  <c r="CB24" i="13"/>
  <c r="CA24" i="13"/>
  <c r="BZ24" i="13"/>
  <c r="BX24" i="13"/>
  <c r="BW24" i="13"/>
  <c r="BV24" i="13"/>
  <c r="BU24" i="13"/>
  <c r="BT24" i="13"/>
  <c r="BR24" i="13"/>
  <c r="BQ24" i="13"/>
  <c r="BP24" i="13"/>
  <c r="BO24" i="13"/>
  <c r="BN24" i="13"/>
  <c r="BL24" i="13"/>
  <c r="BK24" i="13"/>
  <c r="BJ24" i="13"/>
  <c r="BI24" i="13"/>
  <c r="BH24" i="13"/>
  <c r="BF24" i="13"/>
  <c r="BE24" i="13"/>
  <c r="BD24" i="13"/>
  <c r="BC24" i="13"/>
  <c r="BB24" i="13"/>
  <c r="AZ24" i="13"/>
  <c r="AY24" i="13"/>
  <c r="AX24" i="13"/>
  <c r="AW24" i="13"/>
  <c r="AV24" i="13"/>
  <c r="AT24" i="13"/>
  <c r="AS24" i="13"/>
  <c r="AR24" i="13"/>
  <c r="AQ24" i="13"/>
  <c r="AP24" i="13"/>
  <c r="AN24" i="13"/>
  <c r="AM24" i="13"/>
  <c r="AL24" i="13"/>
  <c r="AK24" i="13"/>
  <c r="AJ24" i="13"/>
  <c r="AH24" i="13"/>
  <c r="AG24" i="13"/>
  <c r="AF24" i="13"/>
  <c r="AE24" i="13"/>
  <c r="AD24" i="13"/>
  <c r="AB24" i="13"/>
  <c r="AA24" i="13"/>
  <c r="Z24" i="13"/>
  <c r="Y24" i="13"/>
  <c r="X24" i="13"/>
  <c r="V24" i="13"/>
  <c r="U24" i="13"/>
  <c r="T24" i="13"/>
  <c r="S24" i="13"/>
  <c r="R24" i="13"/>
  <c r="P24" i="13"/>
  <c r="O24" i="13"/>
  <c r="N24" i="13"/>
  <c r="M24" i="13"/>
  <c r="L24" i="13"/>
  <c r="J24" i="13"/>
  <c r="I24" i="13"/>
  <c r="H24" i="13"/>
  <c r="CB23" i="13"/>
  <c r="CA23" i="13"/>
  <c r="BZ23" i="13"/>
  <c r="BX23" i="13"/>
  <c r="BW23" i="13"/>
  <c r="BV23" i="13"/>
  <c r="BU23" i="13"/>
  <c r="BT23" i="13"/>
  <c r="BR23" i="13"/>
  <c r="BQ23" i="13"/>
  <c r="BP23" i="13"/>
  <c r="BO23" i="13"/>
  <c r="BN23" i="13"/>
  <c r="BL23" i="13"/>
  <c r="BK23" i="13"/>
  <c r="BJ23" i="13"/>
  <c r="BI23" i="13"/>
  <c r="BH23" i="13"/>
  <c r="BF23" i="13"/>
  <c r="BE23" i="13"/>
  <c r="BD23" i="13"/>
  <c r="BC23" i="13"/>
  <c r="BB23" i="13"/>
  <c r="AZ23" i="13"/>
  <c r="AY23" i="13"/>
  <c r="AX23" i="13"/>
  <c r="AW23" i="13"/>
  <c r="AV23" i="13"/>
  <c r="AT23" i="13"/>
  <c r="AS23" i="13"/>
  <c r="AR23" i="13"/>
  <c r="AQ23" i="13"/>
  <c r="AP23" i="13"/>
  <c r="AN23" i="13"/>
  <c r="AM23" i="13"/>
  <c r="AL23" i="13"/>
  <c r="AK23" i="13"/>
  <c r="AJ23" i="13"/>
  <c r="AH23" i="13"/>
  <c r="AG23" i="13"/>
  <c r="AF23" i="13"/>
  <c r="AE23" i="13"/>
  <c r="AD23" i="13"/>
  <c r="AB23" i="13"/>
  <c r="AA23" i="13"/>
  <c r="Z23" i="13"/>
  <c r="Y23" i="13"/>
  <c r="X23" i="13"/>
  <c r="V23" i="13"/>
  <c r="U23" i="13"/>
  <c r="T23" i="13"/>
  <c r="S23" i="13"/>
  <c r="R23" i="13"/>
  <c r="P23" i="13"/>
  <c r="O23" i="13"/>
  <c r="N23" i="13"/>
  <c r="M23" i="13"/>
  <c r="L23" i="13"/>
  <c r="J23" i="13"/>
  <c r="I23" i="13"/>
  <c r="H23" i="13"/>
  <c r="CB22" i="13"/>
  <c r="CA22" i="13"/>
  <c r="BZ22" i="13"/>
  <c r="BX22" i="13"/>
  <c r="BW22" i="13"/>
  <c r="BV22" i="13"/>
  <c r="BU22" i="13"/>
  <c r="BT22" i="13"/>
  <c r="BR22" i="13"/>
  <c r="BQ22" i="13"/>
  <c r="BP22" i="13"/>
  <c r="BO22" i="13"/>
  <c r="BN22" i="13"/>
  <c r="BL22" i="13"/>
  <c r="BK22" i="13"/>
  <c r="BJ22" i="13"/>
  <c r="BI22" i="13"/>
  <c r="BH22" i="13"/>
  <c r="BF22" i="13"/>
  <c r="BE22" i="13"/>
  <c r="BD22" i="13"/>
  <c r="BC22" i="13"/>
  <c r="BB22" i="13"/>
  <c r="AZ22" i="13"/>
  <c r="AY22" i="13"/>
  <c r="AX22" i="13"/>
  <c r="AW22" i="13"/>
  <c r="AV22" i="13"/>
  <c r="AT22" i="13"/>
  <c r="AS22" i="13"/>
  <c r="AR22" i="13"/>
  <c r="AQ22" i="13"/>
  <c r="AP22" i="13"/>
  <c r="AN22" i="13"/>
  <c r="AM22" i="13"/>
  <c r="AL22" i="13"/>
  <c r="AK22" i="13"/>
  <c r="AJ22" i="13"/>
  <c r="AH22" i="13"/>
  <c r="AG22" i="13"/>
  <c r="AF22" i="13"/>
  <c r="AE22" i="13"/>
  <c r="AD22" i="13"/>
  <c r="AB22" i="13"/>
  <c r="AA22" i="13"/>
  <c r="Z22" i="13"/>
  <c r="Y22" i="13"/>
  <c r="X22" i="13"/>
  <c r="V22" i="13"/>
  <c r="U22" i="13"/>
  <c r="T22" i="13"/>
  <c r="S22" i="13"/>
  <c r="R22" i="13"/>
  <c r="P22" i="13"/>
  <c r="O22" i="13"/>
  <c r="N22" i="13"/>
  <c r="M22" i="13"/>
  <c r="L22" i="13"/>
  <c r="J22" i="13"/>
  <c r="I22" i="13"/>
  <c r="H22" i="13"/>
  <c r="CB21" i="13"/>
  <c r="CA21" i="13"/>
  <c r="BZ21" i="13"/>
  <c r="BX21" i="13"/>
  <c r="BW21" i="13"/>
  <c r="BV21" i="13"/>
  <c r="BU21" i="13"/>
  <c r="BT21" i="13"/>
  <c r="BR21" i="13"/>
  <c r="BQ21" i="13"/>
  <c r="BP21" i="13"/>
  <c r="BO21" i="13"/>
  <c r="BN21" i="13"/>
  <c r="BL21" i="13"/>
  <c r="BK21" i="13"/>
  <c r="BJ21" i="13"/>
  <c r="BI21" i="13"/>
  <c r="BH21" i="13"/>
  <c r="BF21" i="13"/>
  <c r="BE21" i="13"/>
  <c r="BD21" i="13"/>
  <c r="BC21" i="13"/>
  <c r="BB21" i="13"/>
  <c r="AZ21" i="13"/>
  <c r="AY21" i="13"/>
  <c r="AX21" i="13"/>
  <c r="AW21" i="13"/>
  <c r="AV21" i="13"/>
  <c r="AT21" i="13"/>
  <c r="AS21" i="13"/>
  <c r="AR21" i="13"/>
  <c r="AQ21" i="13"/>
  <c r="AP21" i="13"/>
  <c r="AN21" i="13"/>
  <c r="AM21" i="13"/>
  <c r="AL21" i="13"/>
  <c r="AK21" i="13"/>
  <c r="AJ21" i="13"/>
  <c r="AH21" i="13"/>
  <c r="AG21" i="13"/>
  <c r="AF21" i="13"/>
  <c r="AE21" i="13"/>
  <c r="AD21" i="13"/>
  <c r="AB21" i="13"/>
  <c r="AA21" i="13"/>
  <c r="Z21" i="13"/>
  <c r="Y21" i="13"/>
  <c r="X21" i="13"/>
  <c r="V21" i="13"/>
  <c r="U21" i="13"/>
  <c r="T21" i="13"/>
  <c r="S21" i="13"/>
  <c r="R21" i="13"/>
  <c r="P21" i="13"/>
  <c r="O21" i="13"/>
  <c r="N21" i="13"/>
  <c r="M21" i="13"/>
  <c r="L21" i="13"/>
  <c r="J21" i="13"/>
  <c r="I21" i="13"/>
  <c r="H21" i="13"/>
  <c r="CB20" i="13"/>
  <c r="CA20" i="13"/>
  <c r="BZ20" i="13"/>
  <c r="BX20" i="13"/>
  <c r="BW20" i="13"/>
  <c r="BV20" i="13"/>
  <c r="BU20" i="13"/>
  <c r="BT20" i="13"/>
  <c r="BR20" i="13"/>
  <c r="BQ20" i="13"/>
  <c r="BP20" i="13"/>
  <c r="BO20" i="13"/>
  <c r="BN20" i="13"/>
  <c r="BL20" i="13"/>
  <c r="BK20" i="13"/>
  <c r="BJ20" i="13"/>
  <c r="BI20" i="13"/>
  <c r="BH20" i="13"/>
  <c r="BF20" i="13"/>
  <c r="BE20" i="13"/>
  <c r="BD20" i="13"/>
  <c r="BC20" i="13"/>
  <c r="BB20" i="13"/>
  <c r="AZ20" i="13"/>
  <c r="AY20" i="13"/>
  <c r="AX20" i="13"/>
  <c r="AW20" i="13"/>
  <c r="AV20" i="13"/>
  <c r="AT20" i="13"/>
  <c r="AS20" i="13"/>
  <c r="AR20" i="13"/>
  <c r="AQ20" i="13"/>
  <c r="AP20" i="13"/>
  <c r="AN20" i="13"/>
  <c r="AM20" i="13"/>
  <c r="AL20" i="13"/>
  <c r="AK20" i="13"/>
  <c r="AJ20" i="13"/>
  <c r="AH20" i="13"/>
  <c r="AG20" i="13"/>
  <c r="AF20" i="13"/>
  <c r="AE20" i="13"/>
  <c r="AD20" i="13"/>
  <c r="AB20" i="13"/>
  <c r="AA20" i="13"/>
  <c r="Z20" i="13"/>
  <c r="Y20" i="13"/>
  <c r="X20" i="13"/>
  <c r="V20" i="13"/>
  <c r="U20" i="13"/>
  <c r="T20" i="13"/>
  <c r="S20" i="13"/>
  <c r="R20" i="13"/>
  <c r="P20" i="13"/>
  <c r="O20" i="13"/>
  <c r="N20" i="13"/>
  <c r="M20" i="13"/>
  <c r="L20" i="13"/>
  <c r="J20" i="13"/>
  <c r="I20" i="13"/>
  <c r="H20" i="13"/>
  <c r="CB19" i="13"/>
  <c r="CA19" i="13"/>
  <c r="BZ19" i="13"/>
  <c r="BX19" i="13"/>
  <c r="BW19" i="13"/>
  <c r="BV19" i="13"/>
  <c r="BU19" i="13"/>
  <c r="BT19" i="13"/>
  <c r="BR19" i="13"/>
  <c r="BQ19" i="13"/>
  <c r="BP19" i="13"/>
  <c r="BO19" i="13"/>
  <c r="BN19" i="13"/>
  <c r="BL19" i="13"/>
  <c r="BK19" i="13"/>
  <c r="BJ19" i="13"/>
  <c r="BI19" i="13"/>
  <c r="BH19" i="13"/>
  <c r="BF19" i="13"/>
  <c r="BE19" i="13"/>
  <c r="BD19" i="13"/>
  <c r="BC19" i="13"/>
  <c r="BB19" i="13"/>
  <c r="AZ19" i="13"/>
  <c r="AY19" i="13"/>
  <c r="AX19" i="13"/>
  <c r="AW19" i="13"/>
  <c r="AV19" i="13"/>
  <c r="AT19" i="13"/>
  <c r="AS19" i="13"/>
  <c r="AR19" i="13"/>
  <c r="AQ19" i="13"/>
  <c r="AP19" i="13"/>
  <c r="AN19" i="13"/>
  <c r="AM19" i="13"/>
  <c r="AL19" i="13"/>
  <c r="AK19" i="13"/>
  <c r="AJ19" i="13"/>
  <c r="AH19" i="13"/>
  <c r="AG19" i="13"/>
  <c r="AF19" i="13"/>
  <c r="AE19" i="13"/>
  <c r="AD19" i="13"/>
  <c r="AB19" i="13"/>
  <c r="AA19" i="13"/>
  <c r="Z19" i="13"/>
  <c r="Y19" i="13"/>
  <c r="X19" i="13"/>
  <c r="V19" i="13"/>
  <c r="U19" i="13"/>
  <c r="T19" i="13"/>
  <c r="S19" i="13"/>
  <c r="R19" i="13"/>
  <c r="P19" i="13"/>
  <c r="O19" i="13"/>
  <c r="N19" i="13"/>
  <c r="M19" i="13"/>
  <c r="L19" i="13"/>
  <c r="J19" i="13"/>
  <c r="I19" i="13"/>
  <c r="H19" i="13"/>
  <c r="CB18" i="13"/>
  <c r="CA18" i="13"/>
  <c r="BZ18" i="13"/>
  <c r="BX18" i="13"/>
  <c r="BW18" i="13"/>
  <c r="BV18" i="13"/>
  <c r="BU18" i="13"/>
  <c r="BT18" i="13"/>
  <c r="BR18" i="13"/>
  <c r="BQ18" i="13"/>
  <c r="BP18" i="13"/>
  <c r="BO18" i="13"/>
  <c r="BN18" i="13"/>
  <c r="BL18" i="13"/>
  <c r="BK18" i="13"/>
  <c r="BJ18" i="13"/>
  <c r="BI18" i="13"/>
  <c r="BH18" i="13"/>
  <c r="BF18" i="13"/>
  <c r="BE18" i="13"/>
  <c r="BD18" i="13"/>
  <c r="BC18" i="13"/>
  <c r="BB18" i="13"/>
  <c r="AZ18" i="13"/>
  <c r="AY18" i="13"/>
  <c r="AX18" i="13"/>
  <c r="AW18" i="13"/>
  <c r="AV18" i="13"/>
  <c r="AT18" i="13"/>
  <c r="AS18" i="13"/>
  <c r="AR18" i="13"/>
  <c r="AQ18" i="13"/>
  <c r="AP18" i="13"/>
  <c r="AN18" i="13"/>
  <c r="AM18" i="13"/>
  <c r="AL18" i="13"/>
  <c r="AK18" i="13"/>
  <c r="AJ18" i="13"/>
  <c r="AH18" i="13"/>
  <c r="AG18" i="13"/>
  <c r="AF18" i="13"/>
  <c r="AE18" i="13"/>
  <c r="AD18" i="13"/>
  <c r="AB18" i="13"/>
  <c r="AA18" i="13"/>
  <c r="Z18" i="13"/>
  <c r="Y18" i="13"/>
  <c r="X18" i="13"/>
  <c r="V18" i="13"/>
  <c r="U18" i="13"/>
  <c r="T18" i="13"/>
  <c r="S18" i="13"/>
  <c r="R18" i="13"/>
  <c r="P18" i="13"/>
  <c r="O18" i="13"/>
  <c r="N18" i="13"/>
  <c r="M18" i="13"/>
  <c r="L18" i="13"/>
  <c r="J18" i="13"/>
  <c r="I18" i="13"/>
  <c r="H18" i="13"/>
  <c r="CB17" i="13"/>
  <c r="CA17" i="13"/>
  <c r="BZ17" i="13"/>
  <c r="BX17" i="13"/>
  <c r="BW17" i="13"/>
  <c r="BV17" i="13"/>
  <c r="BU17" i="13"/>
  <c r="BT17" i="13"/>
  <c r="BR17" i="13"/>
  <c r="BQ17" i="13"/>
  <c r="BP17" i="13"/>
  <c r="BO17" i="13"/>
  <c r="BN17" i="13"/>
  <c r="BL17" i="13"/>
  <c r="BK17" i="13"/>
  <c r="BJ17" i="13"/>
  <c r="BI17" i="13"/>
  <c r="BH17" i="13"/>
  <c r="BF17" i="13"/>
  <c r="BE17" i="13"/>
  <c r="BD17" i="13"/>
  <c r="BC17" i="13"/>
  <c r="BB17" i="13"/>
  <c r="AZ17" i="13"/>
  <c r="AY17" i="13"/>
  <c r="AX17" i="13"/>
  <c r="AW17" i="13"/>
  <c r="AV17" i="13"/>
  <c r="AT17" i="13"/>
  <c r="AS17" i="13"/>
  <c r="AR17" i="13"/>
  <c r="AQ17" i="13"/>
  <c r="AP17" i="13"/>
  <c r="AN17" i="13"/>
  <c r="AM17" i="13"/>
  <c r="AL17" i="13"/>
  <c r="AK17" i="13"/>
  <c r="AJ17" i="13"/>
  <c r="AH17" i="13"/>
  <c r="AG17" i="13"/>
  <c r="AF17" i="13"/>
  <c r="AE17" i="13"/>
  <c r="AD17" i="13"/>
  <c r="AB17" i="13"/>
  <c r="AA17" i="13"/>
  <c r="Z17" i="13"/>
  <c r="Y17" i="13"/>
  <c r="X17" i="13"/>
  <c r="V17" i="13"/>
  <c r="U17" i="13"/>
  <c r="T17" i="13"/>
  <c r="S17" i="13"/>
  <c r="R17" i="13"/>
  <c r="P17" i="13"/>
  <c r="O17" i="13"/>
  <c r="N17" i="13"/>
  <c r="M17" i="13"/>
  <c r="L17" i="13"/>
  <c r="J17" i="13"/>
  <c r="I17" i="13"/>
  <c r="H17" i="13"/>
  <c r="CB16" i="13"/>
  <c r="CA16" i="13"/>
  <c r="BZ16" i="13"/>
  <c r="BX16" i="13"/>
  <c r="BW16" i="13"/>
  <c r="BV16" i="13"/>
  <c r="BU16" i="13"/>
  <c r="BT16" i="13"/>
  <c r="BR16" i="13"/>
  <c r="BQ16" i="13"/>
  <c r="BP16" i="13"/>
  <c r="BO16" i="13"/>
  <c r="BN16" i="13"/>
  <c r="BL16" i="13"/>
  <c r="BK16" i="13"/>
  <c r="BJ16" i="13"/>
  <c r="BI16" i="13"/>
  <c r="BH16" i="13"/>
  <c r="BF16" i="13"/>
  <c r="BE16" i="13"/>
  <c r="BD16" i="13"/>
  <c r="BC16" i="13"/>
  <c r="BB16" i="13"/>
  <c r="AZ16" i="13"/>
  <c r="AY16" i="13"/>
  <c r="AX16" i="13"/>
  <c r="AW16" i="13"/>
  <c r="AV16" i="13"/>
  <c r="AT16" i="13"/>
  <c r="AS16" i="13"/>
  <c r="AR16" i="13"/>
  <c r="AQ16" i="13"/>
  <c r="AP16" i="13"/>
  <c r="AN16" i="13"/>
  <c r="AM16" i="13"/>
  <c r="AL16" i="13"/>
  <c r="AK16" i="13"/>
  <c r="AJ16" i="13"/>
  <c r="AH16" i="13"/>
  <c r="AG16" i="13"/>
  <c r="AF16" i="13"/>
  <c r="AE16" i="13"/>
  <c r="AD16" i="13"/>
  <c r="AB16" i="13"/>
  <c r="AA16" i="13"/>
  <c r="Z16" i="13"/>
  <c r="Y16" i="13"/>
  <c r="X16" i="13"/>
  <c r="V16" i="13"/>
  <c r="U16" i="13"/>
  <c r="T16" i="13"/>
  <c r="S16" i="13"/>
  <c r="R16" i="13"/>
  <c r="P16" i="13"/>
  <c r="O16" i="13"/>
  <c r="N16" i="13"/>
  <c r="M16" i="13"/>
  <c r="L16" i="13"/>
  <c r="J16" i="13"/>
  <c r="I16" i="13"/>
  <c r="H16" i="13"/>
  <c r="CB15" i="13"/>
  <c r="CA15" i="13"/>
  <c r="BZ15" i="13"/>
  <c r="BX15" i="13"/>
  <c r="BW15" i="13"/>
  <c r="BV15" i="13"/>
  <c r="BU15" i="13"/>
  <c r="BT15" i="13"/>
  <c r="BR15" i="13"/>
  <c r="BQ15" i="13"/>
  <c r="BP15" i="13"/>
  <c r="BO15" i="13"/>
  <c r="BN15" i="13"/>
  <c r="BL15" i="13"/>
  <c r="BK15" i="13"/>
  <c r="BJ15" i="13"/>
  <c r="BI15" i="13"/>
  <c r="BH15" i="13"/>
  <c r="BF15" i="13"/>
  <c r="BE15" i="13"/>
  <c r="BD15" i="13"/>
  <c r="BC15" i="13"/>
  <c r="BB15" i="13"/>
  <c r="AZ15" i="13"/>
  <c r="AY15" i="13"/>
  <c r="AX15" i="13"/>
  <c r="AW15" i="13"/>
  <c r="AV15" i="13"/>
  <c r="AT15" i="13"/>
  <c r="AS15" i="13"/>
  <c r="AR15" i="13"/>
  <c r="AQ15" i="13"/>
  <c r="AP15" i="13"/>
  <c r="AN15" i="13"/>
  <c r="AM15" i="13"/>
  <c r="AL15" i="13"/>
  <c r="AK15" i="13"/>
  <c r="AJ15" i="13"/>
  <c r="AH15" i="13"/>
  <c r="AG15" i="13"/>
  <c r="AF15" i="13"/>
  <c r="AE15" i="13"/>
  <c r="AD15" i="13"/>
  <c r="AB15" i="13"/>
  <c r="AA15" i="13"/>
  <c r="Z15" i="13"/>
  <c r="Y15" i="13"/>
  <c r="X15" i="13"/>
  <c r="V15" i="13"/>
  <c r="U15" i="13"/>
  <c r="T15" i="13"/>
  <c r="S15" i="13"/>
  <c r="R15" i="13"/>
  <c r="P15" i="13"/>
  <c r="O15" i="13"/>
  <c r="N15" i="13"/>
  <c r="M15" i="13"/>
  <c r="L15" i="13"/>
  <c r="J15" i="13"/>
  <c r="I15" i="13"/>
  <c r="H15" i="13"/>
  <c r="CB14" i="13"/>
  <c r="CA14" i="13"/>
  <c r="BZ14" i="13"/>
  <c r="BX14" i="13"/>
  <c r="BW14" i="13"/>
  <c r="BV14" i="13"/>
  <c r="BU14" i="13"/>
  <c r="BT14" i="13"/>
  <c r="BR14" i="13"/>
  <c r="BQ14" i="13"/>
  <c r="BP14" i="13"/>
  <c r="BO14" i="13"/>
  <c r="BN14" i="13"/>
  <c r="BL14" i="13"/>
  <c r="BK14" i="13"/>
  <c r="BJ14" i="13"/>
  <c r="BI14" i="13"/>
  <c r="BH14" i="13"/>
  <c r="BF14" i="13"/>
  <c r="BE14" i="13"/>
  <c r="BD14" i="13"/>
  <c r="BC14" i="13"/>
  <c r="BB14" i="13"/>
  <c r="AZ14" i="13"/>
  <c r="AY14" i="13"/>
  <c r="AX14" i="13"/>
  <c r="AW14" i="13"/>
  <c r="AV14" i="13"/>
  <c r="AT14" i="13"/>
  <c r="AS14" i="13"/>
  <c r="AR14" i="13"/>
  <c r="AQ14" i="13"/>
  <c r="AP14" i="13"/>
  <c r="AN14" i="13"/>
  <c r="AM14" i="13"/>
  <c r="AL14" i="13"/>
  <c r="AK14" i="13"/>
  <c r="AJ14" i="13"/>
  <c r="AH14" i="13"/>
  <c r="AG14" i="13"/>
  <c r="AF14" i="13"/>
  <c r="AE14" i="13"/>
  <c r="AD14" i="13"/>
  <c r="AB14" i="13"/>
  <c r="AA14" i="13"/>
  <c r="Z14" i="13"/>
  <c r="Y14" i="13"/>
  <c r="X14" i="13"/>
  <c r="V14" i="13"/>
  <c r="U14" i="13"/>
  <c r="T14" i="13"/>
  <c r="S14" i="13"/>
  <c r="R14" i="13"/>
  <c r="P14" i="13"/>
  <c r="O14" i="13"/>
  <c r="N14" i="13"/>
  <c r="M14" i="13"/>
  <c r="L14" i="13"/>
  <c r="J14" i="13"/>
  <c r="I14" i="13"/>
  <c r="H14" i="13"/>
  <c r="CB13" i="13"/>
  <c r="CA13" i="13"/>
  <c r="BZ13" i="13"/>
  <c r="BX13" i="13"/>
  <c r="BW13" i="13"/>
  <c r="BV13" i="13"/>
  <c r="BU13" i="13"/>
  <c r="BT13" i="13"/>
  <c r="BR13" i="13"/>
  <c r="BQ13" i="13"/>
  <c r="BP13" i="13"/>
  <c r="BO13" i="13"/>
  <c r="BN13" i="13"/>
  <c r="BL13" i="13"/>
  <c r="BK13" i="13"/>
  <c r="BJ13" i="13"/>
  <c r="BI13" i="13"/>
  <c r="BH13" i="13"/>
  <c r="BF13" i="13"/>
  <c r="BE13" i="13"/>
  <c r="BD13" i="13"/>
  <c r="BC13" i="13"/>
  <c r="BB13" i="13"/>
  <c r="AZ13" i="13"/>
  <c r="AY13" i="13"/>
  <c r="AX13" i="13"/>
  <c r="AW13" i="13"/>
  <c r="AV13" i="13"/>
  <c r="AT13" i="13"/>
  <c r="AS13" i="13"/>
  <c r="AR13" i="13"/>
  <c r="AQ13" i="13"/>
  <c r="AP13" i="13"/>
  <c r="AN13" i="13"/>
  <c r="AM13" i="13"/>
  <c r="AL13" i="13"/>
  <c r="AK13" i="13"/>
  <c r="AJ13" i="13"/>
  <c r="AH13" i="13"/>
  <c r="AG13" i="13"/>
  <c r="AF13" i="13"/>
  <c r="AE13" i="13"/>
  <c r="AD13" i="13"/>
  <c r="AB13" i="13"/>
  <c r="AA13" i="13"/>
  <c r="Z13" i="13"/>
  <c r="Y13" i="13"/>
  <c r="X13" i="13"/>
  <c r="V13" i="13"/>
  <c r="U13" i="13"/>
  <c r="T13" i="13"/>
  <c r="S13" i="13"/>
  <c r="R13" i="13"/>
  <c r="P13" i="13"/>
  <c r="O13" i="13"/>
  <c r="N13" i="13"/>
  <c r="M13" i="13"/>
  <c r="L13" i="13"/>
  <c r="J13" i="13"/>
  <c r="I13" i="13"/>
  <c r="H13" i="13"/>
  <c r="CB12" i="13"/>
  <c r="CA12" i="13"/>
  <c r="BZ12" i="13"/>
  <c r="BX12" i="13"/>
  <c r="BW12" i="13"/>
  <c r="BV12" i="13"/>
  <c r="BU12" i="13"/>
  <c r="BT12" i="13"/>
  <c r="BR12" i="13"/>
  <c r="BQ12" i="13"/>
  <c r="BP12" i="13"/>
  <c r="BO12" i="13"/>
  <c r="BN12" i="13"/>
  <c r="BL12" i="13"/>
  <c r="BK12" i="13"/>
  <c r="BJ12" i="13"/>
  <c r="BI12" i="13"/>
  <c r="BH12" i="13"/>
  <c r="BF12" i="13"/>
  <c r="BE12" i="13"/>
  <c r="BD12" i="13"/>
  <c r="BC12" i="13"/>
  <c r="BB12" i="13"/>
  <c r="AZ12" i="13"/>
  <c r="AY12" i="13"/>
  <c r="AX12" i="13"/>
  <c r="AW12" i="13"/>
  <c r="AV12" i="13"/>
  <c r="AT12" i="13"/>
  <c r="AS12" i="13"/>
  <c r="AR12" i="13"/>
  <c r="AQ12" i="13"/>
  <c r="AP12" i="13"/>
  <c r="AN12" i="13"/>
  <c r="AM12" i="13"/>
  <c r="AL12" i="13"/>
  <c r="AK12" i="13"/>
  <c r="AJ12" i="13"/>
  <c r="AH12" i="13"/>
  <c r="AG12" i="13"/>
  <c r="AF12" i="13"/>
  <c r="AE12" i="13"/>
  <c r="AD12" i="13"/>
  <c r="AB12" i="13"/>
  <c r="AA12" i="13"/>
  <c r="Z12" i="13"/>
  <c r="Y12" i="13"/>
  <c r="X12" i="13"/>
  <c r="V12" i="13"/>
  <c r="U12" i="13"/>
  <c r="T12" i="13"/>
  <c r="S12" i="13"/>
  <c r="R12" i="13"/>
  <c r="P12" i="13"/>
  <c r="O12" i="13"/>
  <c r="N12" i="13"/>
  <c r="M12" i="13"/>
  <c r="L12" i="13"/>
  <c r="J12" i="13"/>
  <c r="I12" i="13"/>
  <c r="H12" i="13"/>
  <c r="CB11" i="13"/>
  <c r="CA11" i="13"/>
  <c r="BZ11" i="13"/>
  <c r="BX11" i="13"/>
  <c r="BW11" i="13"/>
  <c r="BV11" i="13"/>
  <c r="BU11" i="13"/>
  <c r="BT11" i="13"/>
  <c r="BR11" i="13"/>
  <c r="BQ11" i="13"/>
  <c r="BP11" i="13"/>
  <c r="BO11" i="13"/>
  <c r="BN11" i="13"/>
  <c r="BL11" i="13"/>
  <c r="BK11" i="13"/>
  <c r="BJ11" i="13"/>
  <c r="BI11" i="13"/>
  <c r="BH11" i="13"/>
  <c r="BF11" i="13"/>
  <c r="BE11" i="13"/>
  <c r="BD11" i="13"/>
  <c r="BC11" i="13"/>
  <c r="BB11" i="13"/>
  <c r="AZ11" i="13"/>
  <c r="AY11" i="13"/>
  <c r="AX11" i="13"/>
  <c r="AW11" i="13"/>
  <c r="AV11" i="13"/>
  <c r="AT11" i="13"/>
  <c r="AS11" i="13"/>
  <c r="AR11" i="13"/>
  <c r="AQ11" i="13"/>
  <c r="AP11" i="13"/>
  <c r="AN11" i="13"/>
  <c r="AM11" i="13"/>
  <c r="AL11" i="13"/>
  <c r="AK11" i="13"/>
  <c r="AJ11" i="13"/>
  <c r="AH11" i="13"/>
  <c r="AG11" i="13"/>
  <c r="AF11" i="13"/>
  <c r="AE11" i="13"/>
  <c r="AD11" i="13"/>
  <c r="AB11" i="13"/>
  <c r="AA11" i="13"/>
  <c r="Z11" i="13"/>
  <c r="Y11" i="13"/>
  <c r="X11" i="13"/>
  <c r="V11" i="13"/>
  <c r="U11" i="13"/>
  <c r="T11" i="13"/>
  <c r="S11" i="13"/>
  <c r="R11" i="13"/>
  <c r="P11" i="13"/>
  <c r="O11" i="13"/>
  <c r="N11" i="13"/>
  <c r="M11" i="13"/>
  <c r="L11" i="13"/>
  <c r="J11" i="13"/>
  <c r="I11" i="13"/>
  <c r="H11" i="13"/>
  <c r="CB10" i="13"/>
  <c r="CA10" i="13"/>
  <c r="BZ10" i="13"/>
  <c r="BX10" i="13"/>
  <c r="BW10" i="13"/>
  <c r="BV10" i="13"/>
  <c r="BU10" i="13"/>
  <c r="BT10" i="13"/>
  <c r="BR10" i="13"/>
  <c r="BQ10" i="13"/>
  <c r="BP10" i="13"/>
  <c r="BO10" i="13"/>
  <c r="BN10" i="13"/>
  <c r="BL10" i="13"/>
  <c r="BK10" i="13"/>
  <c r="BJ10" i="13"/>
  <c r="BI10" i="13"/>
  <c r="BH10" i="13"/>
  <c r="BF10" i="13"/>
  <c r="BE10" i="13"/>
  <c r="BD10" i="13"/>
  <c r="BC10" i="13"/>
  <c r="BB10" i="13"/>
  <c r="AZ10" i="13"/>
  <c r="AY10" i="13"/>
  <c r="AX10" i="13"/>
  <c r="AW10" i="13"/>
  <c r="AV10" i="13"/>
  <c r="AT10" i="13"/>
  <c r="AS10" i="13"/>
  <c r="AR10" i="13"/>
  <c r="AQ10" i="13"/>
  <c r="AP10" i="13"/>
  <c r="AN10" i="13"/>
  <c r="AM10" i="13"/>
  <c r="AL10" i="13"/>
  <c r="AK10" i="13"/>
  <c r="AJ10" i="13"/>
  <c r="AH10" i="13"/>
  <c r="AG10" i="13"/>
  <c r="AF10" i="13"/>
  <c r="AE10" i="13"/>
  <c r="AD10" i="13"/>
  <c r="AB10" i="13"/>
  <c r="AA10" i="13"/>
  <c r="Z10" i="13"/>
  <c r="Y10" i="13"/>
  <c r="X10" i="13"/>
  <c r="V10" i="13"/>
  <c r="U10" i="13"/>
  <c r="T10" i="13"/>
  <c r="S10" i="13"/>
  <c r="R10" i="13"/>
  <c r="P10" i="13"/>
  <c r="O10" i="13"/>
  <c r="N10" i="13"/>
  <c r="M10" i="13"/>
  <c r="L10" i="13"/>
  <c r="J10" i="13"/>
  <c r="I10" i="13"/>
  <c r="H10" i="13"/>
  <c r="CB9" i="13"/>
  <c r="CA9" i="13"/>
  <c r="BZ9" i="13"/>
  <c r="BX9" i="13"/>
  <c r="BW9" i="13"/>
  <c r="BV9" i="13"/>
  <c r="BU9" i="13"/>
  <c r="BT9" i="13"/>
  <c r="BR9" i="13"/>
  <c r="BQ9" i="13"/>
  <c r="BP9" i="13"/>
  <c r="BO9" i="13"/>
  <c r="BN9" i="13"/>
  <c r="BL9" i="13"/>
  <c r="BK9" i="13"/>
  <c r="BJ9" i="13"/>
  <c r="BI9" i="13"/>
  <c r="BH9" i="13"/>
  <c r="BF9" i="13"/>
  <c r="BE9" i="13"/>
  <c r="BD9" i="13"/>
  <c r="BC9" i="13"/>
  <c r="BB9" i="13"/>
  <c r="AZ9" i="13"/>
  <c r="AY9" i="13"/>
  <c r="AX9" i="13"/>
  <c r="AW9" i="13"/>
  <c r="AV9" i="13"/>
  <c r="AT9" i="13"/>
  <c r="AS9" i="13"/>
  <c r="AR9" i="13"/>
  <c r="AQ9" i="13"/>
  <c r="AP9" i="13"/>
  <c r="AN9" i="13"/>
  <c r="AM9" i="13"/>
  <c r="AL9" i="13"/>
  <c r="AK9" i="13"/>
  <c r="AJ9" i="13"/>
  <c r="AH9" i="13"/>
  <c r="AG9" i="13"/>
  <c r="AF9" i="13"/>
  <c r="AE9" i="13"/>
  <c r="AD9" i="13"/>
  <c r="AB9" i="13"/>
  <c r="AA9" i="13"/>
  <c r="Z9" i="13"/>
  <c r="Y9" i="13"/>
  <c r="X9" i="13"/>
  <c r="V9" i="13"/>
  <c r="U9" i="13"/>
  <c r="T9" i="13"/>
  <c r="S9" i="13"/>
  <c r="R9" i="13"/>
  <c r="P9" i="13"/>
  <c r="O9" i="13"/>
  <c r="N9" i="13"/>
  <c r="M9" i="13"/>
  <c r="L9" i="13"/>
  <c r="J9" i="13"/>
  <c r="I9" i="13"/>
  <c r="H9" i="13"/>
  <c r="CB8" i="13"/>
  <c r="CA8" i="13"/>
  <c r="BZ8" i="13"/>
  <c r="BX8" i="13"/>
  <c r="BW8" i="13"/>
  <c r="BV8" i="13"/>
  <c r="BU8" i="13"/>
  <c r="BT8" i="13"/>
  <c r="BR8" i="13"/>
  <c r="BQ8" i="13"/>
  <c r="BP8" i="13"/>
  <c r="BO8" i="13"/>
  <c r="BN8" i="13"/>
  <c r="BL8" i="13"/>
  <c r="BK8" i="13"/>
  <c r="BJ8" i="13"/>
  <c r="BI8" i="13"/>
  <c r="BH8" i="13"/>
  <c r="BF8" i="13"/>
  <c r="BE8" i="13"/>
  <c r="BD8" i="13"/>
  <c r="BC8" i="13"/>
  <c r="BB8" i="13"/>
  <c r="AZ8" i="13"/>
  <c r="AY8" i="13"/>
  <c r="AX8" i="13"/>
  <c r="AW8" i="13"/>
  <c r="AV8" i="13"/>
  <c r="AT8" i="13"/>
  <c r="AS8" i="13"/>
  <c r="AR8" i="13"/>
  <c r="AQ8" i="13"/>
  <c r="AP8" i="13"/>
  <c r="AN8" i="13"/>
  <c r="AM8" i="13"/>
  <c r="AL8" i="13"/>
  <c r="AK8" i="13"/>
  <c r="AJ8" i="13"/>
  <c r="AH8" i="13"/>
  <c r="AG8" i="13"/>
  <c r="AF8" i="13"/>
  <c r="AE8" i="13"/>
  <c r="AD8" i="13"/>
  <c r="AB8" i="13"/>
  <c r="AA8" i="13"/>
  <c r="Z8" i="13"/>
  <c r="Y8" i="13"/>
  <c r="X8" i="13"/>
  <c r="V8" i="13"/>
  <c r="U8" i="13"/>
  <c r="T8" i="13"/>
  <c r="S8" i="13"/>
  <c r="R8" i="13"/>
  <c r="P8" i="13"/>
  <c r="O8" i="13"/>
  <c r="N8" i="13"/>
  <c r="M8" i="13"/>
  <c r="L8" i="13"/>
  <c r="J8" i="13"/>
  <c r="I8" i="13"/>
  <c r="H8" i="13"/>
  <c r="H7" i="13"/>
  <c r="CB5" i="13"/>
  <c r="CA5" i="13"/>
  <c r="BZ5" i="13"/>
  <c r="BY5" i="13"/>
  <c r="BX5" i="13"/>
  <c r="BW5" i="13"/>
  <c r="BV5" i="13"/>
  <c r="BU5" i="13"/>
  <c r="BT5" i="13"/>
  <c r="BS5" i="13"/>
  <c r="BR5" i="13"/>
  <c r="BQ5" i="13"/>
  <c r="BP5" i="13"/>
  <c r="BO5" i="13"/>
  <c r="BN5" i="13"/>
  <c r="BM5" i="13"/>
  <c r="BL5" i="13"/>
  <c r="BK5" i="13"/>
  <c r="BJ5" i="13"/>
  <c r="BI5" i="13"/>
  <c r="BH5" i="13"/>
  <c r="BG5" i="13"/>
  <c r="BF5" i="13"/>
  <c r="BE5" i="13"/>
  <c r="BD5" i="13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J347" i="8"/>
  <c r="F17" i="10"/>
  <c r="F16" i="10"/>
  <c r="J15" i="10"/>
  <c r="K15" i="10" s="1"/>
  <c r="L15" i="10" s="1"/>
  <c r="M15" i="10" s="1"/>
  <c r="N15" i="10" s="1"/>
  <c r="J15" i="12"/>
  <c r="K15" i="12" s="1"/>
  <c r="L15" i="12" s="1"/>
  <c r="M15" i="12" s="1"/>
  <c r="N15" i="12" s="1"/>
  <c r="F17" i="12"/>
  <c r="F16" i="12"/>
  <c r="P107" i="13" l="1"/>
  <c r="BL107" i="13"/>
  <c r="BK127" i="13" s="1"/>
  <c r="AE107" i="13"/>
  <c r="BK107" i="13"/>
  <c r="BC107" i="13"/>
  <c r="AJ107" i="13"/>
  <c r="BV107" i="13"/>
  <c r="CA107" i="13"/>
  <c r="AS107" i="13"/>
  <c r="Z107" i="13"/>
  <c r="AM107" i="13"/>
  <c r="O107" i="13"/>
  <c r="O127" i="13" s="1"/>
  <c r="L107" i="13"/>
  <c r="AN107" i="13"/>
  <c r="BQ107" i="13"/>
  <c r="O147" i="13"/>
  <c r="O126" i="13"/>
  <c r="U107" i="13"/>
  <c r="AX107" i="13"/>
  <c r="BH107" i="13"/>
  <c r="M107" i="13"/>
  <c r="V107" i="13"/>
  <c r="AF107" i="13"/>
  <c r="AP107" i="13"/>
  <c r="AY107" i="13"/>
  <c r="BI107" i="13"/>
  <c r="BR107" i="13"/>
  <c r="CB107" i="13"/>
  <c r="AI127" i="13"/>
  <c r="AI126" i="13"/>
  <c r="AI147" i="13"/>
  <c r="N107" i="13"/>
  <c r="N147" i="13" s="1"/>
  <c r="X107" i="13"/>
  <c r="AG107" i="13"/>
  <c r="AQ107" i="13"/>
  <c r="AZ107" i="13"/>
  <c r="BJ107" i="13"/>
  <c r="BT107" i="13"/>
  <c r="Y107" i="13"/>
  <c r="AH107" i="13"/>
  <c r="AH127" i="13" s="1"/>
  <c r="AR107" i="13"/>
  <c r="AR127" i="13" s="1"/>
  <c r="BB107" i="13"/>
  <c r="BB147" i="13" s="1"/>
  <c r="BU107" i="13"/>
  <c r="BU147" i="13" s="1"/>
  <c r="BL147" i="13"/>
  <c r="BU127" i="13"/>
  <c r="BR147" i="13"/>
  <c r="BR127" i="13"/>
  <c r="BR126" i="13"/>
  <c r="BK147" i="13"/>
  <c r="BL126" i="13"/>
  <c r="BK126" i="13"/>
  <c r="R107" i="13"/>
  <c r="AA107" i="13"/>
  <c r="AK107" i="13"/>
  <c r="AT107" i="13"/>
  <c r="AT126" i="13" s="1"/>
  <c r="BD107" i="13"/>
  <c r="BN107" i="13"/>
  <c r="BW107" i="13"/>
  <c r="AN127" i="13"/>
  <c r="AR147" i="13"/>
  <c r="S107" i="13"/>
  <c r="AB107" i="13"/>
  <c r="AB127" i="13" s="1"/>
  <c r="AL107" i="13"/>
  <c r="AL147" i="13" s="1"/>
  <c r="AV107" i="13"/>
  <c r="BE107" i="13"/>
  <c r="BO107" i="13"/>
  <c r="BX107" i="13"/>
  <c r="AT127" i="13"/>
  <c r="Y127" i="13"/>
  <c r="Y126" i="13"/>
  <c r="Y147" i="13"/>
  <c r="I107" i="13"/>
  <c r="J107" i="13"/>
  <c r="T107" i="13"/>
  <c r="AD107" i="13"/>
  <c r="AW107" i="13"/>
  <c r="BF107" i="13"/>
  <c r="BF126" i="13" s="1"/>
  <c r="BP107" i="13"/>
  <c r="BZ107" i="13"/>
  <c r="BZ147" i="13" s="1"/>
  <c r="P127" i="13"/>
  <c r="AZ126" i="13"/>
  <c r="BL127" i="13"/>
  <c r="P126" i="13"/>
  <c r="AN126" i="13"/>
  <c r="BX127" i="13"/>
  <c r="P147" i="13"/>
  <c r="AH147" i="13"/>
  <c r="AZ147" i="13"/>
  <c r="K154" i="13"/>
  <c r="AH126" i="13"/>
  <c r="G324" i="13"/>
  <c r="H321" i="13"/>
  <c r="AZ127" i="13"/>
  <c r="AB147" i="13"/>
  <c r="CD106" i="13"/>
  <c r="I278" i="13"/>
  <c r="J278" i="13"/>
  <c r="K278" i="13"/>
  <c r="E8" i="12"/>
  <c r="F8" i="12" s="1"/>
  <c r="D105" i="11"/>
  <c r="CB100" i="11"/>
  <c r="CA100" i="11"/>
  <c r="BZ100" i="11"/>
  <c r="BY100" i="11"/>
  <c r="BX100" i="11"/>
  <c r="BW100" i="11"/>
  <c r="BV100" i="11"/>
  <c r="BU100" i="11"/>
  <c r="BT100" i="11"/>
  <c r="BS100" i="11"/>
  <c r="BR100" i="11"/>
  <c r="BQ100" i="11"/>
  <c r="BP100" i="11"/>
  <c r="BO100" i="11"/>
  <c r="BN100" i="11"/>
  <c r="BM100" i="11"/>
  <c r="BL100" i="11"/>
  <c r="BK100" i="11"/>
  <c r="BJ100" i="11"/>
  <c r="BI100" i="11"/>
  <c r="BH100" i="11"/>
  <c r="BG100" i="11"/>
  <c r="BF100" i="11"/>
  <c r="BE100" i="11"/>
  <c r="BD100" i="11"/>
  <c r="BC100" i="11"/>
  <c r="BB100" i="11"/>
  <c r="BA100" i="11"/>
  <c r="AZ100" i="11"/>
  <c r="AY100" i="11"/>
  <c r="AX100" i="11"/>
  <c r="AW100" i="11"/>
  <c r="AV100" i="11"/>
  <c r="AU100" i="11"/>
  <c r="AT100" i="11"/>
  <c r="AS100" i="11"/>
  <c r="AR100" i="11"/>
  <c r="AQ100" i="11"/>
  <c r="AP100" i="11"/>
  <c r="AO100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CB99" i="11"/>
  <c r="CA99" i="11"/>
  <c r="BZ99" i="11"/>
  <c r="BY99" i="11"/>
  <c r="BX99" i="11"/>
  <c r="BW99" i="11"/>
  <c r="BV99" i="11"/>
  <c r="BU99" i="11"/>
  <c r="BT99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CB98" i="11"/>
  <c r="CA98" i="11"/>
  <c r="BZ98" i="11"/>
  <c r="BY98" i="11"/>
  <c r="BX98" i="11"/>
  <c r="BW98" i="11"/>
  <c r="BV98" i="11"/>
  <c r="BU98" i="11"/>
  <c r="BT98" i="11"/>
  <c r="BS98" i="11"/>
  <c r="BR98" i="11"/>
  <c r="BQ98" i="11"/>
  <c r="BP98" i="11"/>
  <c r="BO98" i="11"/>
  <c r="BN98" i="11"/>
  <c r="BM98" i="11"/>
  <c r="BL98" i="11"/>
  <c r="BK98" i="11"/>
  <c r="BJ98" i="11"/>
  <c r="BI98" i="11"/>
  <c r="BH98" i="11"/>
  <c r="BG98" i="11"/>
  <c r="BF98" i="11"/>
  <c r="BE98" i="11"/>
  <c r="BD98" i="11"/>
  <c r="BC98" i="11"/>
  <c r="BB98" i="11"/>
  <c r="BA98" i="11"/>
  <c r="AZ98" i="11"/>
  <c r="AY98" i="11"/>
  <c r="AX98" i="11"/>
  <c r="AW98" i="11"/>
  <c r="AV98" i="11"/>
  <c r="AU98" i="11"/>
  <c r="AT98" i="11"/>
  <c r="AS98" i="11"/>
  <c r="AR98" i="11"/>
  <c r="AQ98" i="11"/>
  <c r="AP98" i="11"/>
  <c r="AO98" i="11"/>
  <c r="AN98" i="11"/>
  <c r="AM98" i="11"/>
  <c r="AL98" i="11"/>
  <c r="AK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CB97" i="11"/>
  <c r="CA97" i="11"/>
  <c r="BZ97" i="11"/>
  <c r="BY97" i="11"/>
  <c r="BX97" i="11"/>
  <c r="BW97" i="11"/>
  <c r="BV97" i="11"/>
  <c r="BU97" i="11"/>
  <c r="BT97" i="11"/>
  <c r="BS97" i="11"/>
  <c r="BR97" i="11"/>
  <c r="BQ97" i="11"/>
  <c r="BP97" i="11"/>
  <c r="BO97" i="11"/>
  <c r="BN97" i="11"/>
  <c r="BM97" i="11"/>
  <c r="BL97" i="11"/>
  <c r="BK97" i="11"/>
  <c r="BJ97" i="11"/>
  <c r="BI97" i="11"/>
  <c r="BH97" i="11"/>
  <c r="BG97" i="11"/>
  <c r="BF97" i="11"/>
  <c r="BE97" i="11"/>
  <c r="BD97" i="11"/>
  <c r="BC97" i="11"/>
  <c r="BB97" i="11"/>
  <c r="BA97" i="11"/>
  <c r="AZ97" i="11"/>
  <c r="AY97" i="11"/>
  <c r="AX97" i="11"/>
  <c r="AW97" i="11"/>
  <c r="AV97" i="11"/>
  <c r="AU97" i="11"/>
  <c r="AT97" i="11"/>
  <c r="AS97" i="11"/>
  <c r="AR97" i="11"/>
  <c r="AQ97" i="11"/>
  <c r="AP97" i="11"/>
  <c r="AO97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CB96" i="11"/>
  <c r="CA96" i="11"/>
  <c r="BZ96" i="11"/>
  <c r="BY96" i="11"/>
  <c r="BX96" i="11"/>
  <c r="BW96" i="11"/>
  <c r="BV96" i="11"/>
  <c r="BU96" i="11"/>
  <c r="BT96" i="11"/>
  <c r="BS96" i="11"/>
  <c r="BR96" i="11"/>
  <c r="BQ96" i="11"/>
  <c r="BP96" i="11"/>
  <c r="BO96" i="11"/>
  <c r="BN96" i="11"/>
  <c r="BM96" i="11"/>
  <c r="BL96" i="11"/>
  <c r="BK96" i="11"/>
  <c r="BJ96" i="11"/>
  <c r="BI96" i="11"/>
  <c r="BH96" i="11"/>
  <c r="BG96" i="11"/>
  <c r="BF96" i="11"/>
  <c r="BE96" i="11"/>
  <c r="BD96" i="11"/>
  <c r="BC96" i="11"/>
  <c r="BB96" i="11"/>
  <c r="BA96" i="11"/>
  <c r="AZ96" i="11"/>
  <c r="AY96" i="11"/>
  <c r="AX96" i="11"/>
  <c r="AW96" i="11"/>
  <c r="AV96" i="11"/>
  <c r="AU96" i="11"/>
  <c r="AT96" i="11"/>
  <c r="AS96" i="11"/>
  <c r="AR96" i="11"/>
  <c r="AQ96" i="11"/>
  <c r="AP96" i="11"/>
  <c r="AO96" i="11"/>
  <c r="AN96" i="11"/>
  <c r="AM96" i="11"/>
  <c r="AL96" i="11"/>
  <c r="AK96" i="11"/>
  <c r="AJ96" i="11"/>
  <c r="AI96" i="1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CB95" i="11"/>
  <c r="CA95" i="11"/>
  <c r="BZ95" i="11"/>
  <c r="BY95" i="11"/>
  <c r="BX95" i="11"/>
  <c r="BW95" i="11"/>
  <c r="BV95" i="11"/>
  <c r="BU95" i="11"/>
  <c r="BT95" i="11"/>
  <c r="BS95" i="11"/>
  <c r="BR95" i="11"/>
  <c r="BQ95" i="11"/>
  <c r="BP95" i="11"/>
  <c r="BO95" i="11"/>
  <c r="BN95" i="11"/>
  <c r="BM95" i="11"/>
  <c r="BL95" i="11"/>
  <c r="BK95" i="11"/>
  <c r="BJ95" i="11"/>
  <c r="BI95" i="11"/>
  <c r="BH95" i="11"/>
  <c r="BG95" i="11"/>
  <c r="BF95" i="11"/>
  <c r="BE95" i="11"/>
  <c r="BD95" i="11"/>
  <c r="BC95" i="11"/>
  <c r="BB95" i="11"/>
  <c r="BA95" i="11"/>
  <c r="AZ95" i="11"/>
  <c r="AY95" i="11"/>
  <c r="AX95" i="11"/>
  <c r="AW95" i="11"/>
  <c r="AV95" i="11"/>
  <c r="AU95" i="11"/>
  <c r="AT95" i="11"/>
  <c r="AS95" i="11"/>
  <c r="AR95" i="11"/>
  <c r="AQ95" i="11"/>
  <c r="AP95" i="11"/>
  <c r="AO95" i="11"/>
  <c r="AN95" i="11"/>
  <c r="AM95" i="11"/>
  <c r="AL95" i="11"/>
  <c r="AK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CB94" i="11"/>
  <c r="CA94" i="11"/>
  <c r="BZ94" i="11"/>
  <c r="BY94" i="11"/>
  <c r="BX94" i="11"/>
  <c r="BW94" i="11"/>
  <c r="BV94" i="11"/>
  <c r="BU94" i="11"/>
  <c r="BT94" i="11"/>
  <c r="BS94" i="11"/>
  <c r="BR94" i="11"/>
  <c r="BQ94" i="11"/>
  <c r="BP94" i="11"/>
  <c r="BO94" i="11"/>
  <c r="BN94" i="11"/>
  <c r="BM94" i="11"/>
  <c r="BL94" i="11"/>
  <c r="BK94" i="11"/>
  <c r="BJ94" i="11"/>
  <c r="BI94" i="11"/>
  <c r="BH94" i="11"/>
  <c r="BG94" i="11"/>
  <c r="BF94" i="11"/>
  <c r="BE94" i="11"/>
  <c r="BD94" i="11"/>
  <c r="BC94" i="11"/>
  <c r="BB94" i="11"/>
  <c r="BA94" i="11"/>
  <c r="AZ94" i="11"/>
  <c r="AY94" i="11"/>
  <c r="AX94" i="11"/>
  <c r="AW94" i="11"/>
  <c r="AV94" i="11"/>
  <c r="AU94" i="11"/>
  <c r="AT94" i="11"/>
  <c r="AS94" i="11"/>
  <c r="AR94" i="11"/>
  <c r="AQ94" i="11"/>
  <c r="AP94" i="11"/>
  <c r="AO94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CB93" i="11"/>
  <c r="CA93" i="11"/>
  <c r="BZ93" i="11"/>
  <c r="BY93" i="11"/>
  <c r="BX93" i="11"/>
  <c r="BW93" i="11"/>
  <c r="BV93" i="11"/>
  <c r="BU93" i="11"/>
  <c r="BT93" i="11"/>
  <c r="BS93" i="11"/>
  <c r="BR93" i="11"/>
  <c r="BQ93" i="11"/>
  <c r="BP93" i="11"/>
  <c r="BO93" i="11"/>
  <c r="BN93" i="11"/>
  <c r="BM93" i="11"/>
  <c r="BL93" i="11"/>
  <c r="BK93" i="11"/>
  <c r="BJ93" i="11"/>
  <c r="BI93" i="11"/>
  <c r="BH93" i="11"/>
  <c r="BG93" i="11"/>
  <c r="BF93" i="11"/>
  <c r="BE93" i="11"/>
  <c r="BD93" i="11"/>
  <c r="BC93" i="11"/>
  <c r="BB93" i="11"/>
  <c r="BA93" i="11"/>
  <c r="AZ93" i="11"/>
  <c r="AY93" i="11"/>
  <c r="AX93" i="11"/>
  <c r="AW93" i="11"/>
  <c r="AV93" i="11"/>
  <c r="AU93" i="11"/>
  <c r="AT93" i="11"/>
  <c r="AS93" i="11"/>
  <c r="AR93" i="11"/>
  <c r="AQ93" i="11"/>
  <c r="AP93" i="11"/>
  <c r="AO93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CB92" i="11"/>
  <c r="CA92" i="11"/>
  <c r="BZ92" i="11"/>
  <c r="BY92" i="11"/>
  <c r="BX92" i="11"/>
  <c r="BW92" i="11"/>
  <c r="BV92" i="11"/>
  <c r="BU92" i="11"/>
  <c r="BT92" i="11"/>
  <c r="BS92" i="11"/>
  <c r="BR92" i="11"/>
  <c r="BQ92" i="11"/>
  <c r="BP92" i="11"/>
  <c r="BO92" i="11"/>
  <c r="BN92" i="11"/>
  <c r="BM92" i="11"/>
  <c r="BL92" i="11"/>
  <c r="BK92" i="11"/>
  <c r="BJ92" i="11"/>
  <c r="BI92" i="11"/>
  <c r="BH92" i="11"/>
  <c r="BG92" i="11"/>
  <c r="BF92" i="11"/>
  <c r="BE92" i="11"/>
  <c r="BD92" i="11"/>
  <c r="BC92" i="11"/>
  <c r="BB92" i="11"/>
  <c r="BA92" i="11"/>
  <c r="AZ92" i="11"/>
  <c r="AY92" i="11"/>
  <c r="AX92" i="11"/>
  <c r="AW92" i="11"/>
  <c r="AV92" i="11"/>
  <c r="AU92" i="11"/>
  <c r="AT92" i="11"/>
  <c r="AS92" i="11"/>
  <c r="AR92" i="11"/>
  <c r="AQ92" i="11"/>
  <c r="AP92" i="11"/>
  <c r="AO92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CB91" i="11"/>
  <c r="CA91" i="11"/>
  <c r="BZ91" i="11"/>
  <c r="BY91" i="11"/>
  <c r="BX91" i="11"/>
  <c r="BW91" i="11"/>
  <c r="BV91" i="11"/>
  <c r="BU91" i="11"/>
  <c r="BT91" i="11"/>
  <c r="BS91" i="11"/>
  <c r="BR91" i="11"/>
  <c r="BQ91" i="11"/>
  <c r="BP91" i="11"/>
  <c r="BO91" i="11"/>
  <c r="BN91" i="11"/>
  <c r="BM91" i="11"/>
  <c r="BL91" i="11"/>
  <c r="BK91" i="11"/>
  <c r="BJ91" i="11"/>
  <c r="BI91" i="11"/>
  <c r="BH91" i="11"/>
  <c r="BG91" i="11"/>
  <c r="BF91" i="11"/>
  <c r="BE91" i="11"/>
  <c r="BD91" i="11"/>
  <c r="BC91" i="11"/>
  <c r="BB91" i="11"/>
  <c r="BA91" i="11"/>
  <c r="AZ91" i="11"/>
  <c r="AY91" i="11"/>
  <c r="AX91" i="11"/>
  <c r="AW91" i="11"/>
  <c r="AV91" i="11"/>
  <c r="AU91" i="11"/>
  <c r="AT91" i="11"/>
  <c r="AS91" i="11"/>
  <c r="AR91" i="11"/>
  <c r="AQ91" i="11"/>
  <c r="AP91" i="11"/>
  <c r="AO91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CB90" i="11"/>
  <c r="CA90" i="11"/>
  <c r="BZ90" i="11"/>
  <c r="BY90" i="11"/>
  <c r="BX90" i="11"/>
  <c r="BW90" i="11"/>
  <c r="BV90" i="11"/>
  <c r="BU90" i="11"/>
  <c r="BT90" i="11"/>
  <c r="BS90" i="11"/>
  <c r="BR90" i="11"/>
  <c r="BQ90" i="11"/>
  <c r="BP90" i="11"/>
  <c r="BO90" i="11"/>
  <c r="BN90" i="11"/>
  <c r="BM90" i="11"/>
  <c r="BL90" i="11"/>
  <c r="BK90" i="11"/>
  <c r="BJ90" i="11"/>
  <c r="BI90" i="11"/>
  <c r="BH90" i="11"/>
  <c r="BG90" i="11"/>
  <c r="BF90" i="11"/>
  <c r="BE90" i="11"/>
  <c r="BD90" i="11"/>
  <c r="BC90" i="11"/>
  <c r="BB90" i="11"/>
  <c r="BA90" i="11"/>
  <c r="AZ90" i="11"/>
  <c r="AY90" i="11"/>
  <c r="AX90" i="11"/>
  <c r="AW90" i="11"/>
  <c r="AV90" i="11"/>
  <c r="AU90" i="11"/>
  <c r="AT90" i="11"/>
  <c r="AS90" i="11"/>
  <c r="AR90" i="11"/>
  <c r="AQ90" i="11"/>
  <c r="AP90" i="11"/>
  <c r="AO90" i="11"/>
  <c r="AN90" i="11"/>
  <c r="AM90" i="11"/>
  <c r="AL90" i="11"/>
  <c r="AK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CB89" i="11"/>
  <c r="CA89" i="11"/>
  <c r="BZ89" i="11"/>
  <c r="BY89" i="11"/>
  <c r="BX89" i="11"/>
  <c r="BW89" i="11"/>
  <c r="BV89" i="11"/>
  <c r="BU89" i="11"/>
  <c r="BT89" i="11"/>
  <c r="BS89" i="11"/>
  <c r="BR89" i="11"/>
  <c r="BQ89" i="11"/>
  <c r="BP89" i="11"/>
  <c r="BO89" i="11"/>
  <c r="BN89" i="11"/>
  <c r="BM89" i="11"/>
  <c r="BL89" i="11"/>
  <c r="BK89" i="11"/>
  <c r="BJ89" i="11"/>
  <c r="BI89" i="11"/>
  <c r="BH89" i="11"/>
  <c r="BG89" i="11"/>
  <c r="BF89" i="11"/>
  <c r="BE89" i="11"/>
  <c r="BD89" i="11"/>
  <c r="BC89" i="11"/>
  <c r="BB89" i="11"/>
  <c r="BA89" i="11"/>
  <c r="AZ89" i="11"/>
  <c r="AY89" i="11"/>
  <c r="AX89" i="11"/>
  <c r="AW89" i="11"/>
  <c r="AV89" i="11"/>
  <c r="AU89" i="11"/>
  <c r="AT89" i="11"/>
  <c r="AS89" i="11"/>
  <c r="AR89" i="11"/>
  <c r="AQ89" i="11"/>
  <c r="AP89" i="11"/>
  <c r="AO89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CB88" i="11"/>
  <c r="CA88" i="11"/>
  <c r="BZ88" i="11"/>
  <c r="BY88" i="11"/>
  <c r="BX88" i="11"/>
  <c r="BW88" i="11"/>
  <c r="BV88" i="11"/>
  <c r="BU88" i="11"/>
  <c r="BT88" i="11"/>
  <c r="BS88" i="11"/>
  <c r="BR88" i="11"/>
  <c r="BQ88" i="11"/>
  <c r="BP88" i="11"/>
  <c r="BO88" i="11"/>
  <c r="BN88" i="11"/>
  <c r="BM88" i="11"/>
  <c r="BL88" i="11"/>
  <c r="BK88" i="11"/>
  <c r="BJ88" i="11"/>
  <c r="BI88" i="11"/>
  <c r="BH88" i="11"/>
  <c r="BG88" i="11"/>
  <c r="BF88" i="11"/>
  <c r="BE88" i="11"/>
  <c r="BD88" i="11"/>
  <c r="BC88" i="11"/>
  <c r="BB88" i="11"/>
  <c r="BA88" i="11"/>
  <c r="AZ88" i="11"/>
  <c r="AY88" i="11"/>
  <c r="AX88" i="11"/>
  <c r="AW88" i="11"/>
  <c r="AV88" i="11"/>
  <c r="AU88" i="11"/>
  <c r="AT88" i="11"/>
  <c r="AS88" i="11"/>
  <c r="AR88" i="11"/>
  <c r="AQ88" i="11"/>
  <c r="AP88" i="11"/>
  <c r="AO88" i="11"/>
  <c r="AN88" i="11"/>
  <c r="AM88" i="11"/>
  <c r="AL88" i="11"/>
  <c r="AK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CB87" i="11"/>
  <c r="CA87" i="11"/>
  <c r="BZ87" i="11"/>
  <c r="BY87" i="11"/>
  <c r="BX87" i="11"/>
  <c r="BW87" i="11"/>
  <c r="BV87" i="11"/>
  <c r="BU87" i="11"/>
  <c r="BT87" i="11"/>
  <c r="BS87" i="11"/>
  <c r="BR87" i="11"/>
  <c r="BQ87" i="11"/>
  <c r="BP87" i="11"/>
  <c r="BO87" i="11"/>
  <c r="BN87" i="11"/>
  <c r="BM87" i="11"/>
  <c r="BL87" i="11"/>
  <c r="BK87" i="11"/>
  <c r="BJ87" i="11"/>
  <c r="BI87" i="11"/>
  <c r="BH87" i="11"/>
  <c r="BG87" i="11"/>
  <c r="BF87" i="11"/>
  <c r="BE87" i="11"/>
  <c r="BD87" i="11"/>
  <c r="BC87" i="11"/>
  <c r="BB87" i="11"/>
  <c r="BA87" i="11"/>
  <c r="AZ87" i="11"/>
  <c r="AY87" i="11"/>
  <c r="AX87" i="11"/>
  <c r="AW87" i="11"/>
  <c r="AV87" i="11"/>
  <c r="AU87" i="11"/>
  <c r="AT87" i="11"/>
  <c r="AS87" i="11"/>
  <c r="AR87" i="11"/>
  <c r="AQ87" i="11"/>
  <c r="AP87" i="11"/>
  <c r="AO87" i="11"/>
  <c r="AN87" i="11"/>
  <c r="AM87" i="11"/>
  <c r="AL87" i="11"/>
  <c r="AK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CB86" i="11"/>
  <c r="CA86" i="11"/>
  <c r="BZ86" i="11"/>
  <c r="BY86" i="11"/>
  <c r="BX86" i="11"/>
  <c r="BW86" i="11"/>
  <c r="BV86" i="11"/>
  <c r="BU86" i="11"/>
  <c r="BT86" i="11"/>
  <c r="BS86" i="11"/>
  <c r="BR86" i="11"/>
  <c r="BQ86" i="11"/>
  <c r="BP86" i="11"/>
  <c r="BO86" i="11"/>
  <c r="BN86" i="11"/>
  <c r="BM86" i="11"/>
  <c r="BL86" i="11"/>
  <c r="BK86" i="11"/>
  <c r="BJ86" i="11"/>
  <c r="BI86" i="11"/>
  <c r="BH86" i="11"/>
  <c r="BG86" i="11"/>
  <c r="BF86" i="11"/>
  <c r="BE86" i="11"/>
  <c r="BD86" i="11"/>
  <c r="BC86" i="11"/>
  <c r="BB86" i="11"/>
  <c r="BA86" i="11"/>
  <c r="AZ86" i="11"/>
  <c r="AY86" i="11"/>
  <c r="AX86" i="11"/>
  <c r="AW86" i="11"/>
  <c r="AV86" i="11"/>
  <c r="AU86" i="11"/>
  <c r="AT86" i="11"/>
  <c r="AS86" i="11"/>
  <c r="AR86" i="11"/>
  <c r="AQ86" i="11"/>
  <c r="AP86" i="11"/>
  <c r="AO86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CB85" i="11"/>
  <c r="CA85" i="11"/>
  <c r="BZ85" i="11"/>
  <c r="BY85" i="11"/>
  <c r="BX85" i="11"/>
  <c r="BW85" i="11"/>
  <c r="BV85" i="11"/>
  <c r="BU85" i="11"/>
  <c r="BT85" i="11"/>
  <c r="BS85" i="11"/>
  <c r="BR85" i="11"/>
  <c r="BQ85" i="11"/>
  <c r="BP85" i="11"/>
  <c r="BO85" i="11"/>
  <c r="BN85" i="11"/>
  <c r="BM85" i="11"/>
  <c r="BL85" i="11"/>
  <c r="BK85" i="11"/>
  <c r="BJ85" i="11"/>
  <c r="BI85" i="11"/>
  <c r="BH85" i="11"/>
  <c r="BG85" i="11"/>
  <c r="BF85" i="11"/>
  <c r="BE85" i="11"/>
  <c r="BD85" i="11"/>
  <c r="BC85" i="11"/>
  <c r="BB85" i="11"/>
  <c r="BA85" i="11"/>
  <c r="AZ85" i="11"/>
  <c r="AY85" i="11"/>
  <c r="AX85" i="11"/>
  <c r="AW85" i="11"/>
  <c r="AV85" i="11"/>
  <c r="AU85" i="11"/>
  <c r="AT85" i="11"/>
  <c r="AS85" i="11"/>
  <c r="AR85" i="11"/>
  <c r="AQ85" i="11"/>
  <c r="AP85" i="11"/>
  <c r="AO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CB84" i="11"/>
  <c r="CA84" i="11"/>
  <c r="BZ84" i="11"/>
  <c r="BY84" i="11"/>
  <c r="BX84" i="11"/>
  <c r="BW84" i="11"/>
  <c r="BV84" i="11"/>
  <c r="BU84" i="11"/>
  <c r="BT84" i="11"/>
  <c r="BS84" i="11"/>
  <c r="BR84" i="11"/>
  <c r="BQ84" i="11"/>
  <c r="BP84" i="11"/>
  <c r="BO84" i="11"/>
  <c r="BN84" i="11"/>
  <c r="BM84" i="11"/>
  <c r="BL84" i="11"/>
  <c r="BK84" i="11"/>
  <c r="BJ84" i="11"/>
  <c r="BI84" i="11"/>
  <c r="BH84" i="11"/>
  <c r="BG84" i="11"/>
  <c r="BF84" i="11"/>
  <c r="BE84" i="11"/>
  <c r="BD84" i="11"/>
  <c r="BC84" i="11"/>
  <c r="BB84" i="11"/>
  <c r="BA84" i="11"/>
  <c r="AZ84" i="11"/>
  <c r="AY84" i="11"/>
  <c r="AX84" i="11"/>
  <c r="AW84" i="11"/>
  <c r="AV84" i="11"/>
  <c r="AU84" i="11"/>
  <c r="AT84" i="11"/>
  <c r="AS84" i="11"/>
  <c r="AR84" i="11"/>
  <c r="AQ84" i="11"/>
  <c r="AP84" i="11"/>
  <c r="AO84" i="11"/>
  <c r="AN84" i="11"/>
  <c r="AM84" i="11"/>
  <c r="AL84" i="11"/>
  <c r="AK84" i="11"/>
  <c r="AJ84" i="11"/>
  <c r="AI84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CB83" i="11"/>
  <c r="CA83" i="11"/>
  <c r="BZ83" i="11"/>
  <c r="BY83" i="11"/>
  <c r="BX83" i="11"/>
  <c r="BW83" i="11"/>
  <c r="BV83" i="11"/>
  <c r="BU83" i="11"/>
  <c r="BT83" i="11"/>
  <c r="BS83" i="11"/>
  <c r="BR83" i="11"/>
  <c r="BQ83" i="11"/>
  <c r="BP83" i="11"/>
  <c r="BO83" i="11"/>
  <c r="BN83" i="11"/>
  <c r="BM83" i="11"/>
  <c r="BL83" i="11"/>
  <c r="BK83" i="11"/>
  <c r="BJ83" i="11"/>
  <c r="BI83" i="11"/>
  <c r="BH83" i="11"/>
  <c r="BG83" i="11"/>
  <c r="BF83" i="11"/>
  <c r="BE83" i="11"/>
  <c r="BD83" i="11"/>
  <c r="BC83" i="11"/>
  <c r="BB83" i="11"/>
  <c r="BA83" i="11"/>
  <c r="AZ83" i="11"/>
  <c r="AY83" i="11"/>
  <c r="AX83" i="11"/>
  <c r="AW83" i="11"/>
  <c r="AV83" i="11"/>
  <c r="AU83" i="11"/>
  <c r="AT83" i="11"/>
  <c r="AS83" i="11"/>
  <c r="AR83" i="11"/>
  <c r="AQ83" i="11"/>
  <c r="AP83" i="11"/>
  <c r="AO83" i="11"/>
  <c r="AN83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CB82" i="11"/>
  <c r="CA82" i="11"/>
  <c r="BZ82" i="11"/>
  <c r="BY82" i="11"/>
  <c r="BX82" i="11"/>
  <c r="BW82" i="11"/>
  <c r="BV82" i="11"/>
  <c r="BU82" i="11"/>
  <c r="BT82" i="11"/>
  <c r="BS82" i="11"/>
  <c r="BR82" i="11"/>
  <c r="BQ82" i="11"/>
  <c r="BP82" i="11"/>
  <c r="BO82" i="11"/>
  <c r="BN82" i="11"/>
  <c r="BM82" i="11"/>
  <c r="BL82" i="11"/>
  <c r="BK82" i="11"/>
  <c r="BJ82" i="11"/>
  <c r="BI82" i="11"/>
  <c r="BH82" i="11"/>
  <c r="BG82" i="11"/>
  <c r="BF82" i="11"/>
  <c r="BE82" i="11"/>
  <c r="BD82" i="11"/>
  <c r="BC82" i="11"/>
  <c r="BB82" i="11"/>
  <c r="BA82" i="11"/>
  <c r="AZ82" i="11"/>
  <c r="AY82" i="11"/>
  <c r="AX82" i="11"/>
  <c r="AW82" i="11"/>
  <c r="AV82" i="11"/>
  <c r="AU82" i="11"/>
  <c r="AT82" i="11"/>
  <c r="AS82" i="11"/>
  <c r="AR82" i="11"/>
  <c r="AQ82" i="11"/>
  <c r="AP82" i="11"/>
  <c r="AO82" i="11"/>
  <c r="AN82" i="11"/>
  <c r="AM82" i="11"/>
  <c r="AL82" i="11"/>
  <c r="AK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CB81" i="11"/>
  <c r="CA81" i="11"/>
  <c r="BZ81" i="11"/>
  <c r="BY81" i="11"/>
  <c r="BX81" i="11"/>
  <c r="BW81" i="11"/>
  <c r="BV81" i="11"/>
  <c r="BU81" i="11"/>
  <c r="BT81" i="11"/>
  <c r="BS81" i="11"/>
  <c r="BR81" i="11"/>
  <c r="BQ81" i="11"/>
  <c r="BP81" i="11"/>
  <c r="BO81" i="11"/>
  <c r="BN81" i="11"/>
  <c r="BM81" i="11"/>
  <c r="BL81" i="11"/>
  <c r="BK81" i="11"/>
  <c r="BJ81" i="11"/>
  <c r="BI81" i="11"/>
  <c r="BH81" i="11"/>
  <c r="BG81" i="11"/>
  <c r="BF81" i="11"/>
  <c r="BE81" i="11"/>
  <c r="BD81" i="11"/>
  <c r="BC81" i="11"/>
  <c r="BB81" i="11"/>
  <c r="BA81" i="11"/>
  <c r="AZ81" i="11"/>
  <c r="AY81" i="11"/>
  <c r="AX81" i="11"/>
  <c r="AW81" i="11"/>
  <c r="AV81" i="11"/>
  <c r="AU81" i="11"/>
  <c r="AT81" i="11"/>
  <c r="AS81" i="11"/>
  <c r="AR81" i="11"/>
  <c r="AQ81" i="11"/>
  <c r="AP81" i="11"/>
  <c r="AO81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CB80" i="11"/>
  <c r="CA80" i="11"/>
  <c r="BZ80" i="11"/>
  <c r="BY80" i="11"/>
  <c r="BX80" i="11"/>
  <c r="BW80" i="11"/>
  <c r="BV80" i="11"/>
  <c r="BU80" i="11"/>
  <c r="BT80" i="11"/>
  <c r="BS80" i="11"/>
  <c r="BR80" i="11"/>
  <c r="BQ80" i="11"/>
  <c r="BP80" i="11"/>
  <c r="BO80" i="11"/>
  <c r="BN80" i="11"/>
  <c r="BM80" i="11"/>
  <c r="BL80" i="11"/>
  <c r="BK80" i="11"/>
  <c r="BJ80" i="11"/>
  <c r="BI80" i="11"/>
  <c r="BH80" i="11"/>
  <c r="BG80" i="11"/>
  <c r="BF80" i="11"/>
  <c r="BE80" i="11"/>
  <c r="BD80" i="11"/>
  <c r="BC80" i="11"/>
  <c r="BB80" i="11"/>
  <c r="BA80" i="11"/>
  <c r="AZ80" i="11"/>
  <c r="AY80" i="11"/>
  <c r="AX80" i="11"/>
  <c r="AW80" i="11"/>
  <c r="AV80" i="11"/>
  <c r="AU80" i="11"/>
  <c r="AT80" i="11"/>
  <c r="AS80" i="11"/>
  <c r="AR80" i="11"/>
  <c r="AQ80" i="11"/>
  <c r="AP80" i="11"/>
  <c r="AO80" i="11"/>
  <c r="AN80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CB79" i="11"/>
  <c r="CA79" i="11"/>
  <c r="BZ79" i="11"/>
  <c r="BY79" i="11"/>
  <c r="BX79" i="11"/>
  <c r="BW79" i="11"/>
  <c r="BV79" i="11"/>
  <c r="BU79" i="11"/>
  <c r="BT79" i="11"/>
  <c r="BS79" i="11"/>
  <c r="BR79" i="11"/>
  <c r="BQ79" i="11"/>
  <c r="BP79" i="11"/>
  <c r="BO79" i="11"/>
  <c r="BN79" i="11"/>
  <c r="BM79" i="11"/>
  <c r="BL79" i="11"/>
  <c r="BK79" i="11"/>
  <c r="BJ79" i="11"/>
  <c r="BI79" i="11"/>
  <c r="BH79" i="11"/>
  <c r="BG79" i="11"/>
  <c r="BF79" i="11"/>
  <c r="BE79" i="11"/>
  <c r="BD79" i="11"/>
  <c r="BC79" i="11"/>
  <c r="BB79" i="11"/>
  <c r="BA79" i="11"/>
  <c r="AZ79" i="11"/>
  <c r="AY79" i="11"/>
  <c r="AX79" i="11"/>
  <c r="AW79" i="11"/>
  <c r="AV79" i="11"/>
  <c r="AU79" i="11"/>
  <c r="AT79" i="11"/>
  <c r="AS79" i="11"/>
  <c r="AR79" i="11"/>
  <c r="AQ79" i="11"/>
  <c r="AP79" i="11"/>
  <c r="AO79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CB78" i="11"/>
  <c r="CA78" i="11"/>
  <c r="BZ78" i="11"/>
  <c r="BY78" i="11"/>
  <c r="BX78" i="11"/>
  <c r="BW78" i="11"/>
  <c r="BV78" i="11"/>
  <c r="BU78" i="11"/>
  <c r="BT78" i="11"/>
  <c r="BS78" i="11"/>
  <c r="BR78" i="11"/>
  <c r="BQ78" i="11"/>
  <c r="BP78" i="11"/>
  <c r="BO78" i="11"/>
  <c r="BN78" i="11"/>
  <c r="BM78" i="11"/>
  <c r="BL78" i="1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CB77" i="11"/>
  <c r="CA77" i="11"/>
  <c r="BZ77" i="11"/>
  <c r="BY77" i="11"/>
  <c r="BX77" i="11"/>
  <c r="BW77" i="11"/>
  <c r="BV77" i="11"/>
  <c r="BU77" i="11"/>
  <c r="BT77" i="11"/>
  <c r="BS77" i="11"/>
  <c r="BR77" i="11"/>
  <c r="BQ77" i="11"/>
  <c r="BP77" i="11"/>
  <c r="BO77" i="11"/>
  <c r="BN77" i="11"/>
  <c r="BM77" i="11"/>
  <c r="BL77" i="11"/>
  <c r="BK77" i="11"/>
  <c r="BJ77" i="11"/>
  <c r="BI77" i="11"/>
  <c r="BH77" i="11"/>
  <c r="BG77" i="11"/>
  <c r="BF77" i="11"/>
  <c r="BE77" i="11"/>
  <c r="BD77" i="11"/>
  <c r="BC77" i="11"/>
  <c r="BB77" i="11"/>
  <c r="BA77" i="11"/>
  <c r="AZ77" i="11"/>
  <c r="AY77" i="11"/>
  <c r="AX77" i="11"/>
  <c r="AW77" i="11"/>
  <c r="AV77" i="11"/>
  <c r="AU77" i="11"/>
  <c r="AT77" i="11"/>
  <c r="AS77" i="11"/>
  <c r="AR77" i="11"/>
  <c r="AQ77" i="11"/>
  <c r="AP77" i="11"/>
  <c r="AO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CB76" i="11"/>
  <c r="CA76" i="11"/>
  <c r="BZ76" i="11"/>
  <c r="BY76" i="11"/>
  <c r="BX76" i="11"/>
  <c r="BW76" i="11"/>
  <c r="BV76" i="11"/>
  <c r="BU76" i="11"/>
  <c r="BT76" i="11"/>
  <c r="BS76" i="11"/>
  <c r="BR76" i="11"/>
  <c r="BQ76" i="11"/>
  <c r="BP76" i="11"/>
  <c r="BO76" i="11"/>
  <c r="BN76" i="11"/>
  <c r="BM76" i="11"/>
  <c r="BL76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CB75" i="11"/>
  <c r="CA75" i="11"/>
  <c r="BZ75" i="11"/>
  <c r="BY75" i="11"/>
  <c r="BX75" i="11"/>
  <c r="BW75" i="11"/>
  <c r="BV75" i="11"/>
  <c r="BU75" i="11"/>
  <c r="BT75" i="11"/>
  <c r="BS75" i="11"/>
  <c r="BR75" i="11"/>
  <c r="BQ75" i="11"/>
  <c r="BP75" i="11"/>
  <c r="BO75" i="11"/>
  <c r="BN75" i="11"/>
  <c r="BM75" i="11"/>
  <c r="BL75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CB74" i="11"/>
  <c r="CA74" i="11"/>
  <c r="BZ74" i="11"/>
  <c r="BY74" i="11"/>
  <c r="BX74" i="11"/>
  <c r="BW74" i="11"/>
  <c r="BV74" i="11"/>
  <c r="BU74" i="11"/>
  <c r="BT74" i="11"/>
  <c r="BS74" i="11"/>
  <c r="BR74" i="11"/>
  <c r="BQ74" i="11"/>
  <c r="BP74" i="11"/>
  <c r="BO74" i="11"/>
  <c r="BN74" i="11"/>
  <c r="BM74" i="11"/>
  <c r="BL74" i="11"/>
  <c r="BK74" i="11"/>
  <c r="BJ74" i="11"/>
  <c r="BI74" i="11"/>
  <c r="BH74" i="11"/>
  <c r="BG74" i="11"/>
  <c r="BF74" i="11"/>
  <c r="BE74" i="11"/>
  <c r="BD74" i="11"/>
  <c r="BC74" i="11"/>
  <c r="BB74" i="11"/>
  <c r="BA74" i="11"/>
  <c r="AZ74" i="11"/>
  <c r="AY74" i="11"/>
  <c r="AX74" i="11"/>
  <c r="AW74" i="11"/>
  <c r="AV74" i="11"/>
  <c r="AU74" i="11"/>
  <c r="AT74" i="11"/>
  <c r="AS74" i="11"/>
  <c r="AR74" i="11"/>
  <c r="AQ74" i="11"/>
  <c r="AP74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CB73" i="11"/>
  <c r="CA73" i="11"/>
  <c r="BZ73" i="11"/>
  <c r="BY73" i="11"/>
  <c r="BX73" i="11"/>
  <c r="BW73" i="11"/>
  <c r="BV73" i="11"/>
  <c r="BU73" i="11"/>
  <c r="BT73" i="11"/>
  <c r="BS73" i="11"/>
  <c r="BR73" i="11"/>
  <c r="BQ73" i="11"/>
  <c r="BP73" i="11"/>
  <c r="BO73" i="11"/>
  <c r="BN73" i="11"/>
  <c r="BM73" i="11"/>
  <c r="BL73" i="11"/>
  <c r="BK73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CB72" i="11"/>
  <c r="CA72" i="11"/>
  <c r="BZ72" i="11"/>
  <c r="BY72" i="11"/>
  <c r="BX72" i="11"/>
  <c r="BW72" i="11"/>
  <c r="BV72" i="11"/>
  <c r="BU72" i="11"/>
  <c r="BT72" i="11"/>
  <c r="BS72" i="11"/>
  <c r="BR72" i="11"/>
  <c r="BQ72" i="11"/>
  <c r="BP72" i="11"/>
  <c r="BO72" i="11"/>
  <c r="BN72" i="11"/>
  <c r="BM72" i="11"/>
  <c r="BL72" i="11"/>
  <c r="BK72" i="11"/>
  <c r="BJ72" i="11"/>
  <c r="BI72" i="11"/>
  <c r="BH72" i="11"/>
  <c r="BG72" i="11"/>
  <c r="BF72" i="11"/>
  <c r="BE72" i="11"/>
  <c r="BD72" i="11"/>
  <c r="BC72" i="11"/>
  <c r="BB72" i="11"/>
  <c r="BA72" i="11"/>
  <c r="AZ72" i="11"/>
  <c r="AY72" i="11"/>
  <c r="AX72" i="11"/>
  <c r="AW72" i="11"/>
  <c r="AV72" i="11"/>
  <c r="AU72" i="11"/>
  <c r="AT72" i="11"/>
  <c r="AS72" i="11"/>
  <c r="AR72" i="11"/>
  <c r="AQ72" i="11"/>
  <c r="AP72" i="11"/>
  <c r="AO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CB71" i="11"/>
  <c r="CA71" i="11"/>
  <c r="BZ71" i="11"/>
  <c r="BY71" i="11"/>
  <c r="BX71" i="11"/>
  <c r="BW71" i="11"/>
  <c r="BV71" i="11"/>
  <c r="BU71" i="11"/>
  <c r="BT71" i="11"/>
  <c r="BS71" i="11"/>
  <c r="BR71" i="11"/>
  <c r="BQ71" i="11"/>
  <c r="BP71" i="11"/>
  <c r="BO71" i="11"/>
  <c r="BN71" i="11"/>
  <c r="BM71" i="11"/>
  <c r="BL71" i="11"/>
  <c r="BK71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AO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CB70" i="11"/>
  <c r="CA70" i="11"/>
  <c r="BZ70" i="11"/>
  <c r="BY70" i="11"/>
  <c r="BX70" i="11"/>
  <c r="BW70" i="11"/>
  <c r="BV70" i="11"/>
  <c r="BU70" i="11"/>
  <c r="BT70" i="11"/>
  <c r="BS70" i="11"/>
  <c r="BR70" i="11"/>
  <c r="BQ70" i="11"/>
  <c r="BP70" i="11"/>
  <c r="BO70" i="11"/>
  <c r="BN70" i="11"/>
  <c r="BM70" i="11"/>
  <c r="BL70" i="11"/>
  <c r="BK70" i="11"/>
  <c r="BJ70" i="11"/>
  <c r="BI70" i="11"/>
  <c r="BH70" i="11"/>
  <c r="BG70" i="11"/>
  <c r="BF70" i="11"/>
  <c r="BE70" i="11"/>
  <c r="BD70" i="11"/>
  <c r="BC70" i="11"/>
  <c r="BB70" i="11"/>
  <c r="BA70" i="11"/>
  <c r="AZ70" i="11"/>
  <c r="AY70" i="11"/>
  <c r="AX70" i="11"/>
  <c r="AW70" i="11"/>
  <c r="AV70" i="11"/>
  <c r="AU70" i="11"/>
  <c r="AT70" i="11"/>
  <c r="AS70" i="11"/>
  <c r="AR70" i="11"/>
  <c r="AQ70" i="11"/>
  <c r="AP70" i="11"/>
  <c r="AO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CB69" i="11"/>
  <c r="CA69" i="11"/>
  <c r="BZ69" i="11"/>
  <c r="BY69" i="11"/>
  <c r="BX69" i="11"/>
  <c r="BW69" i="11"/>
  <c r="BV69" i="11"/>
  <c r="BU69" i="11"/>
  <c r="BT69" i="11"/>
  <c r="BS69" i="11"/>
  <c r="BR69" i="11"/>
  <c r="BQ69" i="11"/>
  <c r="BP69" i="11"/>
  <c r="BO69" i="11"/>
  <c r="BN69" i="11"/>
  <c r="BM69" i="11"/>
  <c r="BL69" i="11"/>
  <c r="BK69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CB68" i="11"/>
  <c r="CA68" i="11"/>
  <c r="BZ68" i="11"/>
  <c r="BY68" i="11"/>
  <c r="BX68" i="11"/>
  <c r="BW68" i="11"/>
  <c r="BV68" i="11"/>
  <c r="BU68" i="11"/>
  <c r="BT68" i="11"/>
  <c r="BS68" i="11"/>
  <c r="BR68" i="11"/>
  <c r="BQ68" i="11"/>
  <c r="BP68" i="11"/>
  <c r="BO68" i="11"/>
  <c r="BN68" i="11"/>
  <c r="BM68" i="11"/>
  <c r="BL68" i="11"/>
  <c r="BK68" i="11"/>
  <c r="BJ68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CB67" i="11"/>
  <c r="CA67" i="11"/>
  <c r="BZ67" i="11"/>
  <c r="BY67" i="11"/>
  <c r="BX67" i="11"/>
  <c r="BW67" i="11"/>
  <c r="BV67" i="11"/>
  <c r="BU67" i="11"/>
  <c r="BT67" i="11"/>
  <c r="BS67" i="11"/>
  <c r="BR67" i="11"/>
  <c r="BQ67" i="11"/>
  <c r="BP67" i="11"/>
  <c r="BO67" i="11"/>
  <c r="BN67" i="11"/>
  <c r="BM67" i="11"/>
  <c r="BL67" i="11"/>
  <c r="BK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CB65" i="11"/>
  <c r="CA65" i="11"/>
  <c r="BZ65" i="11"/>
  <c r="BY65" i="11"/>
  <c r="BX65" i="11"/>
  <c r="BW65" i="11"/>
  <c r="BV65" i="11"/>
  <c r="BU65" i="11"/>
  <c r="BT65" i="11"/>
  <c r="BS65" i="11"/>
  <c r="BR65" i="11"/>
  <c r="BQ65" i="11"/>
  <c r="BP65" i="11"/>
  <c r="BO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CB64" i="11"/>
  <c r="CA64" i="11"/>
  <c r="BZ64" i="11"/>
  <c r="BY64" i="11"/>
  <c r="BX64" i="11"/>
  <c r="BW64" i="11"/>
  <c r="BV64" i="11"/>
  <c r="BU64" i="11"/>
  <c r="BT64" i="11"/>
  <c r="BS64" i="11"/>
  <c r="BR64" i="11"/>
  <c r="BQ64" i="11"/>
  <c r="BP64" i="11"/>
  <c r="BO64" i="11"/>
  <c r="BN64" i="11"/>
  <c r="BM64" i="11"/>
  <c r="BL64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CB63" i="11"/>
  <c r="CA63" i="11"/>
  <c r="BZ63" i="11"/>
  <c r="BY63" i="11"/>
  <c r="BX63" i="11"/>
  <c r="BW63" i="11"/>
  <c r="BV63" i="11"/>
  <c r="BU63" i="11"/>
  <c r="BT63" i="11"/>
  <c r="BS63" i="11"/>
  <c r="BR63" i="11"/>
  <c r="BQ63" i="11"/>
  <c r="BP63" i="11"/>
  <c r="BO63" i="11"/>
  <c r="BN63" i="11"/>
  <c r="BM63" i="11"/>
  <c r="BL63" i="11"/>
  <c r="BK63" i="11"/>
  <c r="BJ63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CB62" i="11"/>
  <c r="CA62" i="11"/>
  <c r="BZ62" i="11"/>
  <c r="BY62" i="11"/>
  <c r="BX62" i="11"/>
  <c r="BW62" i="11"/>
  <c r="BV62" i="11"/>
  <c r="BU62" i="11"/>
  <c r="BT62" i="11"/>
  <c r="BS62" i="11"/>
  <c r="BR62" i="11"/>
  <c r="BQ62" i="11"/>
  <c r="BP62" i="11"/>
  <c r="BO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CB61" i="11"/>
  <c r="CA61" i="11"/>
  <c r="BZ61" i="11"/>
  <c r="BY61" i="11"/>
  <c r="BX61" i="11"/>
  <c r="BW61" i="11"/>
  <c r="BV61" i="11"/>
  <c r="BU61" i="11"/>
  <c r="BT61" i="11"/>
  <c r="BS61" i="11"/>
  <c r="BR61" i="11"/>
  <c r="BQ61" i="11"/>
  <c r="BP61" i="11"/>
  <c r="BO61" i="11"/>
  <c r="BN61" i="11"/>
  <c r="BM61" i="11"/>
  <c r="BL61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CB60" i="11"/>
  <c r="CA60" i="11"/>
  <c r="BZ60" i="11"/>
  <c r="BY60" i="11"/>
  <c r="BX60" i="11"/>
  <c r="BW60" i="11"/>
  <c r="BV60" i="11"/>
  <c r="BU60" i="11"/>
  <c r="BT60" i="11"/>
  <c r="BS60" i="11"/>
  <c r="BR60" i="11"/>
  <c r="BQ60" i="11"/>
  <c r="BP60" i="11"/>
  <c r="BO60" i="11"/>
  <c r="BN60" i="11"/>
  <c r="BM60" i="11"/>
  <c r="BL60" i="11"/>
  <c r="BK60" i="11"/>
  <c r="BJ60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CB59" i="11"/>
  <c r="CA59" i="11"/>
  <c r="BZ59" i="11"/>
  <c r="BY59" i="11"/>
  <c r="BX59" i="11"/>
  <c r="BW59" i="11"/>
  <c r="BV59" i="11"/>
  <c r="BU59" i="11"/>
  <c r="BT59" i="11"/>
  <c r="BS59" i="11"/>
  <c r="BR59" i="11"/>
  <c r="BQ59" i="11"/>
  <c r="BP59" i="11"/>
  <c r="BO59" i="11"/>
  <c r="BN59" i="11"/>
  <c r="BM59" i="11"/>
  <c r="BL59" i="11"/>
  <c r="BK59" i="11"/>
  <c r="BJ59" i="11"/>
  <c r="BI59" i="11"/>
  <c r="CB58" i="11"/>
  <c r="CA58" i="11"/>
  <c r="BZ58" i="11"/>
  <c r="BY58" i="11"/>
  <c r="BX58" i="11"/>
  <c r="BW58" i="11"/>
  <c r="BV58" i="11"/>
  <c r="BU58" i="11"/>
  <c r="BT58" i="11"/>
  <c r="BS58" i="11"/>
  <c r="BR58" i="11"/>
  <c r="BQ58" i="11"/>
  <c r="BP58" i="11"/>
  <c r="BO58" i="11"/>
  <c r="BN58" i="11"/>
  <c r="BM58" i="11"/>
  <c r="BL58" i="11"/>
  <c r="BK58" i="11"/>
  <c r="BJ58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CB57" i="11"/>
  <c r="CA57" i="11"/>
  <c r="BZ57" i="11"/>
  <c r="BY57" i="11"/>
  <c r="BX57" i="11"/>
  <c r="BW57" i="11"/>
  <c r="BV57" i="11"/>
  <c r="BU57" i="11"/>
  <c r="BT57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CB56" i="11"/>
  <c r="CA56" i="11"/>
  <c r="BZ56" i="11"/>
  <c r="BY56" i="11"/>
  <c r="BX56" i="11"/>
  <c r="BW56" i="11"/>
  <c r="BV56" i="11"/>
  <c r="BU56" i="11"/>
  <c r="BT56" i="11"/>
  <c r="BS56" i="11"/>
  <c r="BR56" i="11"/>
  <c r="BQ56" i="11"/>
  <c r="BP56" i="11"/>
  <c r="BO56" i="11"/>
  <c r="BN56" i="11"/>
  <c r="BM56" i="11"/>
  <c r="BL56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CB55" i="11"/>
  <c r="CA55" i="11"/>
  <c r="BZ55" i="11"/>
  <c r="BY55" i="11"/>
  <c r="BX55" i="11"/>
  <c r="BW55" i="11"/>
  <c r="BV55" i="11"/>
  <c r="BU55" i="11"/>
  <c r="BT55" i="11"/>
  <c r="BS5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CB54" i="11"/>
  <c r="CA54" i="11"/>
  <c r="BZ54" i="11"/>
  <c r="BY54" i="11"/>
  <c r="BX54" i="11"/>
  <c r="BW54" i="11"/>
  <c r="BV54" i="11"/>
  <c r="BU54" i="11"/>
  <c r="BT54" i="11"/>
  <c r="BS54" i="11"/>
  <c r="BR54" i="11"/>
  <c r="BQ54" i="11"/>
  <c r="BP54" i="11"/>
  <c r="BO54" i="11"/>
  <c r="BN54" i="11"/>
  <c r="BM54" i="11"/>
  <c r="BL54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CB53" i="11"/>
  <c r="CA53" i="11"/>
  <c r="BZ53" i="11"/>
  <c r="BY53" i="11"/>
  <c r="BX53" i="11"/>
  <c r="BW53" i="11"/>
  <c r="BV53" i="11"/>
  <c r="BU53" i="11"/>
  <c r="BT53" i="11"/>
  <c r="BS53" i="11"/>
  <c r="BR53" i="11"/>
  <c r="BQ53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CB52" i="11"/>
  <c r="CA52" i="11"/>
  <c r="BZ52" i="11"/>
  <c r="BY52" i="11"/>
  <c r="BX52" i="11"/>
  <c r="BW52" i="11"/>
  <c r="BV52" i="11"/>
  <c r="BU52" i="11"/>
  <c r="BT52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CB51" i="11"/>
  <c r="CA51" i="11"/>
  <c r="BZ51" i="11"/>
  <c r="BY51" i="11"/>
  <c r="BX51" i="11"/>
  <c r="BW51" i="11"/>
  <c r="BV51" i="11"/>
  <c r="BU51" i="11"/>
  <c r="BT51" i="11"/>
  <c r="BS51" i="11"/>
  <c r="BR51" i="11"/>
  <c r="BQ51" i="11"/>
  <c r="BP51" i="11"/>
  <c r="BO51" i="11"/>
  <c r="BN51" i="11"/>
  <c r="BM51" i="11"/>
  <c r="BL51" i="11"/>
  <c r="BK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CB50" i="11"/>
  <c r="CA50" i="11"/>
  <c r="BZ50" i="11"/>
  <c r="BY50" i="11"/>
  <c r="BX50" i="11"/>
  <c r="BW50" i="11"/>
  <c r="BV50" i="11"/>
  <c r="BU50" i="11"/>
  <c r="BT50" i="11"/>
  <c r="BS50" i="11"/>
  <c r="BR50" i="11"/>
  <c r="BQ50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CB49" i="11"/>
  <c r="CA49" i="11"/>
  <c r="BZ49" i="11"/>
  <c r="BY49" i="11"/>
  <c r="BX49" i="11"/>
  <c r="BW49" i="11"/>
  <c r="BV49" i="11"/>
  <c r="BU49" i="11"/>
  <c r="BT49" i="11"/>
  <c r="BS49" i="11"/>
  <c r="BR49" i="11"/>
  <c r="BQ49" i="1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CB48" i="11"/>
  <c r="CA48" i="11"/>
  <c r="BZ48" i="11"/>
  <c r="BY48" i="11"/>
  <c r="BX48" i="11"/>
  <c r="BW48" i="11"/>
  <c r="BV48" i="11"/>
  <c r="BU48" i="11"/>
  <c r="BT48" i="11"/>
  <c r="BS48" i="11"/>
  <c r="BR48" i="11"/>
  <c r="BQ48" i="11"/>
  <c r="BP48" i="11"/>
  <c r="BO48" i="11"/>
  <c r="BN48" i="11"/>
  <c r="BM48" i="11"/>
  <c r="BL48" i="11"/>
  <c r="BK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DL6" i="11"/>
  <c r="DK6" i="11"/>
  <c r="DJ6" i="11"/>
  <c r="DI6" i="11"/>
  <c r="DH6" i="11"/>
  <c r="DG6" i="11"/>
  <c r="DE6" i="11"/>
  <c r="DD6" i="11"/>
  <c r="DC6" i="11"/>
  <c r="DB6" i="11"/>
  <c r="DA6" i="11"/>
  <c r="CZ6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K107" i="8"/>
  <c r="Q107" i="8"/>
  <c r="W107" i="8"/>
  <c r="AC107" i="8"/>
  <c r="AI107" i="8"/>
  <c r="AO107" i="8"/>
  <c r="AU107" i="8"/>
  <c r="BA107" i="8"/>
  <c r="BG107" i="8"/>
  <c r="BM107" i="8"/>
  <c r="BS107" i="8"/>
  <c r="BY107" i="8"/>
  <c r="E10" i="10"/>
  <c r="F10" i="10"/>
  <c r="G10" i="10"/>
  <c r="H10" i="10"/>
  <c r="I10" i="10"/>
  <c r="D10" i="10"/>
  <c r="E9" i="10"/>
  <c r="F9" i="10"/>
  <c r="G9" i="10"/>
  <c r="H9" i="10"/>
  <c r="I9" i="10"/>
  <c r="D9" i="10"/>
  <c r="F8" i="10"/>
  <c r="G8" i="10" s="1"/>
  <c r="H8" i="10" s="1"/>
  <c r="I8" i="10" s="1"/>
  <c r="E8" i="10"/>
  <c r="AT147" i="13" l="1"/>
  <c r="BF127" i="13"/>
  <c r="AR126" i="13"/>
  <c r="AC147" i="13"/>
  <c r="AC127" i="13"/>
  <c r="AC126" i="13"/>
  <c r="AA127" i="13"/>
  <c r="AA126" i="13"/>
  <c r="AA147" i="13"/>
  <c r="AG127" i="13"/>
  <c r="AG126" i="13"/>
  <c r="AG147" i="13"/>
  <c r="AF127" i="13"/>
  <c r="AF126" i="13"/>
  <c r="AF147" i="13"/>
  <c r="U127" i="13"/>
  <c r="U147" i="13"/>
  <c r="U126" i="13"/>
  <c r="V126" i="13"/>
  <c r="AL127" i="13"/>
  <c r="S127" i="13"/>
  <c r="S147" i="13"/>
  <c r="S126" i="13"/>
  <c r="R147" i="13"/>
  <c r="R126" i="13"/>
  <c r="R127" i="13"/>
  <c r="BV147" i="13"/>
  <c r="BV126" i="13"/>
  <c r="BV127" i="13"/>
  <c r="X127" i="13"/>
  <c r="X126" i="13"/>
  <c r="X147" i="13"/>
  <c r="W127" i="13"/>
  <c r="W126" i="13"/>
  <c r="W147" i="13"/>
  <c r="AB126" i="13"/>
  <c r="L126" i="13"/>
  <c r="L127" i="13"/>
  <c r="L147" i="13"/>
  <c r="V127" i="13"/>
  <c r="BZ126" i="13"/>
  <c r="BM147" i="13"/>
  <c r="BM126" i="13"/>
  <c r="BM127" i="13"/>
  <c r="M127" i="13"/>
  <c r="M147" i="13"/>
  <c r="M126" i="13"/>
  <c r="CA127" i="13"/>
  <c r="CA147" i="13"/>
  <c r="CA126" i="13"/>
  <c r="BG127" i="13"/>
  <c r="BG126" i="13"/>
  <c r="BG147" i="13"/>
  <c r="V147" i="13"/>
  <c r="BZ127" i="13"/>
  <c r="BB127" i="13"/>
  <c r="BW127" i="13"/>
  <c r="BW147" i="13"/>
  <c r="BW126" i="13"/>
  <c r="BX147" i="13"/>
  <c r="BC147" i="13"/>
  <c r="BC126" i="13"/>
  <c r="BC127" i="13"/>
  <c r="BQ127" i="13"/>
  <c r="BQ147" i="13"/>
  <c r="BQ126" i="13"/>
  <c r="AW127" i="13"/>
  <c r="AW126" i="13"/>
  <c r="AW147" i="13"/>
  <c r="BP126" i="13"/>
  <c r="BP127" i="13"/>
  <c r="BP147" i="13"/>
  <c r="BB126" i="13"/>
  <c r="I321" i="13"/>
  <c r="CE106" i="13"/>
  <c r="BY127" i="13"/>
  <c r="BY147" i="13"/>
  <c r="BY126" i="13"/>
  <c r="BN147" i="13"/>
  <c r="BN126" i="13"/>
  <c r="BN127" i="13"/>
  <c r="AS147" i="13"/>
  <c r="AS127" i="13"/>
  <c r="AS126" i="13"/>
  <c r="BS127" i="13"/>
  <c r="BS147" i="13"/>
  <c r="BS126" i="13"/>
  <c r="BH126" i="13"/>
  <c r="BH127" i="13"/>
  <c r="BH147" i="13"/>
  <c r="T147" i="13"/>
  <c r="T126" i="13"/>
  <c r="T127" i="13"/>
  <c r="AM147" i="13"/>
  <c r="AM127" i="13"/>
  <c r="AM126" i="13"/>
  <c r="AN147" i="13"/>
  <c r="AD126" i="13"/>
  <c r="L154" i="13"/>
  <c r="BO127" i="13"/>
  <c r="BO126" i="13"/>
  <c r="BO147" i="13"/>
  <c r="BD147" i="13"/>
  <c r="BD126" i="13"/>
  <c r="BD127" i="13"/>
  <c r="AJ126" i="13"/>
  <c r="AJ147" i="13"/>
  <c r="AJ127" i="13"/>
  <c r="BT147" i="13"/>
  <c r="BT126" i="13"/>
  <c r="BT127" i="13"/>
  <c r="BI127" i="13"/>
  <c r="BI147" i="13"/>
  <c r="BI126" i="13"/>
  <c r="AX127" i="13"/>
  <c r="AX126" i="13"/>
  <c r="AX147" i="13"/>
  <c r="K127" i="13"/>
  <c r="K147" i="13"/>
  <c r="K126" i="13"/>
  <c r="AD127" i="13"/>
  <c r="BJ126" i="13"/>
  <c r="BE147" i="13"/>
  <c r="BE126" i="13"/>
  <c r="BE127" i="13"/>
  <c r="BF147" i="13"/>
  <c r="AU147" i="13"/>
  <c r="AU127" i="13"/>
  <c r="AU126" i="13"/>
  <c r="Z126" i="13"/>
  <c r="Z147" i="13"/>
  <c r="Z127" i="13"/>
  <c r="BA127" i="13"/>
  <c r="BA147" i="13"/>
  <c r="BA126" i="13"/>
  <c r="AY127" i="13"/>
  <c r="AY126" i="13"/>
  <c r="AY147" i="13"/>
  <c r="AO127" i="13"/>
  <c r="AO126" i="13"/>
  <c r="AO147" i="13"/>
  <c r="I249" i="13"/>
  <c r="N126" i="13"/>
  <c r="AD147" i="13"/>
  <c r="BJ127" i="13"/>
  <c r="J249" i="13"/>
  <c r="I307" i="13" s="1"/>
  <c r="AV147" i="13"/>
  <c r="AV127" i="13"/>
  <c r="AV126" i="13"/>
  <c r="AK147" i="13"/>
  <c r="AK127" i="13"/>
  <c r="AK126" i="13"/>
  <c r="BX126" i="13"/>
  <c r="Q147" i="13"/>
  <c r="Q126" i="13"/>
  <c r="Q127" i="13"/>
  <c r="BU126" i="13"/>
  <c r="AQ127" i="13"/>
  <c r="AQ126" i="13"/>
  <c r="AQ147" i="13"/>
  <c r="AP127" i="13"/>
  <c r="AP126" i="13"/>
  <c r="AP147" i="13"/>
  <c r="AE127" i="13"/>
  <c r="AE126" i="13"/>
  <c r="AE147" i="13"/>
  <c r="N127" i="13"/>
  <c r="AL126" i="13"/>
  <c r="BJ147" i="13"/>
  <c r="G8" i="12"/>
  <c r="F5" i="9"/>
  <c r="H307" i="13" l="1"/>
  <c r="I313" i="13"/>
  <c r="I316" i="13"/>
  <c r="I317" i="13"/>
  <c r="I312" i="13"/>
  <c r="K249" i="13"/>
  <c r="J307" i="13" s="1"/>
  <c r="M154" i="13"/>
  <c r="J321" i="13"/>
  <c r="CF106" i="13"/>
  <c r="H8" i="12"/>
  <c r="E8" i="7"/>
  <c r="E9" i="7" s="1"/>
  <c r="F8" i="7"/>
  <c r="F9" i="7" s="1"/>
  <c r="D9" i="7"/>
  <c r="D10" i="7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Z6" i="4"/>
  <c r="DA6" i="4"/>
  <c r="DB6" i="4"/>
  <c r="DC6" i="4"/>
  <c r="DD6" i="4"/>
  <c r="DE6" i="4"/>
  <c r="DG6" i="4"/>
  <c r="DH6" i="4"/>
  <c r="DI6" i="4"/>
  <c r="DJ6" i="4"/>
  <c r="DK6" i="4"/>
  <c r="DL6" i="4"/>
  <c r="H7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C107" i="4" s="1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S107" i="4" s="1"/>
  <c r="BT15" i="4"/>
  <c r="BU15" i="4"/>
  <c r="BV15" i="4"/>
  <c r="BW15" i="4"/>
  <c r="BX15" i="4"/>
  <c r="BY15" i="4"/>
  <c r="BZ15" i="4"/>
  <c r="CA15" i="4"/>
  <c r="CB15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H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H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H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H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H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H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H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H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H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D105" i="4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H7" i="8"/>
  <c r="H8" i="8"/>
  <c r="I8" i="8"/>
  <c r="J8" i="8"/>
  <c r="L8" i="8"/>
  <c r="M8" i="8"/>
  <c r="N8" i="8"/>
  <c r="O8" i="8"/>
  <c r="P8" i="8"/>
  <c r="R8" i="8"/>
  <c r="S8" i="8"/>
  <c r="T8" i="8"/>
  <c r="U8" i="8"/>
  <c r="V8" i="8"/>
  <c r="X8" i="8"/>
  <c r="Y8" i="8"/>
  <c r="Z8" i="8"/>
  <c r="AA8" i="8"/>
  <c r="AB8" i="8"/>
  <c r="AD8" i="8"/>
  <c r="AE8" i="8"/>
  <c r="AF8" i="8"/>
  <c r="AG8" i="8"/>
  <c r="AH8" i="8"/>
  <c r="AJ8" i="8"/>
  <c r="AK8" i="8"/>
  <c r="AL8" i="8"/>
  <c r="AM8" i="8"/>
  <c r="AN8" i="8"/>
  <c r="AP8" i="8"/>
  <c r="AQ8" i="8"/>
  <c r="AR8" i="8"/>
  <c r="AS8" i="8"/>
  <c r="AT8" i="8"/>
  <c r="AV8" i="8"/>
  <c r="AW8" i="8"/>
  <c r="AX8" i="8"/>
  <c r="AY8" i="8"/>
  <c r="AZ8" i="8"/>
  <c r="BB8" i="8"/>
  <c r="BC8" i="8"/>
  <c r="BD8" i="8"/>
  <c r="BE8" i="8"/>
  <c r="BF8" i="8"/>
  <c r="BH8" i="8"/>
  <c r="BI8" i="8"/>
  <c r="BJ8" i="8"/>
  <c r="BK8" i="8"/>
  <c r="BL8" i="8"/>
  <c r="BN8" i="8"/>
  <c r="BO8" i="8"/>
  <c r="BP8" i="8"/>
  <c r="BQ8" i="8"/>
  <c r="BR8" i="8"/>
  <c r="BT8" i="8"/>
  <c r="BU8" i="8"/>
  <c r="BV8" i="8"/>
  <c r="BW8" i="8"/>
  <c r="BX8" i="8"/>
  <c r="BZ8" i="8"/>
  <c r="CA8" i="8"/>
  <c r="CB8" i="8"/>
  <c r="H9" i="8"/>
  <c r="I9" i="8"/>
  <c r="J9" i="8"/>
  <c r="L9" i="8"/>
  <c r="M9" i="8"/>
  <c r="N9" i="8"/>
  <c r="O9" i="8"/>
  <c r="P9" i="8"/>
  <c r="R9" i="8"/>
  <c r="S9" i="8"/>
  <c r="T9" i="8"/>
  <c r="U9" i="8"/>
  <c r="V9" i="8"/>
  <c r="X9" i="8"/>
  <c r="Y9" i="8"/>
  <c r="Z9" i="8"/>
  <c r="AA9" i="8"/>
  <c r="AB9" i="8"/>
  <c r="AD9" i="8"/>
  <c r="AE9" i="8"/>
  <c r="AF9" i="8"/>
  <c r="AG9" i="8"/>
  <c r="AH9" i="8"/>
  <c r="AJ9" i="8"/>
  <c r="AK9" i="8"/>
  <c r="AL9" i="8"/>
  <c r="AM9" i="8"/>
  <c r="AN9" i="8"/>
  <c r="AP9" i="8"/>
  <c r="AQ9" i="8"/>
  <c r="AR9" i="8"/>
  <c r="AS9" i="8"/>
  <c r="AT9" i="8"/>
  <c r="AV9" i="8"/>
  <c r="AW9" i="8"/>
  <c r="AX9" i="8"/>
  <c r="AY9" i="8"/>
  <c r="AZ9" i="8"/>
  <c r="BB9" i="8"/>
  <c r="BC9" i="8"/>
  <c r="BD9" i="8"/>
  <c r="BE9" i="8"/>
  <c r="BF9" i="8"/>
  <c r="BH9" i="8"/>
  <c r="BI9" i="8"/>
  <c r="BJ9" i="8"/>
  <c r="BK9" i="8"/>
  <c r="BL9" i="8"/>
  <c r="BN9" i="8"/>
  <c r="BO9" i="8"/>
  <c r="BP9" i="8"/>
  <c r="BQ9" i="8"/>
  <c r="BR9" i="8"/>
  <c r="BT9" i="8"/>
  <c r="BU9" i="8"/>
  <c r="BV9" i="8"/>
  <c r="BW9" i="8"/>
  <c r="BX9" i="8"/>
  <c r="BZ9" i="8"/>
  <c r="CA9" i="8"/>
  <c r="CB9" i="8"/>
  <c r="H10" i="8"/>
  <c r="I10" i="8"/>
  <c r="J10" i="8"/>
  <c r="L10" i="8"/>
  <c r="M10" i="8"/>
  <c r="N10" i="8"/>
  <c r="O10" i="8"/>
  <c r="P10" i="8"/>
  <c r="R10" i="8"/>
  <c r="S10" i="8"/>
  <c r="T10" i="8"/>
  <c r="U10" i="8"/>
  <c r="V10" i="8"/>
  <c r="X10" i="8"/>
  <c r="Y10" i="8"/>
  <c r="Z10" i="8"/>
  <c r="AA10" i="8"/>
  <c r="AB10" i="8"/>
  <c r="AD10" i="8"/>
  <c r="AE10" i="8"/>
  <c r="AF10" i="8"/>
  <c r="AG10" i="8"/>
  <c r="AH10" i="8"/>
  <c r="AJ10" i="8"/>
  <c r="AK10" i="8"/>
  <c r="AL10" i="8"/>
  <c r="AM10" i="8"/>
  <c r="AN10" i="8"/>
  <c r="AP10" i="8"/>
  <c r="AQ10" i="8"/>
  <c r="AR10" i="8"/>
  <c r="AS10" i="8"/>
  <c r="AT10" i="8"/>
  <c r="AV10" i="8"/>
  <c r="AW10" i="8"/>
  <c r="AX10" i="8"/>
  <c r="AY10" i="8"/>
  <c r="AZ10" i="8"/>
  <c r="BB10" i="8"/>
  <c r="BC10" i="8"/>
  <c r="BD10" i="8"/>
  <c r="BE10" i="8"/>
  <c r="BF10" i="8"/>
  <c r="BH10" i="8"/>
  <c r="BI10" i="8"/>
  <c r="BJ10" i="8"/>
  <c r="BK10" i="8"/>
  <c r="BL10" i="8"/>
  <c r="BN10" i="8"/>
  <c r="BO10" i="8"/>
  <c r="BP10" i="8"/>
  <c r="BQ10" i="8"/>
  <c r="BR10" i="8"/>
  <c r="BT10" i="8"/>
  <c r="BU10" i="8"/>
  <c r="BV10" i="8"/>
  <c r="BW10" i="8"/>
  <c r="BX10" i="8"/>
  <c r="BZ10" i="8"/>
  <c r="CA10" i="8"/>
  <c r="CB10" i="8"/>
  <c r="H11" i="8"/>
  <c r="I11" i="8"/>
  <c r="J11" i="8"/>
  <c r="L11" i="8"/>
  <c r="M11" i="8"/>
  <c r="N11" i="8"/>
  <c r="O11" i="8"/>
  <c r="P11" i="8"/>
  <c r="R11" i="8"/>
  <c r="S11" i="8"/>
  <c r="T11" i="8"/>
  <c r="U11" i="8"/>
  <c r="V11" i="8"/>
  <c r="X11" i="8"/>
  <c r="Y11" i="8"/>
  <c r="Z11" i="8"/>
  <c r="AA11" i="8"/>
  <c r="AB11" i="8"/>
  <c r="AD11" i="8"/>
  <c r="AE11" i="8"/>
  <c r="AF11" i="8"/>
  <c r="AG11" i="8"/>
  <c r="AH11" i="8"/>
  <c r="AJ11" i="8"/>
  <c r="AK11" i="8"/>
  <c r="AL11" i="8"/>
  <c r="AM11" i="8"/>
  <c r="AN11" i="8"/>
  <c r="AP11" i="8"/>
  <c r="AQ11" i="8"/>
  <c r="AR11" i="8"/>
  <c r="AS11" i="8"/>
  <c r="AT11" i="8"/>
  <c r="AV11" i="8"/>
  <c r="AW11" i="8"/>
  <c r="AX11" i="8"/>
  <c r="AY11" i="8"/>
  <c r="AZ11" i="8"/>
  <c r="BB11" i="8"/>
  <c r="BC11" i="8"/>
  <c r="BD11" i="8"/>
  <c r="BE11" i="8"/>
  <c r="BF11" i="8"/>
  <c r="BH11" i="8"/>
  <c r="BI11" i="8"/>
  <c r="BJ11" i="8"/>
  <c r="BK11" i="8"/>
  <c r="BL11" i="8"/>
  <c r="BN11" i="8"/>
  <c r="BO11" i="8"/>
  <c r="BP11" i="8"/>
  <c r="BQ11" i="8"/>
  <c r="BR11" i="8"/>
  <c r="BT11" i="8"/>
  <c r="BU11" i="8"/>
  <c r="BV11" i="8"/>
  <c r="BW11" i="8"/>
  <c r="BX11" i="8"/>
  <c r="BZ11" i="8"/>
  <c r="CA11" i="8"/>
  <c r="CB11" i="8"/>
  <c r="H12" i="8"/>
  <c r="I12" i="8"/>
  <c r="J12" i="8"/>
  <c r="L12" i="8"/>
  <c r="M12" i="8"/>
  <c r="N12" i="8"/>
  <c r="O12" i="8"/>
  <c r="P12" i="8"/>
  <c r="R12" i="8"/>
  <c r="S12" i="8"/>
  <c r="T12" i="8"/>
  <c r="U12" i="8"/>
  <c r="V12" i="8"/>
  <c r="X12" i="8"/>
  <c r="Y12" i="8"/>
  <c r="Z12" i="8"/>
  <c r="AA12" i="8"/>
  <c r="AB12" i="8"/>
  <c r="AD12" i="8"/>
  <c r="AE12" i="8"/>
  <c r="AF12" i="8"/>
  <c r="AG12" i="8"/>
  <c r="AH12" i="8"/>
  <c r="AJ12" i="8"/>
  <c r="AK12" i="8"/>
  <c r="AL12" i="8"/>
  <c r="AM12" i="8"/>
  <c r="AN12" i="8"/>
  <c r="AP12" i="8"/>
  <c r="AQ12" i="8"/>
  <c r="AR12" i="8"/>
  <c r="AS12" i="8"/>
  <c r="AT12" i="8"/>
  <c r="AV12" i="8"/>
  <c r="AW12" i="8"/>
  <c r="AX12" i="8"/>
  <c r="AY12" i="8"/>
  <c r="AZ12" i="8"/>
  <c r="BB12" i="8"/>
  <c r="BC12" i="8"/>
  <c r="BD12" i="8"/>
  <c r="BE12" i="8"/>
  <c r="BF12" i="8"/>
  <c r="BH12" i="8"/>
  <c r="BI12" i="8"/>
  <c r="BJ12" i="8"/>
  <c r="BK12" i="8"/>
  <c r="BL12" i="8"/>
  <c r="BN12" i="8"/>
  <c r="BO12" i="8"/>
  <c r="BP12" i="8"/>
  <c r="BQ12" i="8"/>
  <c r="BR12" i="8"/>
  <c r="BT12" i="8"/>
  <c r="BU12" i="8"/>
  <c r="BV12" i="8"/>
  <c r="BW12" i="8"/>
  <c r="BX12" i="8"/>
  <c r="BZ12" i="8"/>
  <c r="CA12" i="8"/>
  <c r="CB12" i="8"/>
  <c r="H13" i="8"/>
  <c r="I13" i="8"/>
  <c r="J13" i="8"/>
  <c r="L13" i="8"/>
  <c r="M13" i="8"/>
  <c r="N13" i="8"/>
  <c r="O13" i="8"/>
  <c r="P13" i="8"/>
  <c r="R13" i="8"/>
  <c r="S13" i="8"/>
  <c r="T13" i="8"/>
  <c r="U13" i="8"/>
  <c r="V13" i="8"/>
  <c r="X13" i="8"/>
  <c r="Y13" i="8"/>
  <c r="Z13" i="8"/>
  <c r="AA13" i="8"/>
  <c r="AB13" i="8"/>
  <c r="AD13" i="8"/>
  <c r="AE13" i="8"/>
  <c r="AF13" i="8"/>
  <c r="AG13" i="8"/>
  <c r="AH13" i="8"/>
  <c r="AJ13" i="8"/>
  <c r="AK13" i="8"/>
  <c r="AL13" i="8"/>
  <c r="AM13" i="8"/>
  <c r="AN13" i="8"/>
  <c r="AP13" i="8"/>
  <c r="AQ13" i="8"/>
  <c r="AR13" i="8"/>
  <c r="AS13" i="8"/>
  <c r="AT13" i="8"/>
  <c r="AV13" i="8"/>
  <c r="AW13" i="8"/>
  <c r="AX13" i="8"/>
  <c r="AY13" i="8"/>
  <c r="AZ13" i="8"/>
  <c r="BB13" i="8"/>
  <c r="BC13" i="8"/>
  <c r="BD13" i="8"/>
  <c r="BE13" i="8"/>
  <c r="BF13" i="8"/>
  <c r="BH13" i="8"/>
  <c r="BI13" i="8"/>
  <c r="BJ13" i="8"/>
  <c r="BK13" i="8"/>
  <c r="BL13" i="8"/>
  <c r="BN13" i="8"/>
  <c r="BO13" i="8"/>
  <c r="BP13" i="8"/>
  <c r="BQ13" i="8"/>
  <c r="BR13" i="8"/>
  <c r="BT13" i="8"/>
  <c r="BU13" i="8"/>
  <c r="BV13" i="8"/>
  <c r="BW13" i="8"/>
  <c r="BX13" i="8"/>
  <c r="BZ13" i="8"/>
  <c r="CA13" i="8"/>
  <c r="CB13" i="8"/>
  <c r="H14" i="8"/>
  <c r="I14" i="8"/>
  <c r="J14" i="8"/>
  <c r="L14" i="8"/>
  <c r="M14" i="8"/>
  <c r="N14" i="8"/>
  <c r="O14" i="8"/>
  <c r="P14" i="8"/>
  <c r="R14" i="8"/>
  <c r="S14" i="8"/>
  <c r="T14" i="8"/>
  <c r="U14" i="8"/>
  <c r="V14" i="8"/>
  <c r="X14" i="8"/>
  <c r="Y14" i="8"/>
  <c r="Z14" i="8"/>
  <c r="AA14" i="8"/>
  <c r="AB14" i="8"/>
  <c r="AD14" i="8"/>
  <c r="AE14" i="8"/>
  <c r="AF14" i="8"/>
  <c r="AG14" i="8"/>
  <c r="AH14" i="8"/>
  <c r="AJ14" i="8"/>
  <c r="AK14" i="8"/>
  <c r="AL14" i="8"/>
  <c r="AM14" i="8"/>
  <c r="AN14" i="8"/>
  <c r="AP14" i="8"/>
  <c r="AQ14" i="8"/>
  <c r="AR14" i="8"/>
  <c r="AS14" i="8"/>
  <c r="AT14" i="8"/>
  <c r="AV14" i="8"/>
  <c r="AW14" i="8"/>
  <c r="AX14" i="8"/>
  <c r="AY14" i="8"/>
  <c r="AZ14" i="8"/>
  <c r="BB14" i="8"/>
  <c r="BC14" i="8"/>
  <c r="BD14" i="8"/>
  <c r="BE14" i="8"/>
  <c r="BF14" i="8"/>
  <c r="BH14" i="8"/>
  <c r="BI14" i="8"/>
  <c r="BJ14" i="8"/>
  <c r="BK14" i="8"/>
  <c r="BL14" i="8"/>
  <c r="BN14" i="8"/>
  <c r="BO14" i="8"/>
  <c r="BP14" i="8"/>
  <c r="BQ14" i="8"/>
  <c r="BR14" i="8"/>
  <c r="BT14" i="8"/>
  <c r="BU14" i="8"/>
  <c r="BV14" i="8"/>
  <c r="BW14" i="8"/>
  <c r="BX14" i="8"/>
  <c r="BZ14" i="8"/>
  <c r="CA14" i="8"/>
  <c r="CB14" i="8"/>
  <c r="H15" i="8"/>
  <c r="I15" i="8"/>
  <c r="J15" i="8"/>
  <c r="L15" i="8"/>
  <c r="M15" i="8"/>
  <c r="N15" i="8"/>
  <c r="O15" i="8"/>
  <c r="P15" i="8"/>
  <c r="R15" i="8"/>
  <c r="S15" i="8"/>
  <c r="T15" i="8"/>
  <c r="U15" i="8"/>
  <c r="V15" i="8"/>
  <c r="X15" i="8"/>
  <c r="Y15" i="8"/>
  <c r="Z15" i="8"/>
  <c r="AA15" i="8"/>
  <c r="AB15" i="8"/>
  <c r="AD15" i="8"/>
  <c r="AE15" i="8"/>
  <c r="AF15" i="8"/>
  <c r="AG15" i="8"/>
  <c r="AH15" i="8"/>
  <c r="AJ15" i="8"/>
  <c r="AK15" i="8"/>
  <c r="AL15" i="8"/>
  <c r="AM15" i="8"/>
  <c r="AN15" i="8"/>
  <c r="AP15" i="8"/>
  <c r="AQ15" i="8"/>
  <c r="AR15" i="8"/>
  <c r="AS15" i="8"/>
  <c r="AT15" i="8"/>
  <c r="AV15" i="8"/>
  <c r="AW15" i="8"/>
  <c r="AX15" i="8"/>
  <c r="AY15" i="8"/>
  <c r="AZ15" i="8"/>
  <c r="BB15" i="8"/>
  <c r="BC15" i="8"/>
  <c r="BD15" i="8"/>
  <c r="BE15" i="8"/>
  <c r="BF15" i="8"/>
  <c r="BH15" i="8"/>
  <c r="BI15" i="8"/>
  <c r="BJ15" i="8"/>
  <c r="BK15" i="8"/>
  <c r="BL15" i="8"/>
  <c r="BN15" i="8"/>
  <c r="BO15" i="8"/>
  <c r="BP15" i="8"/>
  <c r="BQ15" i="8"/>
  <c r="BR15" i="8"/>
  <c r="BT15" i="8"/>
  <c r="BU15" i="8"/>
  <c r="BV15" i="8"/>
  <c r="BW15" i="8"/>
  <c r="BX15" i="8"/>
  <c r="BZ15" i="8"/>
  <c r="CA15" i="8"/>
  <c r="CB15" i="8"/>
  <c r="H16" i="8"/>
  <c r="I16" i="8"/>
  <c r="J16" i="8"/>
  <c r="L16" i="8"/>
  <c r="M16" i="8"/>
  <c r="N16" i="8"/>
  <c r="O16" i="8"/>
  <c r="P16" i="8"/>
  <c r="R16" i="8"/>
  <c r="S16" i="8"/>
  <c r="T16" i="8"/>
  <c r="U16" i="8"/>
  <c r="V16" i="8"/>
  <c r="X16" i="8"/>
  <c r="Y16" i="8"/>
  <c r="Z16" i="8"/>
  <c r="AA16" i="8"/>
  <c r="AB16" i="8"/>
  <c r="AD16" i="8"/>
  <c r="AE16" i="8"/>
  <c r="AF16" i="8"/>
  <c r="AG16" i="8"/>
  <c r="AH16" i="8"/>
  <c r="AJ16" i="8"/>
  <c r="AK16" i="8"/>
  <c r="AL16" i="8"/>
  <c r="AM16" i="8"/>
  <c r="AN16" i="8"/>
  <c r="AP16" i="8"/>
  <c r="AQ16" i="8"/>
  <c r="AR16" i="8"/>
  <c r="AS16" i="8"/>
  <c r="AT16" i="8"/>
  <c r="AV16" i="8"/>
  <c r="AW16" i="8"/>
  <c r="AX16" i="8"/>
  <c r="AY16" i="8"/>
  <c r="AZ16" i="8"/>
  <c r="BB16" i="8"/>
  <c r="BC16" i="8"/>
  <c r="BD16" i="8"/>
  <c r="BE16" i="8"/>
  <c r="BF16" i="8"/>
  <c r="BH16" i="8"/>
  <c r="BI16" i="8"/>
  <c r="BJ16" i="8"/>
  <c r="BK16" i="8"/>
  <c r="BL16" i="8"/>
  <c r="BN16" i="8"/>
  <c r="BO16" i="8"/>
  <c r="BP16" i="8"/>
  <c r="BQ16" i="8"/>
  <c r="BR16" i="8"/>
  <c r="BT16" i="8"/>
  <c r="BU16" i="8"/>
  <c r="BV16" i="8"/>
  <c r="BW16" i="8"/>
  <c r="BX16" i="8"/>
  <c r="BZ16" i="8"/>
  <c r="CA16" i="8"/>
  <c r="CB16" i="8"/>
  <c r="H17" i="8"/>
  <c r="I17" i="8"/>
  <c r="J17" i="8"/>
  <c r="L17" i="8"/>
  <c r="M17" i="8"/>
  <c r="N17" i="8"/>
  <c r="O17" i="8"/>
  <c r="P17" i="8"/>
  <c r="R17" i="8"/>
  <c r="S17" i="8"/>
  <c r="T17" i="8"/>
  <c r="U17" i="8"/>
  <c r="V17" i="8"/>
  <c r="X17" i="8"/>
  <c r="Y17" i="8"/>
  <c r="Z17" i="8"/>
  <c r="AA17" i="8"/>
  <c r="AB17" i="8"/>
  <c r="AD17" i="8"/>
  <c r="AE17" i="8"/>
  <c r="AF17" i="8"/>
  <c r="AG17" i="8"/>
  <c r="AH17" i="8"/>
  <c r="AJ17" i="8"/>
  <c r="AK17" i="8"/>
  <c r="AL17" i="8"/>
  <c r="AM17" i="8"/>
  <c r="AN17" i="8"/>
  <c r="AP17" i="8"/>
  <c r="AQ17" i="8"/>
  <c r="AR17" i="8"/>
  <c r="AS17" i="8"/>
  <c r="AT17" i="8"/>
  <c r="AV17" i="8"/>
  <c r="AW17" i="8"/>
  <c r="AX17" i="8"/>
  <c r="AY17" i="8"/>
  <c r="AZ17" i="8"/>
  <c r="BB17" i="8"/>
  <c r="BC17" i="8"/>
  <c r="BD17" i="8"/>
  <c r="BE17" i="8"/>
  <c r="BF17" i="8"/>
  <c r="BH17" i="8"/>
  <c r="BI17" i="8"/>
  <c r="BJ17" i="8"/>
  <c r="BK17" i="8"/>
  <c r="BL17" i="8"/>
  <c r="BN17" i="8"/>
  <c r="BO17" i="8"/>
  <c r="BP17" i="8"/>
  <c r="BQ17" i="8"/>
  <c r="BR17" i="8"/>
  <c r="BT17" i="8"/>
  <c r="BU17" i="8"/>
  <c r="BV17" i="8"/>
  <c r="BW17" i="8"/>
  <c r="BX17" i="8"/>
  <c r="BZ17" i="8"/>
  <c r="CA17" i="8"/>
  <c r="CB17" i="8"/>
  <c r="H18" i="8"/>
  <c r="I18" i="8"/>
  <c r="J18" i="8"/>
  <c r="L18" i="8"/>
  <c r="M18" i="8"/>
  <c r="N18" i="8"/>
  <c r="O18" i="8"/>
  <c r="P18" i="8"/>
  <c r="R18" i="8"/>
  <c r="S18" i="8"/>
  <c r="T18" i="8"/>
  <c r="U18" i="8"/>
  <c r="V18" i="8"/>
  <c r="X18" i="8"/>
  <c r="Y18" i="8"/>
  <c r="Z18" i="8"/>
  <c r="AA18" i="8"/>
  <c r="AB18" i="8"/>
  <c r="AD18" i="8"/>
  <c r="AE18" i="8"/>
  <c r="AF18" i="8"/>
  <c r="AG18" i="8"/>
  <c r="AH18" i="8"/>
  <c r="AJ18" i="8"/>
  <c r="AK18" i="8"/>
  <c r="AL18" i="8"/>
  <c r="AM18" i="8"/>
  <c r="AN18" i="8"/>
  <c r="AP18" i="8"/>
  <c r="AQ18" i="8"/>
  <c r="AR18" i="8"/>
  <c r="AS18" i="8"/>
  <c r="AT18" i="8"/>
  <c r="AV18" i="8"/>
  <c r="AW18" i="8"/>
  <c r="AX18" i="8"/>
  <c r="AY18" i="8"/>
  <c r="AZ18" i="8"/>
  <c r="BB18" i="8"/>
  <c r="BC18" i="8"/>
  <c r="BD18" i="8"/>
  <c r="BE18" i="8"/>
  <c r="BF18" i="8"/>
  <c r="BH18" i="8"/>
  <c r="BI18" i="8"/>
  <c r="BJ18" i="8"/>
  <c r="BK18" i="8"/>
  <c r="BL18" i="8"/>
  <c r="BN18" i="8"/>
  <c r="BO18" i="8"/>
  <c r="BP18" i="8"/>
  <c r="BQ18" i="8"/>
  <c r="BR18" i="8"/>
  <c r="BT18" i="8"/>
  <c r="BU18" i="8"/>
  <c r="BV18" i="8"/>
  <c r="BW18" i="8"/>
  <c r="BX18" i="8"/>
  <c r="BZ18" i="8"/>
  <c r="CA18" i="8"/>
  <c r="CB18" i="8"/>
  <c r="H19" i="8"/>
  <c r="I19" i="8"/>
  <c r="J19" i="8"/>
  <c r="L19" i="8"/>
  <c r="M19" i="8"/>
  <c r="N19" i="8"/>
  <c r="O19" i="8"/>
  <c r="P19" i="8"/>
  <c r="R19" i="8"/>
  <c r="S19" i="8"/>
  <c r="T19" i="8"/>
  <c r="U19" i="8"/>
  <c r="V19" i="8"/>
  <c r="X19" i="8"/>
  <c r="Y19" i="8"/>
  <c r="Z19" i="8"/>
  <c r="AA19" i="8"/>
  <c r="AB19" i="8"/>
  <c r="AD19" i="8"/>
  <c r="AE19" i="8"/>
  <c r="AF19" i="8"/>
  <c r="AG19" i="8"/>
  <c r="AH19" i="8"/>
  <c r="AJ19" i="8"/>
  <c r="AK19" i="8"/>
  <c r="AL19" i="8"/>
  <c r="AM19" i="8"/>
  <c r="AN19" i="8"/>
  <c r="AP19" i="8"/>
  <c r="AQ19" i="8"/>
  <c r="AR19" i="8"/>
  <c r="AS19" i="8"/>
  <c r="AT19" i="8"/>
  <c r="AV19" i="8"/>
  <c r="AW19" i="8"/>
  <c r="AX19" i="8"/>
  <c r="AY19" i="8"/>
  <c r="AZ19" i="8"/>
  <c r="BB19" i="8"/>
  <c r="BC19" i="8"/>
  <c r="BD19" i="8"/>
  <c r="BE19" i="8"/>
  <c r="BF19" i="8"/>
  <c r="BH19" i="8"/>
  <c r="BI19" i="8"/>
  <c r="BJ19" i="8"/>
  <c r="BK19" i="8"/>
  <c r="BL19" i="8"/>
  <c r="BN19" i="8"/>
  <c r="BO19" i="8"/>
  <c r="BP19" i="8"/>
  <c r="BQ19" i="8"/>
  <c r="BR19" i="8"/>
  <c r="BT19" i="8"/>
  <c r="BU19" i="8"/>
  <c r="BV19" i="8"/>
  <c r="BW19" i="8"/>
  <c r="BX19" i="8"/>
  <c r="BZ19" i="8"/>
  <c r="CA19" i="8"/>
  <c r="CB19" i="8"/>
  <c r="H20" i="8"/>
  <c r="I20" i="8"/>
  <c r="J20" i="8"/>
  <c r="L20" i="8"/>
  <c r="M20" i="8"/>
  <c r="N20" i="8"/>
  <c r="O20" i="8"/>
  <c r="P20" i="8"/>
  <c r="R20" i="8"/>
  <c r="S20" i="8"/>
  <c r="T20" i="8"/>
  <c r="U20" i="8"/>
  <c r="V20" i="8"/>
  <c r="X20" i="8"/>
  <c r="Y20" i="8"/>
  <c r="Z20" i="8"/>
  <c r="AA20" i="8"/>
  <c r="AB20" i="8"/>
  <c r="AD20" i="8"/>
  <c r="AE20" i="8"/>
  <c r="AF20" i="8"/>
  <c r="AG20" i="8"/>
  <c r="AH20" i="8"/>
  <c r="AJ20" i="8"/>
  <c r="AK20" i="8"/>
  <c r="AL20" i="8"/>
  <c r="AM20" i="8"/>
  <c r="AN20" i="8"/>
  <c r="AP20" i="8"/>
  <c r="AQ20" i="8"/>
  <c r="AR20" i="8"/>
  <c r="AS20" i="8"/>
  <c r="AT20" i="8"/>
  <c r="AV20" i="8"/>
  <c r="AW20" i="8"/>
  <c r="AX20" i="8"/>
  <c r="AY20" i="8"/>
  <c r="AZ20" i="8"/>
  <c r="BB20" i="8"/>
  <c r="BC20" i="8"/>
  <c r="BD20" i="8"/>
  <c r="BE20" i="8"/>
  <c r="BF20" i="8"/>
  <c r="BH20" i="8"/>
  <c r="BI20" i="8"/>
  <c r="BJ20" i="8"/>
  <c r="BK20" i="8"/>
  <c r="BL20" i="8"/>
  <c r="BN20" i="8"/>
  <c r="BO20" i="8"/>
  <c r="BP20" i="8"/>
  <c r="BQ20" i="8"/>
  <c r="BR20" i="8"/>
  <c r="BT20" i="8"/>
  <c r="BU20" i="8"/>
  <c r="BV20" i="8"/>
  <c r="BW20" i="8"/>
  <c r="BX20" i="8"/>
  <c r="BZ20" i="8"/>
  <c r="CA20" i="8"/>
  <c r="CB20" i="8"/>
  <c r="H21" i="8"/>
  <c r="I21" i="8"/>
  <c r="J21" i="8"/>
  <c r="L21" i="8"/>
  <c r="M21" i="8"/>
  <c r="N21" i="8"/>
  <c r="O21" i="8"/>
  <c r="P21" i="8"/>
  <c r="R21" i="8"/>
  <c r="S21" i="8"/>
  <c r="T21" i="8"/>
  <c r="U21" i="8"/>
  <c r="V21" i="8"/>
  <c r="X21" i="8"/>
  <c r="Y21" i="8"/>
  <c r="Z21" i="8"/>
  <c r="AA21" i="8"/>
  <c r="AB21" i="8"/>
  <c r="AD21" i="8"/>
  <c r="AE21" i="8"/>
  <c r="AF21" i="8"/>
  <c r="AG21" i="8"/>
  <c r="AH21" i="8"/>
  <c r="AJ21" i="8"/>
  <c r="AK21" i="8"/>
  <c r="AL21" i="8"/>
  <c r="AM21" i="8"/>
  <c r="AN21" i="8"/>
  <c r="AP21" i="8"/>
  <c r="AQ21" i="8"/>
  <c r="AR21" i="8"/>
  <c r="AS21" i="8"/>
  <c r="AT21" i="8"/>
  <c r="AV21" i="8"/>
  <c r="AW21" i="8"/>
  <c r="AX21" i="8"/>
  <c r="AY21" i="8"/>
  <c r="AZ21" i="8"/>
  <c r="BB21" i="8"/>
  <c r="BC21" i="8"/>
  <c r="BD21" i="8"/>
  <c r="BE21" i="8"/>
  <c r="BF21" i="8"/>
  <c r="BH21" i="8"/>
  <c r="BI21" i="8"/>
  <c r="BJ21" i="8"/>
  <c r="BK21" i="8"/>
  <c r="BL21" i="8"/>
  <c r="BN21" i="8"/>
  <c r="BO21" i="8"/>
  <c r="BP21" i="8"/>
  <c r="BQ21" i="8"/>
  <c r="BR21" i="8"/>
  <c r="BT21" i="8"/>
  <c r="BU21" i="8"/>
  <c r="BV21" i="8"/>
  <c r="BW21" i="8"/>
  <c r="BX21" i="8"/>
  <c r="BZ21" i="8"/>
  <c r="CA21" i="8"/>
  <c r="CB21" i="8"/>
  <c r="H22" i="8"/>
  <c r="I22" i="8"/>
  <c r="J22" i="8"/>
  <c r="L22" i="8"/>
  <c r="M22" i="8"/>
  <c r="N22" i="8"/>
  <c r="O22" i="8"/>
  <c r="P22" i="8"/>
  <c r="R22" i="8"/>
  <c r="S22" i="8"/>
  <c r="T22" i="8"/>
  <c r="U22" i="8"/>
  <c r="V22" i="8"/>
  <c r="X22" i="8"/>
  <c r="Y22" i="8"/>
  <c r="Z22" i="8"/>
  <c r="AA22" i="8"/>
  <c r="AB22" i="8"/>
  <c r="AD22" i="8"/>
  <c r="AE22" i="8"/>
  <c r="AF22" i="8"/>
  <c r="AG22" i="8"/>
  <c r="AH22" i="8"/>
  <c r="AJ22" i="8"/>
  <c r="AK22" i="8"/>
  <c r="AL22" i="8"/>
  <c r="AM22" i="8"/>
  <c r="AN22" i="8"/>
  <c r="AP22" i="8"/>
  <c r="AQ22" i="8"/>
  <c r="AR22" i="8"/>
  <c r="AS22" i="8"/>
  <c r="AT22" i="8"/>
  <c r="AV22" i="8"/>
  <c r="AW22" i="8"/>
  <c r="AX22" i="8"/>
  <c r="AY22" i="8"/>
  <c r="AZ22" i="8"/>
  <c r="BB22" i="8"/>
  <c r="BC22" i="8"/>
  <c r="BD22" i="8"/>
  <c r="BE22" i="8"/>
  <c r="BF22" i="8"/>
  <c r="BH22" i="8"/>
  <c r="BI22" i="8"/>
  <c r="BJ22" i="8"/>
  <c r="BK22" i="8"/>
  <c r="BL22" i="8"/>
  <c r="BN22" i="8"/>
  <c r="BO22" i="8"/>
  <c r="BP22" i="8"/>
  <c r="BQ22" i="8"/>
  <c r="BR22" i="8"/>
  <c r="BT22" i="8"/>
  <c r="BU22" i="8"/>
  <c r="BV22" i="8"/>
  <c r="BW22" i="8"/>
  <c r="BX22" i="8"/>
  <c r="BZ22" i="8"/>
  <c r="CA22" i="8"/>
  <c r="CB22" i="8"/>
  <c r="H23" i="8"/>
  <c r="I23" i="8"/>
  <c r="J23" i="8"/>
  <c r="L23" i="8"/>
  <c r="M23" i="8"/>
  <c r="N23" i="8"/>
  <c r="O23" i="8"/>
  <c r="P23" i="8"/>
  <c r="R23" i="8"/>
  <c r="S23" i="8"/>
  <c r="T23" i="8"/>
  <c r="U23" i="8"/>
  <c r="V23" i="8"/>
  <c r="X23" i="8"/>
  <c r="Y23" i="8"/>
  <c r="Z23" i="8"/>
  <c r="AA23" i="8"/>
  <c r="AB23" i="8"/>
  <c r="AD23" i="8"/>
  <c r="AE23" i="8"/>
  <c r="AF23" i="8"/>
  <c r="AG23" i="8"/>
  <c r="AH23" i="8"/>
  <c r="AJ23" i="8"/>
  <c r="AK23" i="8"/>
  <c r="AL23" i="8"/>
  <c r="AM23" i="8"/>
  <c r="AN23" i="8"/>
  <c r="AP23" i="8"/>
  <c r="AQ23" i="8"/>
  <c r="AR23" i="8"/>
  <c r="AS23" i="8"/>
  <c r="AT23" i="8"/>
  <c r="AV23" i="8"/>
  <c r="AW23" i="8"/>
  <c r="AX23" i="8"/>
  <c r="AY23" i="8"/>
  <c r="AZ23" i="8"/>
  <c r="BB23" i="8"/>
  <c r="BC23" i="8"/>
  <c r="BD23" i="8"/>
  <c r="BE23" i="8"/>
  <c r="BF23" i="8"/>
  <c r="BH23" i="8"/>
  <c r="BI23" i="8"/>
  <c r="BJ23" i="8"/>
  <c r="BK23" i="8"/>
  <c r="BL23" i="8"/>
  <c r="BN23" i="8"/>
  <c r="BO23" i="8"/>
  <c r="BP23" i="8"/>
  <c r="BQ23" i="8"/>
  <c r="BR23" i="8"/>
  <c r="BT23" i="8"/>
  <c r="BU23" i="8"/>
  <c r="BV23" i="8"/>
  <c r="BW23" i="8"/>
  <c r="BX23" i="8"/>
  <c r="BZ23" i="8"/>
  <c r="CA23" i="8"/>
  <c r="CB23" i="8"/>
  <c r="H24" i="8"/>
  <c r="I24" i="8"/>
  <c r="J24" i="8"/>
  <c r="L24" i="8"/>
  <c r="M24" i="8"/>
  <c r="N24" i="8"/>
  <c r="O24" i="8"/>
  <c r="P24" i="8"/>
  <c r="R24" i="8"/>
  <c r="S24" i="8"/>
  <c r="T24" i="8"/>
  <c r="U24" i="8"/>
  <c r="V24" i="8"/>
  <c r="X24" i="8"/>
  <c r="Y24" i="8"/>
  <c r="Z24" i="8"/>
  <c r="AA24" i="8"/>
  <c r="AB24" i="8"/>
  <c r="AD24" i="8"/>
  <c r="AE24" i="8"/>
  <c r="AF24" i="8"/>
  <c r="AG24" i="8"/>
  <c r="AH24" i="8"/>
  <c r="AJ24" i="8"/>
  <c r="AK24" i="8"/>
  <c r="AL24" i="8"/>
  <c r="AM24" i="8"/>
  <c r="AN24" i="8"/>
  <c r="AP24" i="8"/>
  <c r="AQ24" i="8"/>
  <c r="AR24" i="8"/>
  <c r="AS24" i="8"/>
  <c r="AT24" i="8"/>
  <c r="AV24" i="8"/>
  <c r="AW24" i="8"/>
  <c r="AX24" i="8"/>
  <c r="AY24" i="8"/>
  <c r="AZ24" i="8"/>
  <c r="BB24" i="8"/>
  <c r="BC24" i="8"/>
  <c r="BD24" i="8"/>
  <c r="BE24" i="8"/>
  <c r="BF24" i="8"/>
  <c r="BH24" i="8"/>
  <c r="BI24" i="8"/>
  <c r="BJ24" i="8"/>
  <c r="BK24" i="8"/>
  <c r="BL24" i="8"/>
  <c r="BN24" i="8"/>
  <c r="BO24" i="8"/>
  <c r="BP24" i="8"/>
  <c r="BQ24" i="8"/>
  <c r="BR24" i="8"/>
  <c r="BT24" i="8"/>
  <c r="BU24" i="8"/>
  <c r="BV24" i="8"/>
  <c r="BW24" i="8"/>
  <c r="BX24" i="8"/>
  <c r="BZ24" i="8"/>
  <c r="CA24" i="8"/>
  <c r="CB24" i="8"/>
  <c r="H25" i="8"/>
  <c r="I25" i="8"/>
  <c r="J25" i="8"/>
  <c r="L25" i="8"/>
  <c r="M25" i="8"/>
  <c r="N25" i="8"/>
  <c r="O25" i="8"/>
  <c r="P25" i="8"/>
  <c r="R25" i="8"/>
  <c r="S25" i="8"/>
  <c r="T25" i="8"/>
  <c r="U25" i="8"/>
  <c r="V25" i="8"/>
  <c r="X25" i="8"/>
  <c r="Y25" i="8"/>
  <c r="Z25" i="8"/>
  <c r="AA25" i="8"/>
  <c r="AB25" i="8"/>
  <c r="AD25" i="8"/>
  <c r="AE25" i="8"/>
  <c r="AF25" i="8"/>
  <c r="AG25" i="8"/>
  <c r="AH25" i="8"/>
  <c r="AJ25" i="8"/>
  <c r="AK25" i="8"/>
  <c r="AL25" i="8"/>
  <c r="AM25" i="8"/>
  <c r="AN25" i="8"/>
  <c r="AP25" i="8"/>
  <c r="AQ25" i="8"/>
  <c r="AR25" i="8"/>
  <c r="AS25" i="8"/>
  <c r="AT25" i="8"/>
  <c r="AV25" i="8"/>
  <c r="AW25" i="8"/>
  <c r="AX25" i="8"/>
  <c r="AY25" i="8"/>
  <c r="AZ25" i="8"/>
  <c r="BB25" i="8"/>
  <c r="BC25" i="8"/>
  <c r="BD25" i="8"/>
  <c r="BE25" i="8"/>
  <c r="BF25" i="8"/>
  <c r="BH25" i="8"/>
  <c r="BI25" i="8"/>
  <c r="BJ25" i="8"/>
  <c r="BK25" i="8"/>
  <c r="BL25" i="8"/>
  <c r="BN25" i="8"/>
  <c r="BO25" i="8"/>
  <c r="BP25" i="8"/>
  <c r="BQ25" i="8"/>
  <c r="BR25" i="8"/>
  <c r="BT25" i="8"/>
  <c r="BU25" i="8"/>
  <c r="BV25" i="8"/>
  <c r="BW25" i="8"/>
  <c r="BX25" i="8"/>
  <c r="BZ25" i="8"/>
  <c r="CA25" i="8"/>
  <c r="CB25" i="8"/>
  <c r="H26" i="8"/>
  <c r="I26" i="8"/>
  <c r="J26" i="8"/>
  <c r="L26" i="8"/>
  <c r="M26" i="8"/>
  <c r="N26" i="8"/>
  <c r="O26" i="8"/>
  <c r="P26" i="8"/>
  <c r="R26" i="8"/>
  <c r="S26" i="8"/>
  <c r="T26" i="8"/>
  <c r="U26" i="8"/>
  <c r="V26" i="8"/>
  <c r="X26" i="8"/>
  <c r="Y26" i="8"/>
  <c r="Z26" i="8"/>
  <c r="AA26" i="8"/>
  <c r="AB26" i="8"/>
  <c r="AD26" i="8"/>
  <c r="AE26" i="8"/>
  <c r="AF26" i="8"/>
  <c r="AG26" i="8"/>
  <c r="AH26" i="8"/>
  <c r="AJ26" i="8"/>
  <c r="AK26" i="8"/>
  <c r="AL26" i="8"/>
  <c r="AM26" i="8"/>
  <c r="AN26" i="8"/>
  <c r="AP26" i="8"/>
  <c r="AQ26" i="8"/>
  <c r="AR26" i="8"/>
  <c r="AS26" i="8"/>
  <c r="AT26" i="8"/>
  <c r="AV26" i="8"/>
  <c r="AW26" i="8"/>
  <c r="AX26" i="8"/>
  <c r="AY26" i="8"/>
  <c r="AZ26" i="8"/>
  <c r="BB26" i="8"/>
  <c r="BC26" i="8"/>
  <c r="BD26" i="8"/>
  <c r="BE26" i="8"/>
  <c r="BF26" i="8"/>
  <c r="BH26" i="8"/>
  <c r="BI26" i="8"/>
  <c r="BJ26" i="8"/>
  <c r="BK26" i="8"/>
  <c r="BL26" i="8"/>
  <c r="BN26" i="8"/>
  <c r="BO26" i="8"/>
  <c r="BP26" i="8"/>
  <c r="BQ26" i="8"/>
  <c r="BR26" i="8"/>
  <c r="BT26" i="8"/>
  <c r="BU26" i="8"/>
  <c r="BV26" i="8"/>
  <c r="BW26" i="8"/>
  <c r="BX26" i="8"/>
  <c r="BZ26" i="8"/>
  <c r="CA26" i="8"/>
  <c r="CB26" i="8"/>
  <c r="H27" i="8"/>
  <c r="I27" i="8"/>
  <c r="J27" i="8"/>
  <c r="L27" i="8"/>
  <c r="M27" i="8"/>
  <c r="N27" i="8"/>
  <c r="O27" i="8"/>
  <c r="P27" i="8"/>
  <c r="R27" i="8"/>
  <c r="S27" i="8"/>
  <c r="T27" i="8"/>
  <c r="U27" i="8"/>
  <c r="V27" i="8"/>
  <c r="X27" i="8"/>
  <c r="Y27" i="8"/>
  <c r="Z27" i="8"/>
  <c r="AA27" i="8"/>
  <c r="AB27" i="8"/>
  <c r="AD27" i="8"/>
  <c r="AE27" i="8"/>
  <c r="AF27" i="8"/>
  <c r="AG27" i="8"/>
  <c r="AH27" i="8"/>
  <c r="AJ27" i="8"/>
  <c r="AK27" i="8"/>
  <c r="AL27" i="8"/>
  <c r="AM27" i="8"/>
  <c r="AN27" i="8"/>
  <c r="AP27" i="8"/>
  <c r="AQ27" i="8"/>
  <c r="AR27" i="8"/>
  <c r="AS27" i="8"/>
  <c r="AT27" i="8"/>
  <c r="AV27" i="8"/>
  <c r="AW27" i="8"/>
  <c r="AX27" i="8"/>
  <c r="AY27" i="8"/>
  <c r="AZ27" i="8"/>
  <c r="BB27" i="8"/>
  <c r="BC27" i="8"/>
  <c r="BD27" i="8"/>
  <c r="BE27" i="8"/>
  <c r="BF27" i="8"/>
  <c r="BH27" i="8"/>
  <c r="BI27" i="8"/>
  <c r="BJ27" i="8"/>
  <c r="BK27" i="8"/>
  <c r="BL27" i="8"/>
  <c r="BN27" i="8"/>
  <c r="BO27" i="8"/>
  <c r="BP27" i="8"/>
  <c r="BQ27" i="8"/>
  <c r="BR27" i="8"/>
  <c r="BT27" i="8"/>
  <c r="BU27" i="8"/>
  <c r="BV27" i="8"/>
  <c r="BW27" i="8"/>
  <c r="BX27" i="8"/>
  <c r="BZ27" i="8"/>
  <c r="CA27" i="8"/>
  <c r="CB27" i="8"/>
  <c r="H28" i="8"/>
  <c r="I28" i="8"/>
  <c r="J28" i="8"/>
  <c r="L28" i="8"/>
  <c r="M28" i="8"/>
  <c r="N28" i="8"/>
  <c r="O28" i="8"/>
  <c r="P28" i="8"/>
  <c r="R28" i="8"/>
  <c r="S28" i="8"/>
  <c r="T28" i="8"/>
  <c r="U28" i="8"/>
  <c r="V28" i="8"/>
  <c r="X28" i="8"/>
  <c r="Y28" i="8"/>
  <c r="Z28" i="8"/>
  <c r="AA28" i="8"/>
  <c r="AB28" i="8"/>
  <c r="AD28" i="8"/>
  <c r="AE28" i="8"/>
  <c r="AF28" i="8"/>
  <c r="AG28" i="8"/>
  <c r="AH28" i="8"/>
  <c r="AJ28" i="8"/>
  <c r="AK28" i="8"/>
  <c r="AL28" i="8"/>
  <c r="AM28" i="8"/>
  <c r="AN28" i="8"/>
  <c r="AP28" i="8"/>
  <c r="AQ28" i="8"/>
  <c r="AR28" i="8"/>
  <c r="AS28" i="8"/>
  <c r="AT28" i="8"/>
  <c r="AV28" i="8"/>
  <c r="AW28" i="8"/>
  <c r="AX28" i="8"/>
  <c r="AY28" i="8"/>
  <c r="AZ28" i="8"/>
  <c r="BB28" i="8"/>
  <c r="BC28" i="8"/>
  <c r="BD28" i="8"/>
  <c r="BE28" i="8"/>
  <c r="BF28" i="8"/>
  <c r="BH28" i="8"/>
  <c r="BI28" i="8"/>
  <c r="BJ28" i="8"/>
  <c r="BK28" i="8"/>
  <c r="BL28" i="8"/>
  <c r="BN28" i="8"/>
  <c r="BO28" i="8"/>
  <c r="BP28" i="8"/>
  <c r="BQ28" i="8"/>
  <c r="BR28" i="8"/>
  <c r="BT28" i="8"/>
  <c r="BU28" i="8"/>
  <c r="BV28" i="8"/>
  <c r="BW28" i="8"/>
  <c r="BX28" i="8"/>
  <c r="BZ28" i="8"/>
  <c r="CA28" i="8"/>
  <c r="CB28" i="8"/>
  <c r="H29" i="8"/>
  <c r="I29" i="8"/>
  <c r="J29" i="8"/>
  <c r="L29" i="8"/>
  <c r="M29" i="8"/>
  <c r="N29" i="8"/>
  <c r="O29" i="8"/>
  <c r="P29" i="8"/>
  <c r="R29" i="8"/>
  <c r="S29" i="8"/>
  <c r="T29" i="8"/>
  <c r="U29" i="8"/>
  <c r="V29" i="8"/>
  <c r="X29" i="8"/>
  <c r="Y29" i="8"/>
  <c r="Z29" i="8"/>
  <c r="AA29" i="8"/>
  <c r="AB29" i="8"/>
  <c r="AD29" i="8"/>
  <c r="AE29" i="8"/>
  <c r="AF29" i="8"/>
  <c r="AG29" i="8"/>
  <c r="AH29" i="8"/>
  <c r="AJ29" i="8"/>
  <c r="AK29" i="8"/>
  <c r="AL29" i="8"/>
  <c r="AM29" i="8"/>
  <c r="AN29" i="8"/>
  <c r="AP29" i="8"/>
  <c r="AQ29" i="8"/>
  <c r="AR29" i="8"/>
  <c r="AS29" i="8"/>
  <c r="AT29" i="8"/>
  <c r="AV29" i="8"/>
  <c r="AW29" i="8"/>
  <c r="AX29" i="8"/>
  <c r="AY29" i="8"/>
  <c r="AZ29" i="8"/>
  <c r="BB29" i="8"/>
  <c r="BC29" i="8"/>
  <c r="BD29" i="8"/>
  <c r="BE29" i="8"/>
  <c r="BF29" i="8"/>
  <c r="BH29" i="8"/>
  <c r="BI29" i="8"/>
  <c r="BJ29" i="8"/>
  <c r="BK29" i="8"/>
  <c r="BL29" i="8"/>
  <c r="BN29" i="8"/>
  <c r="BO29" i="8"/>
  <c r="BP29" i="8"/>
  <c r="BQ29" i="8"/>
  <c r="BR29" i="8"/>
  <c r="BT29" i="8"/>
  <c r="BU29" i="8"/>
  <c r="BV29" i="8"/>
  <c r="BW29" i="8"/>
  <c r="BX29" i="8"/>
  <c r="BZ29" i="8"/>
  <c r="CA29" i="8"/>
  <c r="CB29" i="8"/>
  <c r="H30" i="8"/>
  <c r="I30" i="8"/>
  <c r="J30" i="8"/>
  <c r="L30" i="8"/>
  <c r="M30" i="8"/>
  <c r="N30" i="8"/>
  <c r="O30" i="8"/>
  <c r="P30" i="8"/>
  <c r="R30" i="8"/>
  <c r="S30" i="8"/>
  <c r="T30" i="8"/>
  <c r="U30" i="8"/>
  <c r="V30" i="8"/>
  <c r="X30" i="8"/>
  <c r="Y30" i="8"/>
  <c r="Z30" i="8"/>
  <c r="AA30" i="8"/>
  <c r="AB30" i="8"/>
  <c r="AD30" i="8"/>
  <c r="AE30" i="8"/>
  <c r="AF30" i="8"/>
  <c r="AG30" i="8"/>
  <c r="AH30" i="8"/>
  <c r="AJ30" i="8"/>
  <c r="AK30" i="8"/>
  <c r="AL30" i="8"/>
  <c r="AM30" i="8"/>
  <c r="AN30" i="8"/>
  <c r="AP30" i="8"/>
  <c r="AQ30" i="8"/>
  <c r="AR30" i="8"/>
  <c r="AS30" i="8"/>
  <c r="AT30" i="8"/>
  <c r="AV30" i="8"/>
  <c r="AW30" i="8"/>
  <c r="AX30" i="8"/>
  <c r="AY30" i="8"/>
  <c r="AZ30" i="8"/>
  <c r="BB30" i="8"/>
  <c r="BC30" i="8"/>
  <c r="BD30" i="8"/>
  <c r="BE30" i="8"/>
  <c r="BF30" i="8"/>
  <c r="BH30" i="8"/>
  <c r="BI30" i="8"/>
  <c r="BJ30" i="8"/>
  <c r="BK30" i="8"/>
  <c r="BL30" i="8"/>
  <c r="BN30" i="8"/>
  <c r="BO30" i="8"/>
  <c r="BP30" i="8"/>
  <c r="BQ30" i="8"/>
  <c r="BR30" i="8"/>
  <c r="BT30" i="8"/>
  <c r="BU30" i="8"/>
  <c r="BV30" i="8"/>
  <c r="BW30" i="8"/>
  <c r="BX30" i="8"/>
  <c r="BZ30" i="8"/>
  <c r="CA30" i="8"/>
  <c r="CB30" i="8"/>
  <c r="H31" i="8"/>
  <c r="I31" i="8"/>
  <c r="J31" i="8"/>
  <c r="L31" i="8"/>
  <c r="M31" i="8"/>
  <c r="N31" i="8"/>
  <c r="O31" i="8"/>
  <c r="P31" i="8"/>
  <c r="R31" i="8"/>
  <c r="S31" i="8"/>
  <c r="T31" i="8"/>
  <c r="U31" i="8"/>
  <c r="V31" i="8"/>
  <c r="X31" i="8"/>
  <c r="Y31" i="8"/>
  <c r="Z31" i="8"/>
  <c r="AA31" i="8"/>
  <c r="AB31" i="8"/>
  <c r="AD31" i="8"/>
  <c r="AE31" i="8"/>
  <c r="AF31" i="8"/>
  <c r="AG31" i="8"/>
  <c r="AH31" i="8"/>
  <c r="AJ31" i="8"/>
  <c r="AK31" i="8"/>
  <c r="AL31" i="8"/>
  <c r="AM31" i="8"/>
  <c r="AN31" i="8"/>
  <c r="AP31" i="8"/>
  <c r="AQ31" i="8"/>
  <c r="AR31" i="8"/>
  <c r="AS31" i="8"/>
  <c r="AT31" i="8"/>
  <c r="AV31" i="8"/>
  <c r="AW31" i="8"/>
  <c r="AX31" i="8"/>
  <c r="AY31" i="8"/>
  <c r="AZ31" i="8"/>
  <c r="BB31" i="8"/>
  <c r="BC31" i="8"/>
  <c r="BD31" i="8"/>
  <c r="BE31" i="8"/>
  <c r="BF31" i="8"/>
  <c r="BH31" i="8"/>
  <c r="BI31" i="8"/>
  <c r="BJ31" i="8"/>
  <c r="BK31" i="8"/>
  <c r="BL31" i="8"/>
  <c r="BN31" i="8"/>
  <c r="BO31" i="8"/>
  <c r="BP31" i="8"/>
  <c r="BQ31" i="8"/>
  <c r="BR31" i="8"/>
  <c r="BT31" i="8"/>
  <c r="BU31" i="8"/>
  <c r="BV31" i="8"/>
  <c r="BW31" i="8"/>
  <c r="BX31" i="8"/>
  <c r="BZ31" i="8"/>
  <c r="CA31" i="8"/>
  <c r="CB31" i="8"/>
  <c r="H32" i="8"/>
  <c r="I32" i="8"/>
  <c r="J32" i="8"/>
  <c r="L32" i="8"/>
  <c r="M32" i="8"/>
  <c r="N32" i="8"/>
  <c r="O32" i="8"/>
  <c r="P32" i="8"/>
  <c r="R32" i="8"/>
  <c r="S32" i="8"/>
  <c r="T32" i="8"/>
  <c r="U32" i="8"/>
  <c r="V32" i="8"/>
  <c r="X32" i="8"/>
  <c r="Y32" i="8"/>
  <c r="Z32" i="8"/>
  <c r="AA32" i="8"/>
  <c r="AB32" i="8"/>
  <c r="AD32" i="8"/>
  <c r="AE32" i="8"/>
  <c r="AF32" i="8"/>
  <c r="AG32" i="8"/>
  <c r="AH32" i="8"/>
  <c r="AJ32" i="8"/>
  <c r="AK32" i="8"/>
  <c r="AL32" i="8"/>
  <c r="AM32" i="8"/>
  <c r="AN32" i="8"/>
  <c r="AP32" i="8"/>
  <c r="AQ32" i="8"/>
  <c r="AR32" i="8"/>
  <c r="AS32" i="8"/>
  <c r="AT32" i="8"/>
  <c r="AV32" i="8"/>
  <c r="AW32" i="8"/>
  <c r="AX32" i="8"/>
  <c r="AY32" i="8"/>
  <c r="AZ32" i="8"/>
  <c r="BB32" i="8"/>
  <c r="BC32" i="8"/>
  <c r="BD32" i="8"/>
  <c r="BE32" i="8"/>
  <c r="BF32" i="8"/>
  <c r="BH32" i="8"/>
  <c r="BI32" i="8"/>
  <c r="BJ32" i="8"/>
  <c r="BK32" i="8"/>
  <c r="BL32" i="8"/>
  <c r="BN32" i="8"/>
  <c r="BO32" i="8"/>
  <c r="BP32" i="8"/>
  <c r="BQ32" i="8"/>
  <c r="BR32" i="8"/>
  <c r="BT32" i="8"/>
  <c r="BU32" i="8"/>
  <c r="BV32" i="8"/>
  <c r="BW32" i="8"/>
  <c r="BX32" i="8"/>
  <c r="BZ32" i="8"/>
  <c r="CA32" i="8"/>
  <c r="CB32" i="8"/>
  <c r="H33" i="8"/>
  <c r="I33" i="8"/>
  <c r="J33" i="8"/>
  <c r="L33" i="8"/>
  <c r="M33" i="8"/>
  <c r="N33" i="8"/>
  <c r="O33" i="8"/>
  <c r="P33" i="8"/>
  <c r="R33" i="8"/>
  <c r="S33" i="8"/>
  <c r="T33" i="8"/>
  <c r="U33" i="8"/>
  <c r="V33" i="8"/>
  <c r="X33" i="8"/>
  <c r="Y33" i="8"/>
  <c r="Z33" i="8"/>
  <c r="AA33" i="8"/>
  <c r="AB33" i="8"/>
  <c r="AD33" i="8"/>
  <c r="AE33" i="8"/>
  <c r="AF33" i="8"/>
  <c r="AG33" i="8"/>
  <c r="AH33" i="8"/>
  <c r="AJ33" i="8"/>
  <c r="AK33" i="8"/>
  <c r="AL33" i="8"/>
  <c r="AM33" i="8"/>
  <c r="AN33" i="8"/>
  <c r="AP33" i="8"/>
  <c r="AQ33" i="8"/>
  <c r="AR33" i="8"/>
  <c r="AS33" i="8"/>
  <c r="AT33" i="8"/>
  <c r="AV33" i="8"/>
  <c r="AW33" i="8"/>
  <c r="AX33" i="8"/>
  <c r="AY33" i="8"/>
  <c r="AZ33" i="8"/>
  <c r="BB33" i="8"/>
  <c r="BC33" i="8"/>
  <c r="BD33" i="8"/>
  <c r="BE33" i="8"/>
  <c r="BF33" i="8"/>
  <c r="BH33" i="8"/>
  <c r="BI33" i="8"/>
  <c r="BJ33" i="8"/>
  <c r="BK33" i="8"/>
  <c r="BL33" i="8"/>
  <c r="BN33" i="8"/>
  <c r="BO33" i="8"/>
  <c r="BP33" i="8"/>
  <c r="BQ33" i="8"/>
  <c r="BR33" i="8"/>
  <c r="BT33" i="8"/>
  <c r="BU33" i="8"/>
  <c r="BV33" i="8"/>
  <c r="BW33" i="8"/>
  <c r="BX33" i="8"/>
  <c r="BZ33" i="8"/>
  <c r="CA33" i="8"/>
  <c r="CB33" i="8"/>
  <c r="H34" i="8"/>
  <c r="I34" i="8"/>
  <c r="J34" i="8"/>
  <c r="L34" i="8"/>
  <c r="M34" i="8"/>
  <c r="N34" i="8"/>
  <c r="O34" i="8"/>
  <c r="P34" i="8"/>
  <c r="R34" i="8"/>
  <c r="S34" i="8"/>
  <c r="T34" i="8"/>
  <c r="U34" i="8"/>
  <c r="V34" i="8"/>
  <c r="X34" i="8"/>
  <c r="Y34" i="8"/>
  <c r="Z34" i="8"/>
  <c r="AA34" i="8"/>
  <c r="AB34" i="8"/>
  <c r="AD34" i="8"/>
  <c r="AE34" i="8"/>
  <c r="AF34" i="8"/>
  <c r="AG34" i="8"/>
  <c r="AH34" i="8"/>
  <c r="AJ34" i="8"/>
  <c r="AK34" i="8"/>
  <c r="AL34" i="8"/>
  <c r="AM34" i="8"/>
  <c r="AN34" i="8"/>
  <c r="AP34" i="8"/>
  <c r="AQ34" i="8"/>
  <c r="AR34" i="8"/>
  <c r="AS34" i="8"/>
  <c r="AT34" i="8"/>
  <c r="AV34" i="8"/>
  <c r="AW34" i="8"/>
  <c r="AX34" i="8"/>
  <c r="AY34" i="8"/>
  <c r="AZ34" i="8"/>
  <c r="BB34" i="8"/>
  <c r="BC34" i="8"/>
  <c r="BD34" i="8"/>
  <c r="BE34" i="8"/>
  <c r="BF34" i="8"/>
  <c r="BH34" i="8"/>
  <c r="BI34" i="8"/>
  <c r="BJ34" i="8"/>
  <c r="BK34" i="8"/>
  <c r="BL34" i="8"/>
  <c r="BN34" i="8"/>
  <c r="BO34" i="8"/>
  <c r="BP34" i="8"/>
  <c r="BQ34" i="8"/>
  <c r="BR34" i="8"/>
  <c r="BT34" i="8"/>
  <c r="BU34" i="8"/>
  <c r="BV34" i="8"/>
  <c r="BW34" i="8"/>
  <c r="BX34" i="8"/>
  <c r="BZ34" i="8"/>
  <c r="CA34" i="8"/>
  <c r="CB34" i="8"/>
  <c r="H35" i="8"/>
  <c r="I35" i="8"/>
  <c r="J35" i="8"/>
  <c r="L35" i="8"/>
  <c r="M35" i="8"/>
  <c r="N35" i="8"/>
  <c r="O35" i="8"/>
  <c r="P35" i="8"/>
  <c r="R35" i="8"/>
  <c r="S35" i="8"/>
  <c r="T35" i="8"/>
  <c r="U35" i="8"/>
  <c r="V35" i="8"/>
  <c r="X35" i="8"/>
  <c r="Y35" i="8"/>
  <c r="Z35" i="8"/>
  <c r="AA35" i="8"/>
  <c r="AB35" i="8"/>
  <c r="AD35" i="8"/>
  <c r="AE35" i="8"/>
  <c r="AF35" i="8"/>
  <c r="AG35" i="8"/>
  <c r="AH35" i="8"/>
  <c r="AJ35" i="8"/>
  <c r="AK35" i="8"/>
  <c r="AL35" i="8"/>
  <c r="AM35" i="8"/>
  <c r="AN35" i="8"/>
  <c r="AP35" i="8"/>
  <c r="AQ35" i="8"/>
  <c r="AR35" i="8"/>
  <c r="AS35" i="8"/>
  <c r="AT35" i="8"/>
  <c r="AV35" i="8"/>
  <c r="AW35" i="8"/>
  <c r="AX35" i="8"/>
  <c r="AY35" i="8"/>
  <c r="AZ35" i="8"/>
  <c r="BB35" i="8"/>
  <c r="BC35" i="8"/>
  <c r="BD35" i="8"/>
  <c r="BE35" i="8"/>
  <c r="BF35" i="8"/>
  <c r="BH35" i="8"/>
  <c r="BI35" i="8"/>
  <c r="BJ35" i="8"/>
  <c r="BK35" i="8"/>
  <c r="BL35" i="8"/>
  <c r="BN35" i="8"/>
  <c r="BO35" i="8"/>
  <c r="BP35" i="8"/>
  <c r="BQ35" i="8"/>
  <c r="BR35" i="8"/>
  <c r="BT35" i="8"/>
  <c r="BU35" i="8"/>
  <c r="BV35" i="8"/>
  <c r="BW35" i="8"/>
  <c r="BX35" i="8"/>
  <c r="BZ35" i="8"/>
  <c r="CA35" i="8"/>
  <c r="CB35" i="8"/>
  <c r="H36" i="8"/>
  <c r="I36" i="8"/>
  <c r="J36" i="8"/>
  <c r="L36" i="8"/>
  <c r="M36" i="8"/>
  <c r="N36" i="8"/>
  <c r="O36" i="8"/>
  <c r="P36" i="8"/>
  <c r="R36" i="8"/>
  <c r="S36" i="8"/>
  <c r="T36" i="8"/>
  <c r="U36" i="8"/>
  <c r="V36" i="8"/>
  <c r="X36" i="8"/>
  <c r="Y36" i="8"/>
  <c r="Z36" i="8"/>
  <c r="AA36" i="8"/>
  <c r="AB36" i="8"/>
  <c r="AD36" i="8"/>
  <c r="AE36" i="8"/>
  <c r="AF36" i="8"/>
  <c r="AG36" i="8"/>
  <c r="AH36" i="8"/>
  <c r="AJ36" i="8"/>
  <c r="AK36" i="8"/>
  <c r="AL36" i="8"/>
  <c r="AM36" i="8"/>
  <c r="AN36" i="8"/>
  <c r="AP36" i="8"/>
  <c r="AQ36" i="8"/>
  <c r="AR36" i="8"/>
  <c r="AS36" i="8"/>
  <c r="AT36" i="8"/>
  <c r="AV36" i="8"/>
  <c r="AW36" i="8"/>
  <c r="AX36" i="8"/>
  <c r="AY36" i="8"/>
  <c r="AZ36" i="8"/>
  <c r="BB36" i="8"/>
  <c r="BC36" i="8"/>
  <c r="BD36" i="8"/>
  <c r="BE36" i="8"/>
  <c r="BF36" i="8"/>
  <c r="BH36" i="8"/>
  <c r="BI36" i="8"/>
  <c r="BJ36" i="8"/>
  <c r="BK36" i="8"/>
  <c r="BL36" i="8"/>
  <c r="BN36" i="8"/>
  <c r="BO36" i="8"/>
  <c r="BP36" i="8"/>
  <c r="BQ36" i="8"/>
  <c r="BR36" i="8"/>
  <c r="BT36" i="8"/>
  <c r="BU36" i="8"/>
  <c r="BV36" i="8"/>
  <c r="BW36" i="8"/>
  <c r="BX36" i="8"/>
  <c r="BZ36" i="8"/>
  <c r="CA36" i="8"/>
  <c r="CB36" i="8"/>
  <c r="H37" i="8"/>
  <c r="I37" i="8"/>
  <c r="J37" i="8"/>
  <c r="L37" i="8"/>
  <c r="M37" i="8"/>
  <c r="N37" i="8"/>
  <c r="O37" i="8"/>
  <c r="P37" i="8"/>
  <c r="R37" i="8"/>
  <c r="S37" i="8"/>
  <c r="T37" i="8"/>
  <c r="U37" i="8"/>
  <c r="V37" i="8"/>
  <c r="X37" i="8"/>
  <c r="Y37" i="8"/>
  <c r="Z37" i="8"/>
  <c r="AA37" i="8"/>
  <c r="AB37" i="8"/>
  <c r="AD37" i="8"/>
  <c r="AE37" i="8"/>
  <c r="AF37" i="8"/>
  <c r="AG37" i="8"/>
  <c r="AH37" i="8"/>
  <c r="AJ37" i="8"/>
  <c r="AK37" i="8"/>
  <c r="AL37" i="8"/>
  <c r="AM37" i="8"/>
  <c r="AN37" i="8"/>
  <c r="AP37" i="8"/>
  <c r="AQ37" i="8"/>
  <c r="AR37" i="8"/>
  <c r="AS37" i="8"/>
  <c r="AT37" i="8"/>
  <c r="AV37" i="8"/>
  <c r="AW37" i="8"/>
  <c r="AX37" i="8"/>
  <c r="AY37" i="8"/>
  <c r="AZ37" i="8"/>
  <c r="BB37" i="8"/>
  <c r="BC37" i="8"/>
  <c r="BD37" i="8"/>
  <c r="BE37" i="8"/>
  <c r="BF37" i="8"/>
  <c r="BH37" i="8"/>
  <c r="BI37" i="8"/>
  <c r="BJ37" i="8"/>
  <c r="BK37" i="8"/>
  <c r="BL37" i="8"/>
  <c r="BN37" i="8"/>
  <c r="BO37" i="8"/>
  <c r="BP37" i="8"/>
  <c r="BQ37" i="8"/>
  <c r="BR37" i="8"/>
  <c r="BT37" i="8"/>
  <c r="BU37" i="8"/>
  <c r="BV37" i="8"/>
  <c r="BW37" i="8"/>
  <c r="BX37" i="8"/>
  <c r="BZ37" i="8"/>
  <c r="CA37" i="8"/>
  <c r="CB37" i="8"/>
  <c r="H38" i="8"/>
  <c r="I38" i="8"/>
  <c r="J38" i="8"/>
  <c r="L38" i="8"/>
  <c r="M38" i="8"/>
  <c r="N38" i="8"/>
  <c r="O38" i="8"/>
  <c r="P38" i="8"/>
  <c r="R38" i="8"/>
  <c r="S38" i="8"/>
  <c r="T38" i="8"/>
  <c r="U38" i="8"/>
  <c r="V38" i="8"/>
  <c r="X38" i="8"/>
  <c r="Y38" i="8"/>
  <c r="Z38" i="8"/>
  <c r="AA38" i="8"/>
  <c r="AB38" i="8"/>
  <c r="AD38" i="8"/>
  <c r="AE38" i="8"/>
  <c r="AF38" i="8"/>
  <c r="AG38" i="8"/>
  <c r="AH38" i="8"/>
  <c r="AJ38" i="8"/>
  <c r="AK38" i="8"/>
  <c r="AL38" i="8"/>
  <c r="AM38" i="8"/>
  <c r="AN38" i="8"/>
  <c r="AP38" i="8"/>
  <c r="AQ38" i="8"/>
  <c r="AR38" i="8"/>
  <c r="AS38" i="8"/>
  <c r="AT38" i="8"/>
  <c r="AV38" i="8"/>
  <c r="AW38" i="8"/>
  <c r="AX38" i="8"/>
  <c r="AY38" i="8"/>
  <c r="AZ38" i="8"/>
  <c r="BB38" i="8"/>
  <c r="BC38" i="8"/>
  <c r="BD38" i="8"/>
  <c r="BE38" i="8"/>
  <c r="BF38" i="8"/>
  <c r="BH38" i="8"/>
  <c r="BI38" i="8"/>
  <c r="BJ38" i="8"/>
  <c r="BK38" i="8"/>
  <c r="BL38" i="8"/>
  <c r="BN38" i="8"/>
  <c r="BO38" i="8"/>
  <c r="BP38" i="8"/>
  <c r="BQ38" i="8"/>
  <c r="BR38" i="8"/>
  <c r="BT38" i="8"/>
  <c r="BU38" i="8"/>
  <c r="BV38" i="8"/>
  <c r="BW38" i="8"/>
  <c r="BX38" i="8"/>
  <c r="BZ38" i="8"/>
  <c r="CA38" i="8"/>
  <c r="CB38" i="8"/>
  <c r="H39" i="8"/>
  <c r="I39" i="8"/>
  <c r="J39" i="8"/>
  <c r="L39" i="8"/>
  <c r="M39" i="8"/>
  <c r="N39" i="8"/>
  <c r="O39" i="8"/>
  <c r="P39" i="8"/>
  <c r="R39" i="8"/>
  <c r="S39" i="8"/>
  <c r="T39" i="8"/>
  <c r="U39" i="8"/>
  <c r="V39" i="8"/>
  <c r="X39" i="8"/>
  <c r="Y39" i="8"/>
  <c r="Z39" i="8"/>
  <c r="AA39" i="8"/>
  <c r="AB39" i="8"/>
  <c r="AD39" i="8"/>
  <c r="AE39" i="8"/>
  <c r="AF39" i="8"/>
  <c r="AG39" i="8"/>
  <c r="AH39" i="8"/>
  <c r="AJ39" i="8"/>
  <c r="AK39" i="8"/>
  <c r="AL39" i="8"/>
  <c r="AM39" i="8"/>
  <c r="AN39" i="8"/>
  <c r="AP39" i="8"/>
  <c r="AQ39" i="8"/>
  <c r="AR39" i="8"/>
  <c r="AS39" i="8"/>
  <c r="AT39" i="8"/>
  <c r="AV39" i="8"/>
  <c r="AW39" i="8"/>
  <c r="AX39" i="8"/>
  <c r="AY39" i="8"/>
  <c r="AZ39" i="8"/>
  <c r="BB39" i="8"/>
  <c r="BC39" i="8"/>
  <c r="BD39" i="8"/>
  <c r="BE39" i="8"/>
  <c r="BF39" i="8"/>
  <c r="BH39" i="8"/>
  <c r="BI39" i="8"/>
  <c r="BJ39" i="8"/>
  <c r="BK39" i="8"/>
  <c r="BL39" i="8"/>
  <c r="BN39" i="8"/>
  <c r="BO39" i="8"/>
  <c r="BP39" i="8"/>
  <c r="BQ39" i="8"/>
  <c r="BR39" i="8"/>
  <c r="BT39" i="8"/>
  <c r="BU39" i="8"/>
  <c r="BV39" i="8"/>
  <c r="BW39" i="8"/>
  <c r="BX39" i="8"/>
  <c r="BZ39" i="8"/>
  <c r="CA39" i="8"/>
  <c r="CB39" i="8"/>
  <c r="H40" i="8"/>
  <c r="I40" i="8"/>
  <c r="J40" i="8"/>
  <c r="L40" i="8"/>
  <c r="M40" i="8"/>
  <c r="N40" i="8"/>
  <c r="O40" i="8"/>
  <c r="P40" i="8"/>
  <c r="R40" i="8"/>
  <c r="S40" i="8"/>
  <c r="T40" i="8"/>
  <c r="U40" i="8"/>
  <c r="V40" i="8"/>
  <c r="X40" i="8"/>
  <c r="Y40" i="8"/>
  <c r="Z40" i="8"/>
  <c r="AA40" i="8"/>
  <c r="AB40" i="8"/>
  <c r="AD40" i="8"/>
  <c r="AE40" i="8"/>
  <c r="AF40" i="8"/>
  <c r="AG40" i="8"/>
  <c r="AH40" i="8"/>
  <c r="AJ40" i="8"/>
  <c r="AK40" i="8"/>
  <c r="AL40" i="8"/>
  <c r="AM40" i="8"/>
  <c r="AN40" i="8"/>
  <c r="AP40" i="8"/>
  <c r="AQ40" i="8"/>
  <c r="AR40" i="8"/>
  <c r="AS40" i="8"/>
  <c r="AT40" i="8"/>
  <c r="AV40" i="8"/>
  <c r="AW40" i="8"/>
  <c r="AX40" i="8"/>
  <c r="AY40" i="8"/>
  <c r="AZ40" i="8"/>
  <c r="BB40" i="8"/>
  <c r="BC40" i="8"/>
  <c r="BD40" i="8"/>
  <c r="BE40" i="8"/>
  <c r="BF40" i="8"/>
  <c r="BH40" i="8"/>
  <c r="BI40" i="8"/>
  <c r="BJ40" i="8"/>
  <c r="BK40" i="8"/>
  <c r="BL40" i="8"/>
  <c r="BN40" i="8"/>
  <c r="BO40" i="8"/>
  <c r="BP40" i="8"/>
  <c r="BQ40" i="8"/>
  <c r="BR40" i="8"/>
  <c r="BT40" i="8"/>
  <c r="BU40" i="8"/>
  <c r="BV40" i="8"/>
  <c r="BW40" i="8"/>
  <c r="BX40" i="8"/>
  <c r="BZ40" i="8"/>
  <c r="CA40" i="8"/>
  <c r="CB40" i="8"/>
  <c r="H41" i="8"/>
  <c r="I41" i="8"/>
  <c r="J41" i="8"/>
  <c r="L41" i="8"/>
  <c r="M41" i="8"/>
  <c r="N41" i="8"/>
  <c r="O41" i="8"/>
  <c r="P41" i="8"/>
  <c r="R41" i="8"/>
  <c r="S41" i="8"/>
  <c r="T41" i="8"/>
  <c r="U41" i="8"/>
  <c r="V41" i="8"/>
  <c r="X41" i="8"/>
  <c r="Y41" i="8"/>
  <c r="Z41" i="8"/>
  <c r="AA41" i="8"/>
  <c r="AB41" i="8"/>
  <c r="AD41" i="8"/>
  <c r="AE41" i="8"/>
  <c r="AF41" i="8"/>
  <c r="AG41" i="8"/>
  <c r="AH41" i="8"/>
  <c r="AJ41" i="8"/>
  <c r="AK41" i="8"/>
  <c r="AL41" i="8"/>
  <c r="AM41" i="8"/>
  <c r="AN41" i="8"/>
  <c r="AP41" i="8"/>
  <c r="AQ41" i="8"/>
  <c r="AR41" i="8"/>
  <c r="AS41" i="8"/>
  <c r="AT41" i="8"/>
  <c r="AV41" i="8"/>
  <c r="AW41" i="8"/>
  <c r="AX41" i="8"/>
  <c r="AY41" i="8"/>
  <c r="AZ41" i="8"/>
  <c r="BB41" i="8"/>
  <c r="BC41" i="8"/>
  <c r="BD41" i="8"/>
  <c r="BE41" i="8"/>
  <c r="BF41" i="8"/>
  <c r="BH41" i="8"/>
  <c r="BI41" i="8"/>
  <c r="BJ41" i="8"/>
  <c r="BK41" i="8"/>
  <c r="BL41" i="8"/>
  <c r="BN41" i="8"/>
  <c r="BO41" i="8"/>
  <c r="BP41" i="8"/>
  <c r="BQ41" i="8"/>
  <c r="BR41" i="8"/>
  <c r="BT41" i="8"/>
  <c r="BU41" i="8"/>
  <c r="BV41" i="8"/>
  <c r="BW41" i="8"/>
  <c r="BX41" i="8"/>
  <c r="BZ41" i="8"/>
  <c r="CA41" i="8"/>
  <c r="CB41" i="8"/>
  <c r="H42" i="8"/>
  <c r="I42" i="8"/>
  <c r="J42" i="8"/>
  <c r="L42" i="8"/>
  <c r="M42" i="8"/>
  <c r="N42" i="8"/>
  <c r="O42" i="8"/>
  <c r="P42" i="8"/>
  <c r="R42" i="8"/>
  <c r="S42" i="8"/>
  <c r="T42" i="8"/>
  <c r="U42" i="8"/>
  <c r="V42" i="8"/>
  <c r="X42" i="8"/>
  <c r="Y42" i="8"/>
  <c r="Z42" i="8"/>
  <c r="AA42" i="8"/>
  <c r="AB42" i="8"/>
  <c r="AD42" i="8"/>
  <c r="AE42" i="8"/>
  <c r="AF42" i="8"/>
  <c r="AG42" i="8"/>
  <c r="AH42" i="8"/>
  <c r="AJ42" i="8"/>
  <c r="AK42" i="8"/>
  <c r="AL42" i="8"/>
  <c r="AM42" i="8"/>
  <c r="AN42" i="8"/>
  <c r="AP42" i="8"/>
  <c r="AQ42" i="8"/>
  <c r="AR42" i="8"/>
  <c r="AS42" i="8"/>
  <c r="AT42" i="8"/>
  <c r="AV42" i="8"/>
  <c r="AW42" i="8"/>
  <c r="AX42" i="8"/>
  <c r="AY42" i="8"/>
  <c r="AZ42" i="8"/>
  <c r="BB42" i="8"/>
  <c r="BC42" i="8"/>
  <c r="BD42" i="8"/>
  <c r="BE42" i="8"/>
  <c r="BF42" i="8"/>
  <c r="BH42" i="8"/>
  <c r="BI42" i="8"/>
  <c r="BJ42" i="8"/>
  <c r="BK42" i="8"/>
  <c r="BL42" i="8"/>
  <c r="BN42" i="8"/>
  <c r="BO42" i="8"/>
  <c r="BP42" i="8"/>
  <c r="BQ42" i="8"/>
  <c r="BR42" i="8"/>
  <c r="BT42" i="8"/>
  <c r="BU42" i="8"/>
  <c r="BV42" i="8"/>
  <c r="BW42" i="8"/>
  <c r="BX42" i="8"/>
  <c r="BZ42" i="8"/>
  <c r="CA42" i="8"/>
  <c r="CB42" i="8"/>
  <c r="H43" i="8"/>
  <c r="I43" i="8"/>
  <c r="J43" i="8"/>
  <c r="L43" i="8"/>
  <c r="M43" i="8"/>
  <c r="N43" i="8"/>
  <c r="O43" i="8"/>
  <c r="P43" i="8"/>
  <c r="R43" i="8"/>
  <c r="S43" i="8"/>
  <c r="T43" i="8"/>
  <c r="U43" i="8"/>
  <c r="V43" i="8"/>
  <c r="X43" i="8"/>
  <c r="Y43" i="8"/>
  <c r="Z43" i="8"/>
  <c r="AA43" i="8"/>
  <c r="AB43" i="8"/>
  <c r="AD43" i="8"/>
  <c r="AE43" i="8"/>
  <c r="AF43" i="8"/>
  <c r="AG43" i="8"/>
  <c r="AH43" i="8"/>
  <c r="AJ43" i="8"/>
  <c r="AK43" i="8"/>
  <c r="AL43" i="8"/>
  <c r="AM43" i="8"/>
  <c r="AN43" i="8"/>
  <c r="AP43" i="8"/>
  <c r="AQ43" i="8"/>
  <c r="AR43" i="8"/>
  <c r="AS43" i="8"/>
  <c r="AT43" i="8"/>
  <c r="AV43" i="8"/>
  <c r="AW43" i="8"/>
  <c r="AX43" i="8"/>
  <c r="AY43" i="8"/>
  <c r="AZ43" i="8"/>
  <c r="BB43" i="8"/>
  <c r="BC43" i="8"/>
  <c r="BD43" i="8"/>
  <c r="BE43" i="8"/>
  <c r="BF43" i="8"/>
  <c r="BH43" i="8"/>
  <c r="BI43" i="8"/>
  <c r="BJ43" i="8"/>
  <c r="BK43" i="8"/>
  <c r="BL43" i="8"/>
  <c r="BN43" i="8"/>
  <c r="BO43" i="8"/>
  <c r="BP43" i="8"/>
  <c r="BQ43" i="8"/>
  <c r="BR43" i="8"/>
  <c r="BT43" i="8"/>
  <c r="BU43" i="8"/>
  <c r="BV43" i="8"/>
  <c r="BW43" i="8"/>
  <c r="BX43" i="8"/>
  <c r="BZ43" i="8"/>
  <c r="CA43" i="8"/>
  <c r="CB43" i="8"/>
  <c r="H44" i="8"/>
  <c r="I44" i="8"/>
  <c r="J44" i="8"/>
  <c r="L44" i="8"/>
  <c r="M44" i="8"/>
  <c r="N44" i="8"/>
  <c r="O44" i="8"/>
  <c r="P44" i="8"/>
  <c r="R44" i="8"/>
  <c r="S44" i="8"/>
  <c r="T44" i="8"/>
  <c r="U44" i="8"/>
  <c r="V44" i="8"/>
  <c r="X44" i="8"/>
  <c r="Y44" i="8"/>
  <c r="Z44" i="8"/>
  <c r="AA44" i="8"/>
  <c r="AB44" i="8"/>
  <c r="AD44" i="8"/>
  <c r="AE44" i="8"/>
  <c r="AF44" i="8"/>
  <c r="AG44" i="8"/>
  <c r="AH44" i="8"/>
  <c r="AJ44" i="8"/>
  <c r="AK44" i="8"/>
  <c r="AL44" i="8"/>
  <c r="AM44" i="8"/>
  <c r="AN44" i="8"/>
  <c r="AP44" i="8"/>
  <c r="AQ44" i="8"/>
  <c r="AR44" i="8"/>
  <c r="AS44" i="8"/>
  <c r="AT44" i="8"/>
  <c r="AV44" i="8"/>
  <c r="AW44" i="8"/>
  <c r="AX44" i="8"/>
  <c r="AY44" i="8"/>
  <c r="AZ44" i="8"/>
  <c r="BB44" i="8"/>
  <c r="BC44" i="8"/>
  <c r="BD44" i="8"/>
  <c r="BE44" i="8"/>
  <c r="BF44" i="8"/>
  <c r="BH44" i="8"/>
  <c r="BI44" i="8"/>
  <c r="BJ44" i="8"/>
  <c r="BK44" i="8"/>
  <c r="BL44" i="8"/>
  <c r="BN44" i="8"/>
  <c r="BO44" i="8"/>
  <c r="BP44" i="8"/>
  <c r="BQ44" i="8"/>
  <c r="BR44" i="8"/>
  <c r="BT44" i="8"/>
  <c r="BU44" i="8"/>
  <c r="BV44" i="8"/>
  <c r="BW44" i="8"/>
  <c r="BX44" i="8"/>
  <c r="BZ44" i="8"/>
  <c r="CA44" i="8"/>
  <c r="CB44" i="8"/>
  <c r="H45" i="8"/>
  <c r="I45" i="8"/>
  <c r="J45" i="8"/>
  <c r="L45" i="8"/>
  <c r="M45" i="8"/>
  <c r="N45" i="8"/>
  <c r="O45" i="8"/>
  <c r="P45" i="8"/>
  <c r="R45" i="8"/>
  <c r="S45" i="8"/>
  <c r="T45" i="8"/>
  <c r="U45" i="8"/>
  <c r="V45" i="8"/>
  <c r="X45" i="8"/>
  <c r="Y45" i="8"/>
  <c r="Z45" i="8"/>
  <c r="AA45" i="8"/>
  <c r="AB45" i="8"/>
  <c r="AD45" i="8"/>
  <c r="AE45" i="8"/>
  <c r="AF45" i="8"/>
  <c r="AG45" i="8"/>
  <c r="AH45" i="8"/>
  <c r="AJ45" i="8"/>
  <c r="AK45" i="8"/>
  <c r="AL45" i="8"/>
  <c r="AM45" i="8"/>
  <c r="AN45" i="8"/>
  <c r="AP45" i="8"/>
  <c r="AQ45" i="8"/>
  <c r="AR45" i="8"/>
  <c r="AS45" i="8"/>
  <c r="AT45" i="8"/>
  <c r="AV45" i="8"/>
  <c r="AW45" i="8"/>
  <c r="AX45" i="8"/>
  <c r="AY45" i="8"/>
  <c r="AZ45" i="8"/>
  <c r="BB45" i="8"/>
  <c r="BC45" i="8"/>
  <c r="BD45" i="8"/>
  <c r="BE45" i="8"/>
  <c r="BF45" i="8"/>
  <c r="BH45" i="8"/>
  <c r="BI45" i="8"/>
  <c r="BJ45" i="8"/>
  <c r="BK45" i="8"/>
  <c r="BL45" i="8"/>
  <c r="BN45" i="8"/>
  <c r="BO45" i="8"/>
  <c r="BP45" i="8"/>
  <c r="BQ45" i="8"/>
  <c r="BR45" i="8"/>
  <c r="BT45" i="8"/>
  <c r="BU45" i="8"/>
  <c r="BV45" i="8"/>
  <c r="BW45" i="8"/>
  <c r="BX45" i="8"/>
  <c r="BZ45" i="8"/>
  <c r="CA45" i="8"/>
  <c r="CB45" i="8"/>
  <c r="H46" i="8"/>
  <c r="I46" i="8"/>
  <c r="J46" i="8"/>
  <c r="L46" i="8"/>
  <c r="M46" i="8"/>
  <c r="N46" i="8"/>
  <c r="O46" i="8"/>
  <c r="P46" i="8"/>
  <c r="R46" i="8"/>
  <c r="S46" i="8"/>
  <c r="T46" i="8"/>
  <c r="U46" i="8"/>
  <c r="V46" i="8"/>
  <c r="X46" i="8"/>
  <c r="Y46" i="8"/>
  <c r="Z46" i="8"/>
  <c r="AA46" i="8"/>
  <c r="AB46" i="8"/>
  <c r="AD46" i="8"/>
  <c r="AE46" i="8"/>
  <c r="AF46" i="8"/>
  <c r="AG46" i="8"/>
  <c r="AH46" i="8"/>
  <c r="AJ46" i="8"/>
  <c r="AK46" i="8"/>
  <c r="AL46" i="8"/>
  <c r="AM46" i="8"/>
  <c r="AN46" i="8"/>
  <c r="AP46" i="8"/>
  <c r="AQ46" i="8"/>
  <c r="AR46" i="8"/>
  <c r="AS46" i="8"/>
  <c r="AT46" i="8"/>
  <c r="AV46" i="8"/>
  <c r="AW46" i="8"/>
  <c r="AX46" i="8"/>
  <c r="AY46" i="8"/>
  <c r="AZ46" i="8"/>
  <c r="BB46" i="8"/>
  <c r="BC46" i="8"/>
  <c r="BD46" i="8"/>
  <c r="BE46" i="8"/>
  <c r="BF46" i="8"/>
  <c r="BH46" i="8"/>
  <c r="BI46" i="8"/>
  <c r="BJ46" i="8"/>
  <c r="BK46" i="8"/>
  <c r="BL46" i="8"/>
  <c r="BN46" i="8"/>
  <c r="BO46" i="8"/>
  <c r="BP46" i="8"/>
  <c r="BQ46" i="8"/>
  <c r="BR46" i="8"/>
  <c r="BT46" i="8"/>
  <c r="BU46" i="8"/>
  <c r="BV46" i="8"/>
  <c r="BW46" i="8"/>
  <c r="BX46" i="8"/>
  <c r="BZ46" i="8"/>
  <c r="CA46" i="8"/>
  <c r="CB46" i="8"/>
  <c r="H47" i="8"/>
  <c r="I47" i="8"/>
  <c r="J47" i="8"/>
  <c r="L47" i="8"/>
  <c r="M47" i="8"/>
  <c r="N47" i="8"/>
  <c r="O47" i="8"/>
  <c r="P47" i="8"/>
  <c r="R47" i="8"/>
  <c r="S47" i="8"/>
  <c r="T47" i="8"/>
  <c r="U47" i="8"/>
  <c r="V47" i="8"/>
  <c r="X47" i="8"/>
  <c r="Y47" i="8"/>
  <c r="Z47" i="8"/>
  <c r="AA47" i="8"/>
  <c r="AB47" i="8"/>
  <c r="AD47" i="8"/>
  <c r="AE47" i="8"/>
  <c r="AF47" i="8"/>
  <c r="AG47" i="8"/>
  <c r="AH47" i="8"/>
  <c r="AJ47" i="8"/>
  <c r="AK47" i="8"/>
  <c r="AL47" i="8"/>
  <c r="AM47" i="8"/>
  <c r="AN47" i="8"/>
  <c r="AP47" i="8"/>
  <c r="AQ47" i="8"/>
  <c r="AR47" i="8"/>
  <c r="AS47" i="8"/>
  <c r="AT47" i="8"/>
  <c r="AV47" i="8"/>
  <c r="AW47" i="8"/>
  <c r="AX47" i="8"/>
  <c r="AY47" i="8"/>
  <c r="AZ47" i="8"/>
  <c r="BB47" i="8"/>
  <c r="BC47" i="8"/>
  <c r="BD47" i="8"/>
  <c r="BE47" i="8"/>
  <c r="BF47" i="8"/>
  <c r="BH47" i="8"/>
  <c r="BI47" i="8"/>
  <c r="BJ47" i="8"/>
  <c r="BK47" i="8"/>
  <c r="BL47" i="8"/>
  <c r="BN47" i="8"/>
  <c r="BO47" i="8"/>
  <c r="BP47" i="8"/>
  <c r="BQ47" i="8"/>
  <c r="BR47" i="8"/>
  <c r="BT47" i="8"/>
  <c r="BU47" i="8"/>
  <c r="BV47" i="8"/>
  <c r="BW47" i="8"/>
  <c r="BX47" i="8"/>
  <c r="BZ47" i="8"/>
  <c r="CA47" i="8"/>
  <c r="CB47" i="8"/>
  <c r="H48" i="8"/>
  <c r="I48" i="8"/>
  <c r="J48" i="8"/>
  <c r="L48" i="8"/>
  <c r="M48" i="8"/>
  <c r="N48" i="8"/>
  <c r="O48" i="8"/>
  <c r="P48" i="8"/>
  <c r="R48" i="8"/>
  <c r="S48" i="8"/>
  <c r="T48" i="8"/>
  <c r="U48" i="8"/>
  <c r="V48" i="8"/>
  <c r="X48" i="8"/>
  <c r="Y48" i="8"/>
  <c r="Z48" i="8"/>
  <c r="AA48" i="8"/>
  <c r="AB48" i="8"/>
  <c r="AD48" i="8"/>
  <c r="AE48" i="8"/>
  <c r="AF48" i="8"/>
  <c r="AG48" i="8"/>
  <c r="AH48" i="8"/>
  <c r="AJ48" i="8"/>
  <c r="AK48" i="8"/>
  <c r="AL48" i="8"/>
  <c r="AM48" i="8"/>
  <c r="AN48" i="8"/>
  <c r="AP48" i="8"/>
  <c r="AQ48" i="8"/>
  <c r="AR48" i="8"/>
  <c r="AS48" i="8"/>
  <c r="AT48" i="8"/>
  <c r="AV48" i="8"/>
  <c r="AW48" i="8"/>
  <c r="AX48" i="8"/>
  <c r="AY48" i="8"/>
  <c r="AZ48" i="8"/>
  <c r="BB48" i="8"/>
  <c r="BC48" i="8"/>
  <c r="BD48" i="8"/>
  <c r="BE48" i="8"/>
  <c r="BF48" i="8"/>
  <c r="BH48" i="8"/>
  <c r="BI48" i="8"/>
  <c r="BJ48" i="8"/>
  <c r="BK48" i="8"/>
  <c r="BL48" i="8"/>
  <c r="BN48" i="8"/>
  <c r="BO48" i="8"/>
  <c r="BP48" i="8"/>
  <c r="BQ48" i="8"/>
  <c r="BR48" i="8"/>
  <c r="BT48" i="8"/>
  <c r="BU48" i="8"/>
  <c r="BV48" i="8"/>
  <c r="BW48" i="8"/>
  <c r="BX48" i="8"/>
  <c r="BZ48" i="8"/>
  <c r="CA48" i="8"/>
  <c r="CB48" i="8"/>
  <c r="H49" i="8"/>
  <c r="BZ49" i="8"/>
  <c r="CA49" i="8"/>
  <c r="CB49" i="8"/>
  <c r="H50" i="8"/>
  <c r="I50" i="8"/>
  <c r="J50" i="8"/>
  <c r="L50" i="8"/>
  <c r="M50" i="8"/>
  <c r="N50" i="8"/>
  <c r="O50" i="8"/>
  <c r="P50" i="8"/>
  <c r="R50" i="8"/>
  <c r="S50" i="8"/>
  <c r="T50" i="8"/>
  <c r="U50" i="8"/>
  <c r="V50" i="8"/>
  <c r="X50" i="8"/>
  <c r="Y50" i="8"/>
  <c r="Z50" i="8"/>
  <c r="AA50" i="8"/>
  <c r="AB50" i="8"/>
  <c r="AD50" i="8"/>
  <c r="AE50" i="8"/>
  <c r="AF50" i="8"/>
  <c r="AG50" i="8"/>
  <c r="AH50" i="8"/>
  <c r="AJ50" i="8"/>
  <c r="AK50" i="8"/>
  <c r="AL50" i="8"/>
  <c r="AM50" i="8"/>
  <c r="AN50" i="8"/>
  <c r="AP50" i="8"/>
  <c r="AQ50" i="8"/>
  <c r="AR50" i="8"/>
  <c r="AS50" i="8"/>
  <c r="AT50" i="8"/>
  <c r="AV50" i="8"/>
  <c r="AW50" i="8"/>
  <c r="AX50" i="8"/>
  <c r="AY50" i="8"/>
  <c r="AZ50" i="8"/>
  <c r="BB50" i="8"/>
  <c r="BC50" i="8"/>
  <c r="BD50" i="8"/>
  <c r="BE50" i="8"/>
  <c r="BF50" i="8"/>
  <c r="BH50" i="8"/>
  <c r="BI50" i="8"/>
  <c r="BJ50" i="8"/>
  <c r="BK50" i="8"/>
  <c r="BL50" i="8"/>
  <c r="BN50" i="8"/>
  <c r="BO50" i="8"/>
  <c r="BP50" i="8"/>
  <c r="BQ50" i="8"/>
  <c r="BR50" i="8"/>
  <c r="BT50" i="8"/>
  <c r="BU50" i="8"/>
  <c r="BV50" i="8"/>
  <c r="BW50" i="8"/>
  <c r="BX50" i="8"/>
  <c r="BZ50" i="8"/>
  <c r="CA50" i="8"/>
  <c r="CB50" i="8"/>
  <c r="H51" i="8"/>
  <c r="AT51" i="8"/>
  <c r="AV51" i="8"/>
  <c r="AW51" i="8"/>
  <c r="AX51" i="8"/>
  <c r="AY51" i="8"/>
  <c r="AZ51" i="8"/>
  <c r="BB51" i="8"/>
  <c r="BC51" i="8"/>
  <c r="BD51" i="8"/>
  <c r="BE51" i="8"/>
  <c r="BF51" i="8"/>
  <c r="BH51" i="8"/>
  <c r="BI51" i="8"/>
  <c r="BJ51" i="8"/>
  <c r="BK51" i="8"/>
  <c r="BL51" i="8"/>
  <c r="BN51" i="8"/>
  <c r="BO51" i="8"/>
  <c r="BP51" i="8"/>
  <c r="BQ51" i="8"/>
  <c r="BR51" i="8"/>
  <c r="BT51" i="8"/>
  <c r="BU51" i="8"/>
  <c r="BV51" i="8"/>
  <c r="BW51" i="8"/>
  <c r="BX51" i="8"/>
  <c r="BZ51" i="8"/>
  <c r="CA51" i="8"/>
  <c r="CB51" i="8"/>
  <c r="H52" i="8"/>
  <c r="BB52" i="8"/>
  <c r="BC52" i="8"/>
  <c r="BD52" i="8"/>
  <c r="BE52" i="8"/>
  <c r="BF52" i="8"/>
  <c r="BH52" i="8"/>
  <c r="BI52" i="8"/>
  <c r="BJ52" i="8"/>
  <c r="BK52" i="8"/>
  <c r="BL52" i="8"/>
  <c r="BN52" i="8"/>
  <c r="BO52" i="8"/>
  <c r="BP52" i="8"/>
  <c r="BQ52" i="8"/>
  <c r="BR52" i="8"/>
  <c r="BT52" i="8"/>
  <c r="BU52" i="8"/>
  <c r="BV52" i="8"/>
  <c r="BW52" i="8"/>
  <c r="BX52" i="8"/>
  <c r="BZ52" i="8"/>
  <c r="CA52" i="8"/>
  <c r="CB52" i="8"/>
  <c r="H53" i="8"/>
  <c r="I53" i="8"/>
  <c r="J53" i="8"/>
  <c r="L53" i="8"/>
  <c r="M53" i="8"/>
  <c r="N53" i="8"/>
  <c r="O53" i="8"/>
  <c r="P53" i="8"/>
  <c r="R53" i="8"/>
  <c r="S53" i="8"/>
  <c r="T53" i="8"/>
  <c r="U53" i="8"/>
  <c r="V53" i="8"/>
  <c r="X53" i="8"/>
  <c r="Y53" i="8"/>
  <c r="Z53" i="8"/>
  <c r="AA53" i="8"/>
  <c r="AB53" i="8"/>
  <c r="AD53" i="8"/>
  <c r="AE53" i="8"/>
  <c r="AF53" i="8"/>
  <c r="AG53" i="8"/>
  <c r="AH53" i="8"/>
  <c r="AJ53" i="8"/>
  <c r="AK53" i="8"/>
  <c r="AL53" i="8"/>
  <c r="AM53" i="8"/>
  <c r="AN53" i="8"/>
  <c r="AP53" i="8"/>
  <c r="AQ53" i="8"/>
  <c r="AR53" i="8"/>
  <c r="AS53" i="8"/>
  <c r="AT53" i="8"/>
  <c r="AV53" i="8"/>
  <c r="AW53" i="8"/>
  <c r="AX53" i="8"/>
  <c r="AY53" i="8"/>
  <c r="AZ53" i="8"/>
  <c r="BB53" i="8"/>
  <c r="BC53" i="8"/>
  <c r="BD53" i="8"/>
  <c r="BE53" i="8"/>
  <c r="BF53" i="8"/>
  <c r="BH53" i="8"/>
  <c r="BI53" i="8"/>
  <c r="BJ53" i="8"/>
  <c r="BK53" i="8"/>
  <c r="BL53" i="8"/>
  <c r="BN53" i="8"/>
  <c r="BO53" i="8"/>
  <c r="BP53" i="8"/>
  <c r="BQ53" i="8"/>
  <c r="BR53" i="8"/>
  <c r="BT53" i="8"/>
  <c r="BU53" i="8"/>
  <c r="BV53" i="8"/>
  <c r="BW53" i="8"/>
  <c r="BX53" i="8"/>
  <c r="BZ53" i="8"/>
  <c r="CA53" i="8"/>
  <c r="CB53" i="8"/>
  <c r="H54" i="8"/>
  <c r="BX54" i="8"/>
  <c r="BZ54" i="8"/>
  <c r="CA54" i="8"/>
  <c r="CB54" i="8"/>
  <c r="H55" i="8"/>
  <c r="I55" i="8"/>
  <c r="J55" i="8"/>
  <c r="L55" i="8"/>
  <c r="M55" i="8"/>
  <c r="N55" i="8"/>
  <c r="O55" i="8"/>
  <c r="P55" i="8"/>
  <c r="R55" i="8"/>
  <c r="S55" i="8"/>
  <c r="T55" i="8"/>
  <c r="U55" i="8"/>
  <c r="V55" i="8"/>
  <c r="X55" i="8"/>
  <c r="Y55" i="8"/>
  <c r="Z55" i="8"/>
  <c r="AA55" i="8"/>
  <c r="AB55" i="8"/>
  <c r="AD55" i="8"/>
  <c r="AE55" i="8"/>
  <c r="AF55" i="8"/>
  <c r="AG55" i="8"/>
  <c r="AH55" i="8"/>
  <c r="AJ55" i="8"/>
  <c r="AK55" i="8"/>
  <c r="AL55" i="8"/>
  <c r="AM55" i="8"/>
  <c r="AN55" i="8"/>
  <c r="AP55" i="8"/>
  <c r="AQ55" i="8"/>
  <c r="AR55" i="8"/>
  <c r="AS55" i="8"/>
  <c r="AT55" i="8"/>
  <c r="AV55" i="8"/>
  <c r="AW55" i="8"/>
  <c r="AX55" i="8"/>
  <c r="AY55" i="8"/>
  <c r="AZ55" i="8"/>
  <c r="BB55" i="8"/>
  <c r="BC55" i="8"/>
  <c r="BD55" i="8"/>
  <c r="BE55" i="8"/>
  <c r="BF55" i="8"/>
  <c r="BH55" i="8"/>
  <c r="BI55" i="8"/>
  <c r="BJ55" i="8"/>
  <c r="BK55" i="8"/>
  <c r="BL55" i="8"/>
  <c r="BN55" i="8"/>
  <c r="BO55" i="8"/>
  <c r="BP55" i="8"/>
  <c r="BQ55" i="8"/>
  <c r="BR55" i="8"/>
  <c r="BT55" i="8"/>
  <c r="BU55" i="8"/>
  <c r="BV55" i="8"/>
  <c r="BW55" i="8"/>
  <c r="BX55" i="8"/>
  <c r="BZ55" i="8"/>
  <c r="CA55" i="8"/>
  <c r="CB55" i="8"/>
  <c r="H56" i="8"/>
  <c r="I56" i="8"/>
  <c r="J56" i="8"/>
  <c r="L56" i="8"/>
  <c r="M56" i="8"/>
  <c r="N56" i="8"/>
  <c r="O56" i="8"/>
  <c r="P56" i="8"/>
  <c r="R56" i="8"/>
  <c r="S56" i="8"/>
  <c r="T56" i="8"/>
  <c r="U56" i="8"/>
  <c r="V56" i="8"/>
  <c r="X56" i="8"/>
  <c r="Y56" i="8"/>
  <c r="Z56" i="8"/>
  <c r="AA56" i="8"/>
  <c r="AB56" i="8"/>
  <c r="AD56" i="8"/>
  <c r="AE56" i="8"/>
  <c r="AF56" i="8"/>
  <c r="AG56" i="8"/>
  <c r="AH56" i="8"/>
  <c r="AJ56" i="8"/>
  <c r="AK56" i="8"/>
  <c r="AL56" i="8"/>
  <c r="AM56" i="8"/>
  <c r="AN56" i="8"/>
  <c r="AP56" i="8"/>
  <c r="AQ56" i="8"/>
  <c r="AR56" i="8"/>
  <c r="AS56" i="8"/>
  <c r="AT56" i="8"/>
  <c r="AV56" i="8"/>
  <c r="AW56" i="8"/>
  <c r="AX56" i="8"/>
  <c r="AY56" i="8"/>
  <c r="AZ56" i="8"/>
  <c r="BB56" i="8"/>
  <c r="BC56" i="8"/>
  <c r="BD56" i="8"/>
  <c r="BE56" i="8"/>
  <c r="BF56" i="8"/>
  <c r="BH56" i="8"/>
  <c r="BI56" i="8"/>
  <c r="BJ56" i="8"/>
  <c r="BK56" i="8"/>
  <c r="BL56" i="8"/>
  <c r="BN56" i="8"/>
  <c r="BO56" i="8"/>
  <c r="BP56" i="8"/>
  <c r="BQ56" i="8"/>
  <c r="BR56" i="8"/>
  <c r="BT56" i="8"/>
  <c r="BU56" i="8"/>
  <c r="BV56" i="8"/>
  <c r="BW56" i="8"/>
  <c r="BX56" i="8"/>
  <c r="BZ56" i="8"/>
  <c r="CA56" i="8"/>
  <c r="CB56" i="8"/>
  <c r="H57" i="8"/>
  <c r="I57" i="8"/>
  <c r="J57" i="8"/>
  <c r="L57" i="8"/>
  <c r="M57" i="8"/>
  <c r="N57" i="8"/>
  <c r="O57" i="8"/>
  <c r="P57" i="8"/>
  <c r="R57" i="8"/>
  <c r="S57" i="8"/>
  <c r="T57" i="8"/>
  <c r="U57" i="8"/>
  <c r="V57" i="8"/>
  <c r="X57" i="8"/>
  <c r="Y57" i="8"/>
  <c r="Z57" i="8"/>
  <c r="AA57" i="8"/>
  <c r="AB57" i="8"/>
  <c r="AD57" i="8"/>
  <c r="AE57" i="8"/>
  <c r="AF57" i="8"/>
  <c r="AG57" i="8"/>
  <c r="AH57" i="8"/>
  <c r="AJ57" i="8"/>
  <c r="AK57" i="8"/>
  <c r="AL57" i="8"/>
  <c r="AM57" i="8"/>
  <c r="AN57" i="8"/>
  <c r="AP57" i="8"/>
  <c r="AQ57" i="8"/>
  <c r="AR57" i="8"/>
  <c r="AS57" i="8"/>
  <c r="AT57" i="8"/>
  <c r="AV57" i="8"/>
  <c r="AW57" i="8"/>
  <c r="AX57" i="8"/>
  <c r="AY57" i="8"/>
  <c r="AZ57" i="8"/>
  <c r="BB57" i="8"/>
  <c r="BC57" i="8"/>
  <c r="BD57" i="8"/>
  <c r="BE57" i="8"/>
  <c r="BF57" i="8"/>
  <c r="BH57" i="8"/>
  <c r="BI57" i="8"/>
  <c r="BJ57" i="8"/>
  <c r="BK57" i="8"/>
  <c r="BL57" i="8"/>
  <c r="BN57" i="8"/>
  <c r="BO57" i="8"/>
  <c r="BP57" i="8"/>
  <c r="BQ57" i="8"/>
  <c r="BR57" i="8"/>
  <c r="BT57" i="8"/>
  <c r="BU57" i="8"/>
  <c r="BV57" i="8"/>
  <c r="BW57" i="8"/>
  <c r="BX57" i="8"/>
  <c r="BZ57" i="8"/>
  <c r="CA57" i="8"/>
  <c r="CB57" i="8"/>
  <c r="H58" i="8"/>
  <c r="AP58" i="8"/>
  <c r="AQ58" i="8"/>
  <c r="AR58" i="8"/>
  <c r="AS58" i="8"/>
  <c r="AT58" i="8"/>
  <c r="AV58" i="8"/>
  <c r="AW58" i="8"/>
  <c r="AX58" i="8"/>
  <c r="AY58" i="8"/>
  <c r="AZ58" i="8"/>
  <c r="BB58" i="8"/>
  <c r="BC58" i="8"/>
  <c r="BD58" i="8"/>
  <c r="BE58" i="8"/>
  <c r="BF58" i="8"/>
  <c r="BH58" i="8"/>
  <c r="BI58" i="8"/>
  <c r="BJ58" i="8"/>
  <c r="BK58" i="8"/>
  <c r="BL58" i="8"/>
  <c r="BN58" i="8"/>
  <c r="BO58" i="8"/>
  <c r="BP58" i="8"/>
  <c r="BQ58" i="8"/>
  <c r="BR58" i="8"/>
  <c r="BT58" i="8"/>
  <c r="BU58" i="8"/>
  <c r="BV58" i="8"/>
  <c r="BW58" i="8"/>
  <c r="BX58" i="8"/>
  <c r="BZ58" i="8"/>
  <c r="CA58" i="8"/>
  <c r="CB58" i="8"/>
  <c r="H59" i="8"/>
  <c r="BN59" i="8"/>
  <c r="BO59" i="8"/>
  <c r="BP59" i="8"/>
  <c r="BQ59" i="8"/>
  <c r="BR59" i="8"/>
  <c r="BT59" i="8"/>
  <c r="BU59" i="8"/>
  <c r="BV59" i="8"/>
  <c r="BW59" i="8"/>
  <c r="BX59" i="8"/>
  <c r="BZ59" i="8"/>
  <c r="CA59" i="8"/>
  <c r="CB59" i="8"/>
  <c r="H60" i="8"/>
  <c r="I60" i="8"/>
  <c r="J60" i="8"/>
  <c r="L60" i="8"/>
  <c r="M60" i="8"/>
  <c r="N60" i="8"/>
  <c r="O60" i="8"/>
  <c r="P60" i="8"/>
  <c r="R60" i="8"/>
  <c r="S60" i="8"/>
  <c r="T60" i="8"/>
  <c r="U60" i="8"/>
  <c r="V60" i="8"/>
  <c r="X60" i="8"/>
  <c r="Y60" i="8"/>
  <c r="Z60" i="8"/>
  <c r="AA60" i="8"/>
  <c r="AB60" i="8"/>
  <c r="AD60" i="8"/>
  <c r="AE60" i="8"/>
  <c r="AF60" i="8"/>
  <c r="AG60" i="8"/>
  <c r="AH60" i="8"/>
  <c r="AJ60" i="8"/>
  <c r="AK60" i="8"/>
  <c r="AL60" i="8"/>
  <c r="AM60" i="8"/>
  <c r="AN60" i="8"/>
  <c r="AP60" i="8"/>
  <c r="AQ60" i="8"/>
  <c r="AR60" i="8"/>
  <c r="AS60" i="8"/>
  <c r="AT60" i="8"/>
  <c r="AV60" i="8"/>
  <c r="AW60" i="8"/>
  <c r="AX60" i="8"/>
  <c r="AY60" i="8"/>
  <c r="AZ60" i="8"/>
  <c r="BB60" i="8"/>
  <c r="BC60" i="8"/>
  <c r="BD60" i="8"/>
  <c r="BE60" i="8"/>
  <c r="BF60" i="8"/>
  <c r="BH60" i="8"/>
  <c r="BI60" i="8"/>
  <c r="BJ60" i="8"/>
  <c r="BK60" i="8"/>
  <c r="BL60" i="8"/>
  <c r="BN60" i="8"/>
  <c r="BO60" i="8"/>
  <c r="BP60" i="8"/>
  <c r="BQ60" i="8"/>
  <c r="BR60" i="8"/>
  <c r="BT60" i="8"/>
  <c r="BU60" i="8"/>
  <c r="BV60" i="8"/>
  <c r="BW60" i="8"/>
  <c r="BX60" i="8"/>
  <c r="BZ60" i="8"/>
  <c r="CA60" i="8"/>
  <c r="CB60" i="8"/>
  <c r="H61" i="8"/>
  <c r="I61" i="8"/>
  <c r="J61" i="8"/>
  <c r="L61" i="8"/>
  <c r="M61" i="8"/>
  <c r="N61" i="8"/>
  <c r="O61" i="8"/>
  <c r="P61" i="8"/>
  <c r="R61" i="8"/>
  <c r="S61" i="8"/>
  <c r="T61" i="8"/>
  <c r="U61" i="8"/>
  <c r="V61" i="8"/>
  <c r="X61" i="8"/>
  <c r="Y61" i="8"/>
  <c r="Z61" i="8"/>
  <c r="AA61" i="8"/>
  <c r="AB61" i="8"/>
  <c r="AD61" i="8"/>
  <c r="AE61" i="8"/>
  <c r="AF61" i="8"/>
  <c r="AG61" i="8"/>
  <c r="AH61" i="8"/>
  <c r="AJ61" i="8"/>
  <c r="AK61" i="8"/>
  <c r="AL61" i="8"/>
  <c r="AM61" i="8"/>
  <c r="AN61" i="8"/>
  <c r="AP61" i="8"/>
  <c r="AQ61" i="8"/>
  <c r="AR61" i="8"/>
  <c r="AS61" i="8"/>
  <c r="AT61" i="8"/>
  <c r="AV61" i="8"/>
  <c r="AW61" i="8"/>
  <c r="AX61" i="8"/>
  <c r="AY61" i="8"/>
  <c r="AZ61" i="8"/>
  <c r="BB61" i="8"/>
  <c r="BC61" i="8"/>
  <c r="BD61" i="8"/>
  <c r="BE61" i="8"/>
  <c r="BF61" i="8"/>
  <c r="BH61" i="8"/>
  <c r="BI61" i="8"/>
  <c r="BJ61" i="8"/>
  <c r="BK61" i="8"/>
  <c r="BL61" i="8"/>
  <c r="BN61" i="8"/>
  <c r="BO61" i="8"/>
  <c r="BP61" i="8"/>
  <c r="BQ61" i="8"/>
  <c r="BR61" i="8"/>
  <c r="BT61" i="8"/>
  <c r="BU61" i="8"/>
  <c r="BV61" i="8"/>
  <c r="BW61" i="8"/>
  <c r="BX61" i="8"/>
  <c r="BZ61" i="8"/>
  <c r="CA61" i="8"/>
  <c r="CB61" i="8"/>
  <c r="H62" i="8"/>
  <c r="I62" i="8"/>
  <c r="J62" i="8"/>
  <c r="L62" i="8"/>
  <c r="M62" i="8"/>
  <c r="N62" i="8"/>
  <c r="O62" i="8"/>
  <c r="P62" i="8"/>
  <c r="R62" i="8"/>
  <c r="S62" i="8"/>
  <c r="T62" i="8"/>
  <c r="U62" i="8"/>
  <c r="V62" i="8"/>
  <c r="X62" i="8"/>
  <c r="Y62" i="8"/>
  <c r="Z62" i="8"/>
  <c r="AA62" i="8"/>
  <c r="AB62" i="8"/>
  <c r="AD62" i="8"/>
  <c r="AE62" i="8"/>
  <c r="AF62" i="8"/>
  <c r="AG62" i="8"/>
  <c r="AH62" i="8"/>
  <c r="AJ62" i="8"/>
  <c r="AK62" i="8"/>
  <c r="AL62" i="8"/>
  <c r="AM62" i="8"/>
  <c r="AN62" i="8"/>
  <c r="AP62" i="8"/>
  <c r="AQ62" i="8"/>
  <c r="AR62" i="8"/>
  <c r="AS62" i="8"/>
  <c r="AT62" i="8"/>
  <c r="AV62" i="8"/>
  <c r="AW62" i="8"/>
  <c r="AX62" i="8"/>
  <c r="AY62" i="8"/>
  <c r="AZ62" i="8"/>
  <c r="BB62" i="8"/>
  <c r="BC62" i="8"/>
  <c r="BD62" i="8"/>
  <c r="BE62" i="8"/>
  <c r="BF62" i="8"/>
  <c r="BH62" i="8"/>
  <c r="BI62" i="8"/>
  <c r="BJ62" i="8"/>
  <c r="BK62" i="8"/>
  <c r="BL62" i="8"/>
  <c r="BN62" i="8"/>
  <c r="BO62" i="8"/>
  <c r="BP62" i="8"/>
  <c r="BQ62" i="8"/>
  <c r="BR62" i="8"/>
  <c r="BT62" i="8"/>
  <c r="BU62" i="8"/>
  <c r="BV62" i="8"/>
  <c r="BW62" i="8"/>
  <c r="BX62" i="8"/>
  <c r="BZ62" i="8"/>
  <c r="CA62" i="8"/>
  <c r="CB62" i="8"/>
  <c r="H63" i="8"/>
  <c r="I63" i="8"/>
  <c r="J63" i="8"/>
  <c r="L63" i="8"/>
  <c r="M63" i="8"/>
  <c r="N63" i="8"/>
  <c r="O63" i="8"/>
  <c r="P63" i="8"/>
  <c r="R63" i="8"/>
  <c r="S63" i="8"/>
  <c r="T63" i="8"/>
  <c r="U63" i="8"/>
  <c r="V63" i="8"/>
  <c r="X63" i="8"/>
  <c r="Y63" i="8"/>
  <c r="Z63" i="8"/>
  <c r="AA63" i="8"/>
  <c r="AB63" i="8"/>
  <c r="AD63" i="8"/>
  <c r="AE63" i="8"/>
  <c r="AF63" i="8"/>
  <c r="AG63" i="8"/>
  <c r="AH63" i="8"/>
  <c r="AJ63" i="8"/>
  <c r="AK63" i="8"/>
  <c r="AL63" i="8"/>
  <c r="AM63" i="8"/>
  <c r="AN63" i="8"/>
  <c r="AP63" i="8"/>
  <c r="AQ63" i="8"/>
  <c r="AR63" i="8"/>
  <c r="AS63" i="8"/>
  <c r="AT63" i="8"/>
  <c r="AV63" i="8"/>
  <c r="AW63" i="8"/>
  <c r="AX63" i="8"/>
  <c r="AY63" i="8"/>
  <c r="AZ63" i="8"/>
  <c r="BB63" i="8"/>
  <c r="BC63" i="8"/>
  <c r="BD63" i="8"/>
  <c r="BE63" i="8"/>
  <c r="BF63" i="8"/>
  <c r="BH63" i="8"/>
  <c r="BI63" i="8"/>
  <c r="BJ63" i="8"/>
  <c r="BK63" i="8"/>
  <c r="BL63" i="8"/>
  <c r="BN63" i="8"/>
  <c r="BO63" i="8"/>
  <c r="BP63" i="8"/>
  <c r="BQ63" i="8"/>
  <c r="BR63" i="8"/>
  <c r="BT63" i="8"/>
  <c r="BU63" i="8"/>
  <c r="BV63" i="8"/>
  <c r="BW63" i="8"/>
  <c r="BX63" i="8"/>
  <c r="BZ63" i="8"/>
  <c r="CA63" i="8"/>
  <c r="CB63" i="8"/>
  <c r="H64" i="8"/>
  <c r="I64" i="8"/>
  <c r="J64" i="8"/>
  <c r="L64" i="8"/>
  <c r="M64" i="8"/>
  <c r="N64" i="8"/>
  <c r="O64" i="8"/>
  <c r="P64" i="8"/>
  <c r="R64" i="8"/>
  <c r="S64" i="8"/>
  <c r="T64" i="8"/>
  <c r="U64" i="8"/>
  <c r="V64" i="8"/>
  <c r="X64" i="8"/>
  <c r="Y64" i="8"/>
  <c r="Z64" i="8"/>
  <c r="AA64" i="8"/>
  <c r="AB64" i="8"/>
  <c r="AD64" i="8"/>
  <c r="AE64" i="8"/>
  <c r="AF64" i="8"/>
  <c r="AG64" i="8"/>
  <c r="AH64" i="8"/>
  <c r="AJ64" i="8"/>
  <c r="AK64" i="8"/>
  <c r="AL64" i="8"/>
  <c r="AM64" i="8"/>
  <c r="AN64" i="8"/>
  <c r="AP64" i="8"/>
  <c r="AQ64" i="8"/>
  <c r="AR64" i="8"/>
  <c r="AS64" i="8"/>
  <c r="AT64" i="8"/>
  <c r="AV64" i="8"/>
  <c r="AW64" i="8"/>
  <c r="AX64" i="8"/>
  <c r="AY64" i="8"/>
  <c r="AZ64" i="8"/>
  <c r="BB64" i="8"/>
  <c r="BC64" i="8"/>
  <c r="BD64" i="8"/>
  <c r="BE64" i="8"/>
  <c r="BF64" i="8"/>
  <c r="BH64" i="8"/>
  <c r="BI64" i="8"/>
  <c r="BJ64" i="8"/>
  <c r="BK64" i="8"/>
  <c r="BL64" i="8"/>
  <c r="BN64" i="8"/>
  <c r="BO64" i="8"/>
  <c r="BP64" i="8"/>
  <c r="BQ64" i="8"/>
  <c r="BR64" i="8"/>
  <c r="BT64" i="8"/>
  <c r="BU64" i="8"/>
  <c r="BV64" i="8"/>
  <c r="BW64" i="8"/>
  <c r="BX64" i="8"/>
  <c r="BZ64" i="8"/>
  <c r="CA64" i="8"/>
  <c r="CB64" i="8"/>
  <c r="H65" i="8"/>
  <c r="I65" i="8"/>
  <c r="J65" i="8"/>
  <c r="L65" i="8"/>
  <c r="M65" i="8"/>
  <c r="N65" i="8"/>
  <c r="O65" i="8"/>
  <c r="P65" i="8"/>
  <c r="R65" i="8"/>
  <c r="S65" i="8"/>
  <c r="T65" i="8"/>
  <c r="U65" i="8"/>
  <c r="V65" i="8"/>
  <c r="X65" i="8"/>
  <c r="Y65" i="8"/>
  <c r="Z65" i="8"/>
  <c r="AA65" i="8"/>
  <c r="AB65" i="8"/>
  <c r="AD65" i="8"/>
  <c r="AE65" i="8"/>
  <c r="AF65" i="8"/>
  <c r="AG65" i="8"/>
  <c r="AH65" i="8"/>
  <c r="AJ65" i="8"/>
  <c r="AK65" i="8"/>
  <c r="AL65" i="8"/>
  <c r="AM65" i="8"/>
  <c r="AN65" i="8"/>
  <c r="AP65" i="8"/>
  <c r="AQ65" i="8"/>
  <c r="AR65" i="8"/>
  <c r="AS65" i="8"/>
  <c r="AT65" i="8"/>
  <c r="AV65" i="8"/>
  <c r="AW65" i="8"/>
  <c r="AX65" i="8"/>
  <c r="AY65" i="8"/>
  <c r="AZ65" i="8"/>
  <c r="BB65" i="8"/>
  <c r="BC65" i="8"/>
  <c r="BD65" i="8"/>
  <c r="BE65" i="8"/>
  <c r="BF65" i="8"/>
  <c r="BH65" i="8"/>
  <c r="BI65" i="8"/>
  <c r="BJ65" i="8"/>
  <c r="BK65" i="8"/>
  <c r="BL65" i="8"/>
  <c r="BN65" i="8"/>
  <c r="BO65" i="8"/>
  <c r="BP65" i="8"/>
  <c r="BQ65" i="8"/>
  <c r="BR65" i="8"/>
  <c r="BT65" i="8"/>
  <c r="BU65" i="8"/>
  <c r="BV65" i="8"/>
  <c r="BW65" i="8"/>
  <c r="BX65" i="8"/>
  <c r="BZ65" i="8"/>
  <c r="CA65" i="8"/>
  <c r="CB65" i="8"/>
  <c r="H66" i="8"/>
  <c r="I66" i="8"/>
  <c r="J66" i="8"/>
  <c r="L66" i="8"/>
  <c r="M66" i="8"/>
  <c r="N66" i="8"/>
  <c r="O66" i="8"/>
  <c r="P66" i="8"/>
  <c r="R66" i="8"/>
  <c r="S66" i="8"/>
  <c r="T66" i="8"/>
  <c r="U66" i="8"/>
  <c r="V66" i="8"/>
  <c r="X66" i="8"/>
  <c r="Y66" i="8"/>
  <c r="Z66" i="8"/>
  <c r="AA66" i="8"/>
  <c r="AB66" i="8"/>
  <c r="AD66" i="8"/>
  <c r="AE66" i="8"/>
  <c r="AF66" i="8"/>
  <c r="AG66" i="8"/>
  <c r="AH66" i="8"/>
  <c r="AJ66" i="8"/>
  <c r="AK66" i="8"/>
  <c r="AL66" i="8"/>
  <c r="AM66" i="8"/>
  <c r="AN66" i="8"/>
  <c r="AP66" i="8"/>
  <c r="AQ66" i="8"/>
  <c r="AR66" i="8"/>
  <c r="AS66" i="8"/>
  <c r="AT66" i="8"/>
  <c r="AV66" i="8"/>
  <c r="AW66" i="8"/>
  <c r="AX66" i="8"/>
  <c r="AY66" i="8"/>
  <c r="AZ66" i="8"/>
  <c r="BB66" i="8"/>
  <c r="BC66" i="8"/>
  <c r="BD66" i="8"/>
  <c r="BE66" i="8"/>
  <c r="BF66" i="8"/>
  <c r="BH66" i="8"/>
  <c r="BI66" i="8"/>
  <c r="BJ66" i="8"/>
  <c r="BK66" i="8"/>
  <c r="BL66" i="8"/>
  <c r="BN66" i="8"/>
  <c r="BO66" i="8"/>
  <c r="BP66" i="8"/>
  <c r="BQ66" i="8"/>
  <c r="BR66" i="8"/>
  <c r="BT66" i="8"/>
  <c r="BU66" i="8"/>
  <c r="BV66" i="8"/>
  <c r="BW66" i="8"/>
  <c r="BX66" i="8"/>
  <c r="BZ66" i="8"/>
  <c r="CA66" i="8"/>
  <c r="CB66" i="8"/>
  <c r="H67" i="8"/>
  <c r="I67" i="8"/>
  <c r="J67" i="8"/>
  <c r="L67" i="8"/>
  <c r="M67" i="8"/>
  <c r="N67" i="8"/>
  <c r="O67" i="8"/>
  <c r="P67" i="8"/>
  <c r="R67" i="8"/>
  <c r="S67" i="8"/>
  <c r="T67" i="8"/>
  <c r="U67" i="8"/>
  <c r="V67" i="8"/>
  <c r="X67" i="8"/>
  <c r="Y67" i="8"/>
  <c r="Z67" i="8"/>
  <c r="AA67" i="8"/>
  <c r="AB67" i="8"/>
  <c r="AD67" i="8"/>
  <c r="AE67" i="8"/>
  <c r="AF67" i="8"/>
  <c r="AG67" i="8"/>
  <c r="AH67" i="8"/>
  <c r="AJ67" i="8"/>
  <c r="AK67" i="8"/>
  <c r="AL67" i="8"/>
  <c r="AM67" i="8"/>
  <c r="AN67" i="8"/>
  <c r="AP67" i="8"/>
  <c r="AQ67" i="8"/>
  <c r="AR67" i="8"/>
  <c r="AS67" i="8"/>
  <c r="AT67" i="8"/>
  <c r="AV67" i="8"/>
  <c r="AW67" i="8"/>
  <c r="AX67" i="8"/>
  <c r="AY67" i="8"/>
  <c r="AZ67" i="8"/>
  <c r="BB67" i="8"/>
  <c r="BC67" i="8"/>
  <c r="BD67" i="8"/>
  <c r="BE67" i="8"/>
  <c r="BF67" i="8"/>
  <c r="BH67" i="8"/>
  <c r="BI67" i="8"/>
  <c r="BJ67" i="8"/>
  <c r="BK67" i="8"/>
  <c r="BL67" i="8"/>
  <c r="BN67" i="8"/>
  <c r="BO67" i="8"/>
  <c r="BP67" i="8"/>
  <c r="BQ67" i="8"/>
  <c r="BR67" i="8"/>
  <c r="BT67" i="8"/>
  <c r="BU67" i="8"/>
  <c r="BV67" i="8"/>
  <c r="BW67" i="8"/>
  <c r="BX67" i="8"/>
  <c r="BZ67" i="8"/>
  <c r="CA67" i="8"/>
  <c r="CB67" i="8"/>
  <c r="H68" i="8"/>
  <c r="I68" i="8"/>
  <c r="J68" i="8"/>
  <c r="L68" i="8"/>
  <c r="M68" i="8"/>
  <c r="N68" i="8"/>
  <c r="O68" i="8"/>
  <c r="P68" i="8"/>
  <c r="R68" i="8"/>
  <c r="S68" i="8"/>
  <c r="T68" i="8"/>
  <c r="U68" i="8"/>
  <c r="V68" i="8"/>
  <c r="X68" i="8"/>
  <c r="Y68" i="8"/>
  <c r="Z68" i="8"/>
  <c r="AA68" i="8"/>
  <c r="AB68" i="8"/>
  <c r="AD68" i="8"/>
  <c r="AE68" i="8"/>
  <c r="AF68" i="8"/>
  <c r="AG68" i="8"/>
  <c r="AH68" i="8"/>
  <c r="AJ68" i="8"/>
  <c r="AK68" i="8"/>
  <c r="AL68" i="8"/>
  <c r="AM68" i="8"/>
  <c r="AN68" i="8"/>
  <c r="AP68" i="8"/>
  <c r="AQ68" i="8"/>
  <c r="AR68" i="8"/>
  <c r="AS68" i="8"/>
  <c r="AT68" i="8"/>
  <c r="AV68" i="8"/>
  <c r="AW68" i="8"/>
  <c r="AX68" i="8"/>
  <c r="AY68" i="8"/>
  <c r="AZ68" i="8"/>
  <c r="BB68" i="8"/>
  <c r="BC68" i="8"/>
  <c r="BD68" i="8"/>
  <c r="BE68" i="8"/>
  <c r="BF68" i="8"/>
  <c r="BH68" i="8"/>
  <c r="BI68" i="8"/>
  <c r="BJ68" i="8"/>
  <c r="BK68" i="8"/>
  <c r="BL68" i="8"/>
  <c r="BN68" i="8"/>
  <c r="BO68" i="8"/>
  <c r="BP68" i="8"/>
  <c r="BQ68" i="8"/>
  <c r="BR68" i="8"/>
  <c r="BT68" i="8"/>
  <c r="BU68" i="8"/>
  <c r="BV68" i="8"/>
  <c r="BW68" i="8"/>
  <c r="BX68" i="8"/>
  <c r="BZ68" i="8"/>
  <c r="CA68" i="8"/>
  <c r="CB68" i="8"/>
  <c r="H69" i="8"/>
  <c r="I69" i="8"/>
  <c r="J69" i="8"/>
  <c r="L69" i="8"/>
  <c r="M69" i="8"/>
  <c r="N69" i="8"/>
  <c r="O69" i="8"/>
  <c r="P69" i="8"/>
  <c r="R69" i="8"/>
  <c r="S69" i="8"/>
  <c r="T69" i="8"/>
  <c r="U69" i="8"/>
  <c r="V69" i="8"/>
  <c r="X69" i="8"/>
  <c r="Y69" i="8"/>
  <c r="Z69" i="8"/>
  <c r="AA69" i="8"/>
  <c r="AB69" i="8"/>
  <c r="AD69" i="8"/>
  <c r="AE69" i="8"/>
  <c r="AF69" i="8"/>
  <c r="AG69" i="8"/>
  <c r="AH69" i="8"/>
  <c r="AJ69" i="8"/>
  <c r="AK69" i="8"/>
  <c r="AL69" i="8"/>
  <c r="AM69" i="8"/>
  <c r="AN69" i="8"/>
  <c r="AP69" i="8"/>
  <c r="AQ69" i="8"/>
  <c r="AR69" i="8"/>
  <c r="AS69" i="8"/>
  <c r="AT69" i="8"/>
  <c r="AV69" i="8"/>
  <c r="AW69" i="8"/>
  <c r="AX69" i="8"/>
  <c r="AY69" i="8"/>
  <c r="AZ69" i="8"/>
  <c r="BB69" i="8"/>
  <c r="BC69" i="8"/>
  <c r="BD69" i="8"/>
  <c r="BE69" i="8"/>
  <c r="BF69" i="8"/>
  <c r="BH69" i="8"/>
  <c r="BI69" i="8"/>
  <c r="BJ69" i="8"/>
  <c r="BK69" i="8"/>
  <c r="BL69" i="8"/>
  <c r="BN69" i="8"/>
  <c r="BO69" i="8"/>
  <c r="BP69" i="8"/>
  <c r="BQ69" i="8"/>
  <c r="BR69" i="8"/>
  <c r="BT69" i="8"/>
  <c r="BU69" i="8"/>
  <c r="BV69" i="8"/>
  <c r="BW69" i="8"/>
  <c r="BX69" i="8"/>
  <c r="BZ69" i="8"/>
  <c r="CA69" i="8"/>
  <c r="CB69" i="8"/>
  <c r="H70" i="8"/>
  <c r="I70" i="8"/>
  <c r="J70" i="8"/>
  <c r="L70" i="8"/>
  <c r="M70" i="8"/>
  <c r="N70" i="8"/>
  <c r="O70" i="8"/>
  <c r="P70" i="8"/>
  <c r="R70" i="8"/>
  <c r="S70" i="8"/>
  <c r="T70" i="8"/>
  <c r="U70" i="8"/>
  <c r="V70" i="8"/>
  <c r="X70" i="8"/>
  <c r="Y70" i="8"/>
  <c r="Z70" i="8"/>
  <c r="AA70" i="8"/>
  <c r="AB70" i="8"/>
  <c r="AD70" i="8"/>
  <c r="AE70" i="8"/>
  <c r="AF70" i="8"/>
  <c r="AG70" i="8"/>
  <c r="AH70" i="8"/>
  <c r="AJ70" i="8"/>
  <c r="AK70" i="8"/>
  <c r="AL70" i="8"/>
  <c r="AM70" i="8"/>
  <c r="AN70" i="8"/>
  <c r="AP70" i="8"/>
  <c r="AQ70" i="8"/>
  <c r="AR70" i="8"/>
  <c r="AS70" i="8"/>
  <c r="AT70" i="8"/>
  <c r="AV70" i="8"/>
  <c r="AW70" i="8"/>
  <c r="AX70" i="8"/>
  <c r="AY70" i="8"/>
  <c r="AZ70" i="8"/>
  <c r="BB70" i="8"/>
  <c r="BC70" i="8"/>
  <c r="BD70" i="8"/>
  <c r="BE70" i="8"/>
  <c r="BF70" i="8"/>
  <c r="BH70" i="8"/>
  <c r="BI70" i="8"/>
  <c r="BJ70" i="8"/>
  <c r="BK70" i="8"/>
  <c r="BL70" i="8"/>
  <c r="BN70" i="8"/>
  <c r="BO70" i="8"/>
  <c r="BP70" i="8"/>
  <c r="BQ70" i="8"/>
  <c r="BR70" i="8"/>
  <c r="BT70" i="8"/>
  <c r="BU70" i="8"/>
  <c r="BV70" i="8"/>
  <c r="BW70" i="8"/>
  <c r="BX70" i="8"/>
  <c r="BZ70" i="8"/>
  <c r="CA70" i="8"/>
  <c r="CB70" i="8"/>
  <c r="H71" i="8"/>
  <c r="I71" i="8"/>
  <c r="J71" i="8"/>
  <c r="L71" i="8"/>
  <c r="M71" i="8"/>
  <c r="N71" i="8"/>
  <c r="O71" i="8"/>
  <c r="P71" i="8"/>
  <c r="R71" i="8"/>
  <c r="S71" i="8"/>
  <c r="T71" i="8"/>
  <c r="U71" i="8"/>
  <c r="V71" i="8"/>
  <c r="X71" i="8"/>
  <c r="Y71" i="8"/>
  <c r="Z71" i="8"/>
  <c r="AA71" i="8"/>
  <c r="AB71" i="8"/>
  <c r="AD71" i="8"/>
  <c r="AE71" i="8"/>
  <c r="AF71" i="8"/>
  <c r="AG71" i="8"/>
  <c r="AH71" i="8"/>
  <c r="AJ71" i="8"/>
  <c r="AK71" i="8"/>
  <c r="AL71" i="8"/>
  <c r="AM71" i="8"/>
  <c r="AN71" i="8"/>
  <c r="AP71" i="8"/>
  <c r="AQ71" i="8"/>
  <c r="AR71" i="8"/>
  <c r="AS71" i="8"/>
  <c r="AT71" i="8"/>
  <c r="AV71" i="8"/>
  <c r="AW71" i="8"/>
  <c r="AX71" i="8"/>
  <c r="AY71" i="8"/>
  <c r="AZ71" i="8"/>
  <c r="BB71" i="8"/>
  <c r="BC71" i="8"/>
  <c r="BD71" i="8"/>
  <c r="BE71" i="8"/>
  <c r="BF71" i="8"/>
  <c r="BH71" i="8"/>
  <c r="BI71" i="8"/>
  <c r="BJ71" i="8"/>
  <c r="BK71" i="8"/>
  <c r="BL71" i="8"/>
  <c r="BN71" i="8"/>
  <c r="BO71" i="8"/>
  <c r="BP71" i="8"/>
  <c r="BQ71" i="8"/>
  <c r="BR71" i="8"/>
  <c r="BT71" i="8"/>
  <c r="BU71" i="8"/>
  <c r="BV71" i="8"/>
  <c r="BW71" i="8"/>
  <c r="BX71" i="8"/>
  <c r="BZ71" i="8"/>
  <c r="CA71" i="8"/>
  <c r="CB71" i="8"/>
  <c r="H72" i="8"/>
  <c r="I72" i="8"/>
  <c r="J72" i="8"/>
  <c r="L72" i="8"/>
  <c r="M72" i="8"/>
  <c r="N72" i="8"/>
  <c r="O72" i="8"/>
  <c r="P72" i="8"/>
  <c r="R72" i="8"/>
  <c r="S72" i="8"/>
  <c r="T72" i="8"/>
  <c r="U72" i="8"/>
  <c r="V72" i="8"/>
  <c r="X72" i="8"/>
  <c r="Y72" i="8"/>
  <c r="Z72" i="8"/>
  <c r="AA72" i="8"/>
  <c r="AB72" i="8"/>
  <c r="AD72" i="8"/>
  <c r="AE72" i="8"/>
  <c r="AF72" i="8"/>
  <c r="AG72" i="8"/>
  <c r="AH72" i="8"/>
  <c r="AJ72" i="8"/>
  <c r="AK72" i="8"/>
  <c r="AL72" i="8"/>
  <c r="AM72" i="8"/>
  <c r="AN72" i="8"/>
  <c r="AP72" i="8"/>
  <c r="AQ72" i="8"/>
  <c r="AR72" i="8"/>
  <c r="AS72" i="8"/>
  <c r="AT72" i="8"/>
  <c r="AV72" i="8"/>
  <c r="AW72" i="8"/>
  <c r="AX72" i="8"/>
  <c r="AY72" i="8"/>
  <c r="AZ72" i="8"/>
  <c r="BB72" i="8"/>
  <c r="BC72" i="8"/>
  <c r="BD72" i="8"/>
  <c r="BE72" i="8"/>
  <c r="BF72" i="8"/>
  <c r="BH72" i="8"/>
  <c r="BI72" i="8"/>
  <c r="BJ72" i="8"/>
  <c r="BK72" i="8"/>
  <c r="BL72" i="8"/>
  <c r="BN72" i="8"/>
  <c r="BO72" i="8"/>
  <c r="BP72" i="8"/>
  <c r="BQ72" i="8"/>
  <c r="BR72" i="8"/>
  <c r="BT72" i="8"/>
  <c r="BU72" i="8"/>
  <c r="BV72" i="8"/>
  <c r="BW72" i="8"/>
  <c r="BX72" i="8"/>
  <c r="BZ72" i="8"/>
  <c r="CA72" i="8"/>
  <c r="CB72" i="8"/>
  <c r="H73" i="8"/>
  <c r="I73" i="8"/>
  <c r="J73" i="8"/>
  <c r="L73" i="8"/>
  <c r="M73" i="8"/>
  <c r="N73" i="8"/>
  <c r="O73" i="8"/>
  <c r="P73" i="8"/>
  <c r="R73" i="8"/>
  <c r="S73" i="8"/>
  <c r="T73" i="8"/>
  <c r="U73" i="8"/>
  <c r="V73" i="8"/>
  <c r="X73" i="8"/>
  <c r="Y73" i="8"/>
  <c r="Z73" i="8"/>
  <c r="AA73" i="8"/>
  <c r="AB73" i="8"/>
  <c r="AD73" i="8"/>
  <c r="AE73" i="8"/>
  <c r="AF73" i="8"/>
  <c r="AG73" i="8"/>
  <c r="AH73" i="8"/>
  <c r="AJ73" i="8"/>
  <c r="AK73" i="8"/>
  <c r="AL73" i="8"/>
  <c r="AM73" i="8"/>
  <c r="AN73" i="8"/>
  <c r="AP73" i="8"/>
  <c r="AQ73" i="8"/>
  <c r="AR73" i="8"/>
  <c r="AS73" i="8"/>
  <c r="AT73" i="8"/>
  <c r="AV73" i="8"/>
  <c r="AW73" i="8"/>
  <c r="AX73" i="8"/>
  <c r="AY73" i="8"/>
  <c r="AZ73" i="8"/>
  <c r="BB73" i="8"/>
  <c r="BC73" i="8"/>
  <c r="BD73" i="8"/>
  <c r="BE73" i="8"/>
  <c r="BF73" i="8"/>
  <c r="BH73" i="8"/>
  <c r="BI73" i="8"/>
  <c r="BJ73" i="8"/>
  <c r="BK73" i="8"/>
  <c r="BL73" i="8"/>
  <c r="BN73" i="8"/>
  <c r="BO73" i="8"/>
  <c r="BP73" i="8"/>
  <c r="BQ73" i="8"/>
  <c r="BR73" i="8"/>
  <c r="BT73" i="8"/>
  <c r="BU73" i="8"/>
  <c r="BV73" i="8"/>
  <c r="BW73" i="8"/>
  <c r="BX73" i="8"/>
  <c r="BZ73" i="8"/>
  <c r="CA73" i="8"/>
  <c r="CB73" i="8"/>
  <c r="H74" i="8"/>
  <c r="I74" i="8"/>
  <c r="J74" i="8"/>
  <c r="L74" i="8"/>
  <c r="M74" i="8"/>
  <c r="N74" i="8"/>
  <c r="O74" i="8"/>
  <c r="P74" i="8"/>
  <c r="R74" i="8"/>
  <c r="S74" i="8"/>
  <c r="T74" i="8"/>
  <c r="U74" i="8"/>
  <c r="V74" i="8"/>
  <c r="X74" i="8"/>
  <c r="Y74" i="8"/>
  <c r="Z74" i="8"/>
  <c r="AA74" i="8"/>
  <c r="AB74" i="8"/>
  <c r="AD74" i="8"/>
  <c r="AE74" i="8"/>
  <c r="AF74" i="8"/>
  <c r="AG74" i="8"/>
  <c r="AH74" i="8"/>
  <c r="AJ74" i="8"/>
  <c r="AK74" i="8"/>
  <c r="AL74" i="8"/>
  <c r="AM74" i="8"/>
  <c r="AN74" i="8"/>
  <c r="AP74" i="8"/>
  <c r="AQ74" i="8"/>
  <c r="AR74" i="8"/>
  <c r="AS74" i="8"/>
  <c r="AT74" i="8"/>
  <c r="AV74" i="8"/>
  <c r="AW74" i="8"/>
  <c r="AX74" i="8"/>
  <c r="AY74" i="8"/>
  <c r="AZ74" i="8"/>
  <c r="BB74" i="8"/>
  <c r="BC74" i="8"/>
  <c r="BD74" i="8"/>
  <c r="BE74" i="8"/>
  <c r="BF74" i="8"/>
  <c r="BH74" i="8"/>
  <c r="BI74" i="8"/>
  <c r="BJ74" i="8"/>
  <c r="BK74" i="8"/>
  <c r="BL74" i="8"/>
  <c r="BN74" i="8"/>
  <c r="BO74" i="8"/>
  <c r="BP74" i="8"/>
  <c r="BQ74" i="8"/>
  <c r="BR74" i="8"/>
  <c r="BT74" i="8"/>
  <c r="BU74" i="8"/>
  <c r="BV74" i="8"/>
  <c r="BW74" i="8"/>
  <c r="BX74" i="8"/>
  <c r="BZ74" i="8"/>
  <c r="CA74" i="8"/>
  <c r="CB74" i="8"/>
  <c r="H75" i="8"/>
  <c r="I75" i="8"/>
  <c r="J75" i="8"/>
  <c r="L75" i="8"/>
  <c r="M75" i="8"/>
  <c r="N75" i="8"/>
  <c r="O75" i="8"/>
  <c r="P75" i="8"/>
  <c r="R75" i="8"/>
  <c r="S75" i="8"/>
  <c r="T75" i="8"/>
  <c r="U75" i="8"/>
  <c r="V75" i="8"/>
  <c r="X75" i="8"/>
  <c r="Y75" i="8"/>
  <c r="Z75" i="8"/>
  <c r="AA75" i="8"/>
  <c r="AB75" i="8"/>
  <c r="AD75" i="8"/>
  <c r="AE75" i="8"/>
  <c r="AF75" i="8"/>
  <c r="AG75" i="8"/>
  <c r="AH75" i="8"/>
  <c r="AJ75" i="8"/>
  <c r="AK75" i="8"/>
  <c r="AL75" i="8"/>
  <c r="AM75" i="8"/>
  <c r="AN75" i="8"/>
  <c r="AP75" i="8"/>
  <c r="AQ75" i="8"/>
  <c r="AR75" i="8"/>
  <c r="AS75" i="8"/>
  <c r="AT75" i="8"/>
  <c r="AV75" i="8"/>
  <c r="AW75" i="8"/>
  <c r="AX75" i="8"/>
  <c r="AY75" i="8"/>
  <c r="AZ75" i="8"/>
  <c r="BB75" i="8"/>
  <c r="BC75" i="8"/>
  <c r="BD75" i="8"/>
  <c r="BE75" i="8"/>
  <c r="BF75" i="8"/>
  <c r="BH75" i="8"/>
  <c r="BI75" i="8"/>
  <c r="BJ75" i="8"/>
  <c r="BK75" i="8"/>
  <c r="BL75" i="8"/>
  <c r="BN75" i="8"/>
  <c r="BO75" i="8"/>
  <c r="BP75" i="8"/>
  <c r="BQ75" i="8"/>
  <c r="BR75" i="8"/>
  <c r="BT75" i="8"/>
  <c r="BU75" i="8"/>
  <c r="BV75" i="8"/>
  <c r="BW75" i="8"/>
  <c r="BX75" i="8"/>
  <c r="BZ75" i="8"/>
  <c r="CA75" i="8"/>
  <c r="CB75" i="8"/>
  <c r="H76" i="8"/>
  <c r="I76" i="8"/>
  <c r="J76" i="8"/>
  <c r="L76" i="8"/>
  <c r="M76" i="8"/>
  <c r="N76" i="8"/>
  <c r="O76" i="8"/>
  <c r="P76" i="8"/>
  <c r="R76" i="8"/>
  <c r="S76" i="8"/>
  <c r="T76" i="8"/>
  <c r="U76" i="8"/>
  <c r="V76" i="8"/>
  <c r="X76" i="8"/>
  <c r="Y76" i="8"/>
  <c r="Z76" i="8"/>
  <c r="AA76" i="8"/>
  <c r="AB76" i="8"/>
  <c r="AD76" i="8"/>
  <c r="AE76" i="8"/>
  <c r="AF76" i="8"/>
  <c r="AG76" i="8"/>
  <c r="AH76" i="8"/>
  <c r="AJ76" i="8"/>
  <c r="AK76" i="8"/>
  <c r="AL76" i="8"/>
  <c r="AM76" i="8"/>
  <c r="AN76" i="8"/>
  <c r="AP76" i="8"/>
  <c r="AQ76" i="8"/>
  <c r="AR76" i="8"/>
  <c r="AS76" i="8"/>
  <c r="AT76" i="8"/>
  <c r="AV76" i="8"/>
  <c r="AW76" i="8"/>
  <c r="AX76" i="8"/>
  <c r="AY76" i="8"/>
  <c r="AZ76" i="8"/>
  <c r="BB76" i="8"/>
  <c r="BC76" i="8"/>
  <c r="BD76" i="8"/>
  <c r="BE76" i="8"/>
  <c r="BF76" i="8"/>
  <c r="BH76" i="8"/>
  <c r="BI76" i="8"/>
  <c r="BJ76" i="8"/>
  <c r="BK76" i="8"/>
  <c r="BL76" i="8"/>
  <c r="BN76" i="8"/>
  <c r="BO76" i="8"/>
  <c r="BP76" i="8"/>
  <c r="BQ76" i="8"/>
  <c r="BR76" i="8"/>
  <c r="BT76" i="8"/>
  <c r="BU76" i="8"/>
  <c r="BV76" i="8"/>
  <c r="BW76" i="8"/>
  <c r="BX76" i="8"/>
  <c r="BZ76" i="8"/>
  <c r="CA76" i="8"/>
  <c r="CB76" i="8"/>
  <c r="H77" i="8"/>
  <c r="I77" i="8"/>
  <c r="J77" i="8"/>
  <c r="L77" i="8"/>
  <c r="M77" i="8"/>
  <c r="N77" i="8"/>
  <c r="O77" i="8"/>
  <c r="P77" i="8"/>
  <c r="R77" i="8"/>
  <c r="S77" i="8"/>
  <c r="T77" i="8"/>
  <c r="U77" i="8"/>
  <c r="V77" i="8"/>
  <c r="X77" i="8"/>
  <c r="Y77" i="8"/>
  <c r="Z77" i="8"/>
  <c r="AA77" i="8"/>
  <c r="AB77" i="8"/>
  <c r="AD77" i="8"/>
  <c r="AE77" i="8"/>
  <c r="AF77" i="8"/>
  <c r="AG77" i="8"/>
  <c r="AH77" i="8"/>
  <c r="AJ77" i="8"/>
  <c r="AK77" i="8"/>
  <c r="AL77" i="8"/>
  <c r="AM77" i="8"/>
  <c r="AN77" i="8"/>
  <c r="AP77" i="8"/>
  <c r="AQ77" i="8"/>
  <c r="AR77" i="8"/>
  <c r="AS77" i="8"/>
  <c r="AT77" i="8"/>
  <c r="AV77" i="8"/>
  <c r="AW77" i="8"/>
  <c r="AX77" i="8"/>
  <c r="AY77" i="8"/>
  <c r="AZ77" i="8"/>
  <c r="BB77" i="8"/>
  <c r="BC77" i="8"/>
  <c r="BD77" i="8"/>
  <c r="BE77" i="8"/>
  <c r="BF77" i="8"/>
  <c r="BH77" i="8"/>
  <c r="BI77" i="8"/>
  <c r="BJ77" i="8"/>
  <c r="BK77" i="8"/>
  <c r="BL77" i="8"/>
  <c r="BN77" i="8"/>
  <c r="BO77" i="8"/>
  <c r="BP77" i="8"/>
  <c r="BQ77" i="8"/>
  <c r="BR77" i="8"/>
  <c r="BT77" i="8"/>
  <c r="BU77" i="8"/>
  <c r="BV77" i="8"/>
  <c r="BW77" i="8"/>
  <c r="BX77" i="8"/>
  <c r="BZ77" i="8"/>
  <c r="CA77" i="8"/>
  <c r="CB77" i="8"/>
  <c r="H78" i="8"/>
  <c r="I78" i="8"/>
  <c r="J78" i="8"/>
  <c r="L78" i="8"/>
  <c r="M78" i="8"/>
  <c r="N78" i="8"/>
  <c r="O78" i="8"/>
  <c r="P78" i="8"/>
  <c r="R78" i="8"/>
  <c r="S78" i="8"/>
  <c r="T78" i="8"/>
  <c r="U78" i="8"/>
  <c r="V78" i="8"/>
  <c r="X78" i="8"/>
  <c r="Y78" i="8"/>
  <c r="Z78" i="8"/>
  <c r="AA78" i="8"/>
  <c r="AB78" i="8"/>
  <c r="AD78" i="8"/>
  <c r="AE78" i="8"/>
  <c r="AF78" i="8"/>
  <c r="AG78" i="8"/>
  <c r="AH78" i="8"/>
  <c r="AJ78" i="8"/>
  <c r="AK78" i="8"/>
  <c r="AL78" i="8"/>
  <c r="AM78" i="8"/>
  <c r="AN78" i="8"/>
  <c r="AP78" i="8"/>
  <c r="AQ78" i="8"/>
  <c r="AR78" i="8"/>
  <c r="AS78" i="8"/>
  <c r="AT78" i="8"/>
  <c r="AV78" i="8"/>
  <c r="AW78" i="8"/>
  <c r="AX78" i="8"/>
  <c r="AY78" i="8"/>
  <c r="AZ78" i="8"/>
  <c r="BB78" i="8"/>
  <c r="BC78" i="8"/>
  <c r="BD78" i="8"/>
  <c r="BE78" i="8"/>
  <c r="BF78" i="8"/>
  <c r="BH78" i="8"/>
  <c r="BI78" i="8"/>
  <c r="BJ78" i="8"/>
  <c r="BK78" i="8"/>
  <c r="BL78" i="8"/>
  <c r="BN78" i="8"/>
  <c r="BO78" i="8"/>
  <c r="BP78" i="8"/>
  <c r="BQ78" i="8"/>
  <c r="BR78" i="8"/>
  <c r="BT78" i="8"/>
  <c r="BU78" i="8"/>
  <c r="BV78" i="8"/>
  <c r="BW78" i="8"/>
  <c r="BX78" i="8"/>
  <c r="BZ78" i="8"/>
  <c r="CA78" i="8"/>
  <c r="CB78" i="8"/>
  <c r="H79" i="8"/>
  <c r="I79" i="8"/>
  <c r="J79" i="8"/>
  <c r="L79" i="8"/>
  <c r="M79" i="8"/>
  <c r="N79" i="8"/>
  <c r="O79" i="8"/>
  <c r="P79" i="8"/>
  <c r="R79" i="8"/>
  <c r="S79" i="8"/>
  <c r="T79" i="8"/>
  <c r="U79" i="8"/>
  <c r="V79" i="8"/>
  <c r="X79" i="8"/>
  <c r="Y79" i="8"/>
  <c r="Z79" i="8"/>
  <c r="AA79" i="8"/>
  <c r="AB79" i="8"/>
  <c r="AD79" i="8"/>
  <c r="AE79" i="8"/>
  <c r="AF79" i="8"/>
  <c r="AG79" i="8"/>
  <c r="AH79" i="8"/>
  <c r="AJ79" i="8"/>
  <c r="AK79" i="8"/>
  <c r="AL79" i="8"/>
  <c r="AM79" i="8"/>
  <c r="AN79" i="8"/>
  <c r="AP79" i="8"/>
  <c r="AQ79" i="8"/>
  <c r="AR79" i="8"/>
  <c r="AS79" i="8"/>
  <c r="AT79" i="8"/>
  <c r="AV79" i="8"/>
  <c r="AW79" i="8"/>
  <c r="AX79" i="8"/>
  <c r="AY79" i="8"/>
  <c r="AZ79" i="8"/>
  <c r="BB79" i="8"/>
  <c r="BC79" i="8"/>
  <c r="BD79" i="8"/>
  <c r="BE79" i="8"/>
  <c r="BF79" i="8"/>
  <c r="BH79" i="8"/>
  <c r="BI79" i="8"/>
  <c r="BJ79" i="8"/>
  <c r="BK79" i="8"/>
  <c r="BL79" i="8"/>
  <c r="BN79" i="8"/>
  <c r="BO79" i="8"/>
  <c r="BP79" i="8"/>
  <c r="BQ79" i="8"/>
  <c r="BR79" i="8"/>
  <c r="BT79" i="8"/>
  <c r="BU79" i="8"/>
  <c r="BV79" i="8"/>
  <c r="BW79" i="8"/>
  <c r="BX79" i="8"/>
  <c r="BZ79" i="8"/>
  <c r="CA79" i="8"/>
  <c r="CB79" i="8"/>
  <c r="H80" i="8"/>
  <c r="I80" i="8"/>
  <c r="J80" i="8"/>
  <c r="L80" i="8"/>
  <c r="M80" i="8"/>
  <c r="N80" i="8"/>
  <c r="O80" i="8"/>
  <c r="P80" i="8"/>
  <c r="R80" i="8"/>
  <c r="S80" i="8"/>
  <c r="T80" i="8"/>
  <c r="U80" i="8"/>
  <c r="V80" i="8"/>
  <c r="X80" i="8"/>
  <c r="Y80" i="8"/>
  <c r="Z80" i="8"/>
  <c r="AA80" i="8"/>
  <c r="AB80" i="8"/>
  <c r="AD80" i="8"/>
  <c r="AE80" i="8"/>
  <c r="AF80" i="8"/>
  <c r="AG80" i="8"/>
  <c r="AH80" i="8"/>
  <c r="AJ80" i="8"/>
  <c r="AK80" i="8"/>
  <c r="AL80" i="8"/>
  <c r="AM80" i="8"/>
  <c r="AN80" i="8"/>
  <c r="AP80" i="8"/>
  <c r="AQ80" i="8"/>
  <c r="AR80" i="8"/>
  <c r="AS80" i="8"/>
  <c r="AT80" i="8"/>
  <c r="AV80" i="8"/>
  <c r="AW80" i="8"/>
  <c r="AX80" i="8"/>
  <c r="AY80" i="8"/>
  <c r="AZ80" i="8"/>
  <c r="BB80" i="8"/>
  <c r="BC80" i="8"/>
  <c r="BD80" i="8"/>
  <c r="BE80" i="8"/>
  <c r="BF80" i="8"/>
  <c r="BH80" i="8"/>
  <c r="BI80" i="8"/>
  <c r="BJ80" i="8"/>
  <c r="BK80" i="8"/>
  <c r="BL80" i="8"/>
  <c r="BN80" i="8"/>
  <c r="BO80" i="8"/>
  <c r="BP80" i="8"/>
  <c r="BQ80" i="8"/>
  <c r="BR80" i="8"/>
  <c r="BT80" i="8"/>
  <c r="BU80" i="8"/>
  <c r="BV80" i="8"/>
  <c r="BW80" i="8"/>
  <c r="BX80" i="8"/>
  <c r="BZ80" i="8"/>
  <c r="CA80" i="8"/>
  <c r="CB80" i="8"/>
  <c r="H81" i="8"/>
  <c r="I81" i="8"/>
  <c r="J81" i="8"/>
  <c r="L81" i="8"/>
  <c r="M81" i="8"/>
  <c r="N81" i="8"/>
  <c r="O81" i="8"/>
  <c r="P81" i="8"/>
  <c r="R81" i="8"/>
  <c r="S81" i="8"/>
  <c r="T81" i="8"/>
  <c r="U81" i="8"/>
  <c r="V81" i="8"/>
  <c r="X81" i="8"/>
  <c r="Y81" i="8"/>
  <c r="Z81" i="8"/>
  <c r="AA81" i="8"/>
  <c r="AB81" i="8"/>
  <c r="AD81" i="8"/>
  <c r="AE81" i="8"/>
  <c r="AF81" i="8"/>
  <c r="AG81" i="8"/>
  <c r="AH81" i="8"/>
  <c r="AJ81" i="8"/>
  <c r="AK81" i="8"/>
  <c r="AL81" i="8"/>
  <c r="AM81" i="8"/>
  <c r="AN81" i="8"/>
  <c r="AP81" i="8"/>
  <c r="AQ81" i="8"/>
  <c r="AR81" i="8"/>
  <c r="AS81" i="8"/>
  <c r="AT81" i="8"/>
  <c r="AV81" i="8"/>
  <c r="AW81" i="8"/>
  <c r="AX81" i="8"/>
  <c r="AY81" i="8"/>
  <c r="AZ81" i="8"/>
  <c r="BB81" i="8"/>
  <c r="BC81" i="8"/>
  <c r="BD81" i="8"/>
  <c r="BE81" i="8"/>
  <c r="BF81" i="8"/>
  <c r="BH81" i="8"/>
  <c r="BI81" i="8"/>
  <c r="BJ81" i="8"/>
  <c r="BK81" i="8"/>
  <c r="BL81" i="8"/>
  <c r="BN81" i="8"/>
  <c r="BO81" i="8"/>
  <c r="BP81" i="8"/>
  <c r="BQ81" i="8"/>
  <c r="BR81" i="8"/>
  <c r="BT81" i="8"/>
  <c r="BU81" i="8"/>
  <c r="BV81" i="8"/>
  <c r="BW81" i="8"/>
  <c r="BX81" i="8"/>
  <c r="BZ81" i="8"/>
  <c r="CA81" i="8"/>
  <c r="CB81" i="8"/>
  <c r="H82" i="8"/>
  <c r="I82" i="8"/>
  <c r="J82" i="8"/>
  <c r="L82" i="8"/>
  <c r="M82" i="8"/>
  <c r="N82" i="8"/>
  <c r="O82" i="8"/>
  <c r="P82" i="8"/>
  <c r="R82" i="8"/>
  <c r="S82" i="8"/>
  <c r="T82" i="8"/>
  <c r="U82" i="8"/>
  <c r="V82" i="8"/>
  <c r="X82" i="8"/>
  <c r="Y82" i="8"/>
  <c r="Z82" i="8"/>
  <c r="AA82" i="8"/>
  <c r="AB82" i="8"/>
  <c r="AD82" i="8"/>
  <c r="AE82" i="8"/>
  <c r="AF82" i="8"/>
  <c r="AG82" i="8"/>
  <c r="AH82" i="8"/>
  <c r="AJ82" i="8"/>
  <c r="AK82" i="8"/>
  <c r="AL82" i="8"/>
  <c r="AM82" i="8"/>
  <c r="AN82" i="8"/>
  <c r="AP82" i="8"/>
  <c r="AQ82" i="8"/>
  <c r="AR82" i="8"/>
  <c r="AS82" i="8"/>
  <c r="AT82" i="8"/>
  <c r="AV82" i="8"/>
  <c r="AW82" i="8"/>
  <c r="AX82" i="8"/>
  <c r="AY82" i="8"/>
  <c r="AZ82" i="8"/>
  <c r="BB82" i="8"/>
  <c r="BC82" i="8"/>
  <c r="BD82" i="8"/>
  <c r="BE82" i="8"/>
  <c r="BF82" i="8"/>
  <c r="BH82" i="8"/>
  <c r="BI82" i="8"/>
  <c r="BJ82" i="8"/>
  <c r="BK82" i="8"/>
  <c r="BL82" i="8"/>
  <c r="BN82" i="8"/>
  <c r="BO82" i="8"/>
  <c r="BP82" i="8"/>
  <c r="BQ82" i="8"/>
  <c r="BR82" i="8"/>
  <c r="BT82" i="8"/>
  <c r="BU82" i="8"/>
  <c r="BV82" i="8"/>
  <c r="BW82" i="8"/>
  <c r="BX82" i="8"/>
  <c r="BZ82" i="8"/>
  <c r="CA82" i="8"/>
  <c r="CB82" i="8"/>
  <c r="H83" i="8"/>
  <c r="I83" i="8"/>
  <c r="J83" i="8"/>
  <c r="L83" i="8"/>
  <c r="M83" i="8"/>
  <c r="N83" i="8"/>
  <c r="O83" i="8"/>
  <c r="P83" i="8"/>
  <c r="R83" i="8"/>
  <c r="S83" i="8"/>
  <c r="T83" i="8"/>
  <c r="U83" i="8"/>
  <c r="V83" i="8"/>
  <c r="X83" i="8"/>
  <c r="Y83" i="8"/>
  <c r="Z83" i="8"/>
  <c r="AA83" i="8"/>
  <c r="AB83" i="8"/>
  <c r="AD83" i="8"/>
  <c r="AE83" i="8"/>
  <c r="AF83" i="8"/>
  <c r="AG83" i="8"/>
  <c r="AH83" i="8"/>
  <c r="AJ83" i="8"/>
  <c r="AK83" i="8"/>
  <c r="AL83" i="8"/>
  <c r="AM83" i="8"/>
  <c r="AN83" i="8"/>
  <c r="AP83" i="8"/>
  <c r="AQ83" i="8"/>
  <c r="AR83" i="8"/>
  <c r="AS83" i="8"/>
  <c r="AT83" i="8"/>
  <c r="AV83" i="8"/>
  <c r="AW83" i="8"/>
  <c r="AX83" i="8"/>
  <c r="AY83" i="8"/>
  <c r="AZ83" i="8"/>
  <c r="BB83" i="8"/>
  <c r="BC83" i="8"/>
  <c r="BD83" i="8"/>
  <c r="BE83" i="8"/>
  <c r="BF83" i="8"/>
  <c r="BH83" i="8"/>
  <c r="BI83" i="8"/>
  <c r="BJ83" i="8"/>
  <c r="BK83" i="8"/>
  <c r="BL83" i="8"/>
  <c r="BN83" i="8"/>
  <c r="BO83" i="8"/>
  <c r="BP83" i="8"/>
  <c r="BQ83" i="8"/>
  <c r="BR83" i="8"/>
  <c r="BT83" i="8"/>
  <c r="BU83" i="8"/>
  <c r="BV83" i="8"/>
  <c r="BW83" i="8"/>
  <c r="BX83" i="8"/>
  <c r="BZ83" i="8"/>
  <c r="CA83" i="8"/>
  <c r="CB83" i="8"/>
  <c r="H84" i="8"/>
  <c r="V84" i="8"/>
  <c r="X84" i="8"/>
  <c r="Y84" i="8"/>
  <c r="Z84" i="8"/>
  <c r="AA84" i="8"/>
  <c r="AB84" i="8"/>
  <c r="AD84" i="8"/>
  <c r="AE84" i="8"/>
  <c r="AF84" i="8"/>
  <c r="AG84" i="8"/>
  <c r="AH84" i="8"/>
  <c r="AJ84" i="8"/>
  <c r="AK84" i="8"/>
  <c r="AL84" i="8"/>
  <c r="AM84" i="8"/>
  <c r="AN84" i="8"/>
  <c r="AP84" i="8"/>
  <c r="AQ84" i="8"/>
  <c r="AR84" i="8"/>
  <c r="AS84" i="8"/>
  <c r="AT84" i="8"/>
  <c r="AV84" i="8"/>
  <c r="AW84" i="8"/>
  <c r="AX84" i="8"/>
  <c r="AY84" i="8"/>
  <c r="AZ84" i="8"/>
  <c r="BB84" i="8"/>
  <c r="BC84" i="8"/>
  <c r="BD84" i="8"/>
  <c r="BE84" i="8"/>
  <c r="BF84" i="8"/>
  <c r="BH84" i="8"/>
  <c r="BI84" i="8"/>
  <c r="BJ84" i="8"/>
  <c r="BK84" i="8"/>
  <c r="BL84" i="8"/>
  <c r="BN84" i="8"/>
  <c r="BO84" i="8"/>
  <c r="BP84" i="8"/>
  <c r="BQ84" i="8"/>
  <c r="BR84" i="8"/>
  <c r="BT84" i="8"/>
  <c r="BU84" i="8"/>
  <c r="BV84" i="8"/>
  <c r="BW84" i="8"/>
  <c r="BX84" i="8"/>
  <c r="BZ84" i="8"/>
  <c r="CA84" i="8"/>
  <c r="CB84" i="8"/>
  <c r="H85" i="8"/>
  <c r="I85" i="8"/>
  <c r="J85" i="8"/>
  <c r="L85" i="8"/>
  <c r="M85" i="8"/>
  <c r="N85" i="8"/>
  <c r="O85" i="8"/>
  <c r="P85" i="8"/>
  <c r="R85" i="8"/>
  <c r="S85" i="8"/>
  <c r="T85" i="8"/>
  <c r="U85" i="8"/>
  <c r="V85" i="8"/>
  <c r="X85" i="8"/>
  <c r="Y85" i="8"/>
  <c r="Z85" i="8"/>
  <c r="AA85" i="8"/>
  <c r="AB85" i="8"/>
  <c r="AD85" i="8"/>
  <c r="AE85" i="8"/>
  <c r="AF85" i="8"/>
  <c r="AG85" i="8"/>
  <c r="AH85" i="8"/>
  <c r="AJ85" i="8"/>
  <c r="AK85" i="8"/>
  <c r="AL85" i="8"/>
  <c r="AM85" i="8"/>
  <c r="AN85" i="8"/>
  <c r="AP85" i="8"/>
  <c r="AQ85" i="8"/>
  <c r="AR85" i="8"/>
  <c r="AS85" i="8"/>
  <c r="AT85" i="8"/>
  <c r="AV85" i="8"/>
  <c r="AW85" i="8"/>
  <c r="AX85" i="8"/>
  <c r="AY85" i="8"/>
  <c r="AZ85" i="8"/>
  <c r="BB85" i="8"/>
  <c r="BC85" i="8"/>
  <c r="BD85" i="8"/>
  <c r="BE85" i="8"/>
  <c r="BF85" i="8"/>
  <c r="BH85" i="8"/>
  <c r="BI85" i="8"/>
  <c r="BJ85" i="8"/>
  <c r="BK85" i="8"/>
  <c r="BL85" i="8"/>
  <c r="BN85" i="8"/>
  <c r="BO85" i="8"/>
  <c r="BP85" i="8"/>
  <c r="BQ85" i="8"/>
  <c r="BR85" i="8"/>
  <c r="BT85" i="8"/>
  <c r="BU85" i="8"/>
  <c r="BV85" i="8"/>
  <c r="BW85" i="8"/>
  <c r="BX85" i="8"/>
  <c r="BZ85" i="8"/>
  <c r="CA85" i="8"/>
  <c r="CB85" i="8"/>
  <c r="H86" i="8"/>
  <c r="I86" i="8"/>
  <c r="J86" i="8"/>
  <c r="L86" i="8"/>
  <c r="M86" i="8"/>
  <c r="N86" i="8"/>
  <c r="O86" i="8"/>
  <c r="P86" i="8"/>
  <c r="R86" i="8"/>
  <c r="S86" i="8"/>
  <c r="T86" i="8"/>
  <c r="U86" i="8"/>
  <c r="V86" i="8"/>
  <c r="X86" i="8"/>
  <c r="Y86" i="8"/>
  <c r="Z86" i="8"/>
  <c r="AA86" i="8"/>
  <c r="AB86" i="8"/>
  <c r="AD86" i="8"/>
  <c r="AE86" i="8"/>
  <c r="AF86" i="8"/>
  <c r="AG86" i="8"/>
  <c r="AH86" i="8"/>
  <c r="AJ86" i="8"/>
  <c r="AK86" i="8"/>
  <c r="AL86" i="8"/>
  <c r="AM86" i="8"/>
  <c r="AN86" i="8"/>
  <c r="AP86" i="8"/>
  <c r="AQ86" i="8"/>
  <c r="AR86" i="8"/>
  <c r="AS86" i="8"/>
  <c r="AT86" i="8"/>
  <c r="AV86" i="8"/>
  <c r="AW86" i="8"/>
  <c r="AX86" i="8"/>
  <c r="AY86" i="8"/>
  <c r="AZ86" i="8"/>
  <c r="BB86" i="8"/>
  <c r="BC86" i="8"/>
  <c r="BD86" i="8"/>
  <c r="BE86" i="8"/>
  <c r="BF86" i="8"/>
  <c r="BH86" i="8"/>
  <c r="BI86" i="8"/>
  <c r="BJ86" i="8"/>
  <c r="BK86" i="8"/>
  <c r="BL86" i="8"/>
  <c r="BN86" i="8"/>
  <c r="BO86" i="8"/>
  <c r="BP86" i="8"/>
  <c r="BQ86" i="8"/>
  <c r="BR86" i="8"/>
  <c r="BT86" i="8"/>
  <c r="BU86" i="8"/>
  <c r="BV86" i="8"/>
  <c r="BW86" i="8"/>
  <c r="BX86" i="8"/>
  <c r="BZ86" i="8"/>
  <c r="CA86" i="8"/>
  <c r="CB86" i="8"/>
  <c r="H87" i="8"/>
  <c r="I87" i="8"/>
  <c r="J87" i="8"/>
  <c r="L87" i="8"/>
  <c r="M87" i="8"/>
  <c r="N87" i="8"/>
  <c r="O87" i="8"/>
  <c r="P87" i="8"/>
  <c r="R87" i="8"/>
  <c r="S87" i="8"/>
  <c r="T87" i="8"/>
  <c r="U87" i="8"/>
  <c r="V87" i="8"/>
  <c r="X87" i="8"/>
  <c r="Y87" i="8"/>
  <c r="Z87" i="8"/>
  <c r="AA87" i="8"/>
  <c r="AB87" i="8"/>
  <c r="AD87" i="8"/>
  <c r="AE87" i="8"/>
  <c r="AF87" i="8"/>
  <c r="AG87" i="8"/>
  <c r="AH87" i="8"/>
  <c r="AJ87" i="8"/>
  <c r="AK87" i="8"/>
  <c r="AL87" i="8"/>
  <c r="AM87" i="8"/>
  <c r="AN87" i="8"/>
  <c r="AP87" i="8"/>
  <c r="AQ87" i="8"/>
  <c r="AR87" i="8"/>
  <c r="AS87" i="8"/>
  <c r="AT87" i="8"/>
  <c r="AV87" i="8"/>
  <c r="AW87" i="8"/>
  <c r="AX87" i="8"/>
  <c r="AY87" i="8"/>
  <c r="AZ87" i="8"/>
  <c r="BB87" i="8"/>
  <c r="BC87" i="8"/>
  <c r="BD87" i="8"/>
  <c r="BE87" i="8"/>
  <c r="BF87" i="8"/>
  <c r="BH87" i="8"/>
  <c r="BI87" i="8"/>
  <c r="BJ87" i="8"/>
  <c r="BK87" i="8"/>
  <c r="BL87" i="8"/>
  <c r="BN87" i="8"/>
  <c r="BO87" i="8"/>
  <c r="BP87" i="8"/>
  <c r="BQ87" i="8"/>
  <c r="BR87" i="8"/>
  <c r="BT87" i="8"/>
  <c r="BU87" i="8"/>
  <c r="BV87" i="8"/>
  <c r="BW87" i="8"/>
  <c r="BX87" i="8"/>
  <c r="BZ87" i="8"/>
  <c r="CA87" i="8"/>
  <c r="CB87" i="8"/>
  <c r="H88" i="8"/>
  <c r="L88" i="8"/>
  <c r="M88" i="8"/>
  <c r="N88" i="8"/>
  <c r="O88" i="8"/>
  <c r="P88" i="8"/>
  <c r="R88" i="8"/>
  <c r="S88" i="8"/>
  <c r="T88" i="8"/>
  <c r="U88" i="8"/>
  <c r="V88" i="8"/>
  <c r="X88" i="8"/>
  <c r="Y88" i="8"/>
  <c r="Z88" i="8"/>
  <c r="AA88" i="8"/>
  <c r="AB88" i="8"/>
  <c r="AD88" i="8"/>
  <c r="AE88" i="8"/>
  <c r="AF88" i="8"/>
  <c r="AG88" i="8"/>
  <c r="AH88" i="8"/>
  <c r="AJ88" i="8"/>
  <c r="AK88" i="8"/>
  <c r="AL88" i="8"/>
  <c r="AM88" i="8"/>
  <c r="AN88" i="8"/>
  <c r="AP88" i="8"/>
  <c r="AQ88" i="8"/>
  <c r="AR88" i="8"/>
  <c r="AS88" i="8"/>
  <c r="AT88" i="8"/>
  <c r="AV88" i="8"/>
  <c r="AW88" i="8"/>
  <c r="AX88" i="8"/>
  <c r="AY88" i="8"/>
  <c r="AZ88" i="8"/>
  <c r="BB88" i="8"/>
  <c r="BC88" i="8"/>
  <c r="BD88" i="8"/>
  <c r="BE88" i="8"/>
  <c r="BF88" i="8"/>
  <c r="BH88" i="8"/>
  <c r="BI88" i="8"/>
  <c r="BJ88" i="8"/>
  <c r="BK88" i="8"/>
  <c r="BL88" i="8"/>
  <c r="BN88" i="8"/>
  <c r="BO88" i="8"/>
  <c r="BP88" i="8"/>
  <c r="BQ88" i="8"/>
  <c r="BR88" i="8"/>
  <c r="BT88" i="8"/>
  <c r="BU88" i="8"/>
  <c r="BV88" i="8"/>
  <c r="BW88" i="8"/>
  <c r="BX88" i="8"/>
  <c r="BZ88" i="8"/>
  <c r="CA88" i="8"/>
  <c r="CB88" i="8"/>
  <c r="H89" i="8"/>
  <c r="O89" i="8"/>
  <c r="P89" i="8"/>
  <c r="R89" i="8"/>
  <c r="S89" i="8"/>
  <c r="T89" i="8"/>
  <c r="U89" i="8"/>
  <c r="V89" i="8"/>
  <c r="X89" i="8"/>
  <c r="Y89" i="8"/>
  <c r="Z89" i="8"/>
  <c r="AA89" i="8"/>
  <c r="AB89" i="8"/>
  <c r="AD89" i="8"/>
  <c r="AE89" i="8"/>
  <c r="AF89" i="8"/>
  <c r="AG89" i="8"/>
  <c r="AH89" i="8"/>
  <c r="AJ89" i="8"/>
  <c r="AK89" i="8"/>
  <c r="AL89" i="8"/>
  <c r="AM89" i="8"/>
  <c r="AN89" i="8"/>
  <c r="AP89" i="8"/>
  <c r="AQ89" i="8"/>
  <c r="AR89" i="8"/>
  <c r="AS89" i="8"/>
  <c r="AT89" i="8"/>
  <c r="AV89" i="8"/>
  <c r="AW89" i="8"/>
  <c r="AX89" i="8"/>
  <c r="AY89" i="8"/>
  <c r="AZ89" i="8"/>
  <c r="BB89" i="8"/>
  <c r="BC89" i="8"/>
  <c r="BD89" i="8"/>
  <c r="BE89" i="8"/>
  <c r="BF89" i="8"/>
  <c r="BH89" i="8"/>
  <c r="BI89" i="8"/>
  <c r="BJ89" i="8"/>
  <c r="BK89" i="8"/>
  <c r="BL89" i="8"/>
  <c r="BN89" i="8"/>
  <c r="BO89" i="8"/>
  <c r="BP89" i="8"/>
  <c r="BQ89" i="8"/>
  <c r="BR89" i="8"/>
  <c r="BT89" i="8"/>
  <c r="BU89" i="8"/>
  <c r="BV89" i="8"/>
  <c r="BW89" i="8"/>
  <c r="BX89" i="8"/>
  <c r="BZ89" i="8"/>
  <c r="CA89" i="8"/>
  <c r="CB89" i="8"/>
  <c r="H90" i="8"/>
  <c r="I90" i="8"/>
  <c r="J90" i="8"/>
  <c r="L90" i="8"/>
  <c r="M90" i="8"/>
  <c r="N90" i="8"/>
  <c r="O90" i="8"/>
  <c r="P90" i="8"/>
  <c r="R90" i="8"/>
  <c r="S90" i="8"/>
  <c r="T90" i="8"/>
  <c r="U90" i="8"/>
  <c r="V90" i="8"/>
  <c r="X90" i="8"/>
  <c r="Y90" i="8"/>
  <c r="Z90" i="8"/>
  <c r="AA90" i="8"/>
  <c r="AB90" i="8"/>
  <c r="AD90" i="8"/>
  <c r="AE90" i="8"/>
  <c r="AF90" i="8"/>
  <c r="AG90" i="8"/>
  <c r="AH90" i="8"/>
  <c r="AJ90" i="8"/>
  <c r="AK90" i="8"/>
  <c r="AL90" i="8"/>
  <c r="AM90" i="8"/>
  <c r="AN90" i="8"/>
  <c r="AP90" i="8"/>
  <c r="AQ90" i="8"/>
  <c r="AR90" i="8"/>
  <c r="AS90" i="8"/>
  <c r="AT90" i="8"/>
  <c r="AV90" i="8"/>
  <c r="AW90" i="8"/>
  <c r="AX90" i="8"/>
  <c r="AY90" i="8"/>
  <c r="AZ90" i="8"/>
  <c r="BB90" i="8"/>
  <c r="BC90" i="8"/>
  <c r="BD90" i="8"/>
  <c r="BE90" i="8"/>
  <c r="BF90" i="8"/>
  <c r="BH90" i="8"/>
  <c r="BI90" i="8"/>
  <c r="BJ90" i="8"/>
  <c r="BK90" i="8"/>
  <c r="BL90" i="8"/>
  <c r="BN90" i="8"/>
  <c r="BO90" i="8"/>
  <c r="BP90" i="8"/>
  <c r="BQ90" i="8"/>
  <c r="BR90" i="8"/>
  <c r="BT90" i="8"/>
  <c r="BU90" i="8"/>
  <c r="BV90" i="8"/>
  <c r="BW90" i="8"/>
  <c r="BX90" i="8"/>
  <c r="BZ90" i="8"/>
  <c r="CA90" i="8"/>
  <c r="CB90" i="8"/>
  <c r="H91" i="8"/>
  <c r="I91" i="8"/>
  <c r="J91" i="8"/>
  <c r="L91" i="8"/>
  <c r="M91" i="8"/>
  <c r="N91" i="8"/>
  <c r="O91" i="8"/>
  <c r="P91" i="8"/>
  <c r="R91" i="8"/>
  <c r="S91" i="8"/>
  <c r="T91" i="8"/>
  <c r="U91" i="8"/>
  <c r="V91" i="8"/>
  <c r="X91" i="8"/>
  <c r="Y91" i="8"/>
  <c r="Z91" i="8"/>
  <c r="AA91" i="8"/>
  <c r="AB91" i="8"/>
  <c r="AD91" i="8"/>
  <c r="AE91" i="8"/>
  <c r="AF91" i="8"/>
  <c r="AG91" i="8"/>
  <c r="AH91" i="8"/>
  <c r="AJ91" i="8"/>
  <c r="AK91" i="8"/>
  <c r="AL91" i="8"/>
  <c r="AM91" i="8"/>
  <c r="AN91" i="8"/>
  <c r="AP91" i="8"/>
  <c r="AQ91" i="8"/>
  <c r="AR91" i="8"/>
  <c r="AS91" i="8"/>
  <c r="AT91" i="8"/>
  <c r="AV91" i="8"/>
  <c r="AW91" i="8"/>
  <c r="AX91" i="8"/>
  <c r="AY91" i="8"/>
  <c r="AZ91" i="8"/>
  <c r="BB91" i="8"/>
  <c r="BC91" i="8"/>
  <c r="BD91" i="8"/>
  <c r="BE91" i="8"/>
  <c r="BF91" i="8"/>
  <c r="BH91" i="8"/>
  <c r="BI91" i="8"/>
  <c r="BJ91" i="8"/>
  <c r="BK91" i="8"/>
  <c r="BL91" i="8"/>
  <c r="BN91" i="8"/>
  <c r="BO91" i="8"/>
  <c r="BP91" i="8"/>
  <c r="BQ91" i="8"/>
  <c r="BR91" i="8"/>
  <c r="BT91" i="8"/>
  <c r="BU91" i="8"/>
  <c r="BV91" i="8"/>
  <c r="BW91" i="8"/>
  <c r="BX91" i="8"/>
  <c r="BZ91" i="8"/>
  <c r="CA91" i="8"/>
  <c r="CB91" i="8"/>
  <c r="H92" i="8"/>
  <c r="I92" i="8"/>
  <c r="J92" i="8"/>
  <c r="L92" i="8"/>
  <c r="M92" i="8"/>
  <c r="N92" i="8"/>
  <c r="O92" i="8"/>
  <c r="P92" i="8"/>
  <c r="R92" i="8"/>
  <c r="S92" i="8"/>
  <c r="T92" i="8"/>
  <c r="U92" i="8"/>
  <c r="V92" i="8"/>
  <c r="X92" i="8"/>
  <c r="Y92" i="8"/>
  <c r="Z92" i="8"/>
  <c r="AA92" i="8"/>
  <c r="AB92" i="8"/>
  <c r="AD92" i="8"/>
  <c r="AE92" i="8"/>
  <c r="AF92" i="8"/>
  <c r="AG92" i="8"/>
  <c r="AH92" i="8"/>
  <c r="AJ92" i="8"/>
  <c r="AK92" i="8"/>
  <c r="AL92" i="8"/>
  <c r="AM92" i="8"/>
  <c r="AN92" i="8"/>
  <c r="AP92" i="8"/>
  <c r="AQ92" i="8"/>
  <c r="AR92" i="8"/>
  <c r="AS92" i="8"/>
  <c r="AT92" i="8"/>
  <c r="AV92" i="8"/>
  <c r="AW92" i="8"/>
  <c r="AX92" i="8"/>
  <c r="AY92" i="8"/>
  <c r="AZ92" i="8"/>
  <c r="BB92" i="8"/>
  <c r="BC92" i="8"/>
  <c r="BD92" i="8"/>
  <c r="BE92" i="8"/>
  <c r="BF92" i="8"/>
  <c r="BH92" i="8"/>
  <c r="BI92" i="8"/>
  <c r="BJ92" i="8"/>
  <c r="BK92" i="8"/>
  <c r="BL92" i="8"/>
  <c r="BN92" i="8"/>
  <c r="BO92" i="8"/>
  <c r="BP92" i="8"/>
  <c r="BQ92" i="8"/>
  <c r="BR92" i="8"/>
  <c r="BT92" i="8"/>
  <c r="BU92" i="8"/>
  <c r="BV92" i="8"/>
  <c r="BW92" i="8"/>
  <c r="BX92" i="8"/>
  <c r="BZ92" i="8"/>
  <c r="CA92" i="8"/>
  <c r="CB92" i="8"/>
  <c r="H93" i="8"/>
  <c r="I93" i="8"/>
  <c r="J93" i="8"/>
  <c r="L93" i="8"/>
  <c r="M93" i="8"/>
  <c r="N93" i="8"/>
  <c r="O93" i="8"/>
  <c r="P93" i="8"/>
  <c r="R93" i="8"/>
  <c r="S93" i="8"/>
  <c r="T93" i="8"/>
  <c r="U93" i="8"/>
  <c r="V93" i="8"/>
  <c r="X93" i="8"/>
  <c r="Y93" i="8"/>
  <c r="Z93" i="8"/>
  <c r="AA93" i="8"/>
  <c r="AB93" i="8"/>
  <c r="AD93" i="8"/>
  <c r="AE93" i="8"/>
  <c r="AF93" i="8"/>
  <c r="AG93" i="8"/>
  <c r="AH93" i="8"/>
  <c r="AJ93" i="8"/>
  <c r="AK93" i="8"/>
  <c r="AL93" i="8"/>
  <c r="AM93" i="8"/>
  <c r="AN93" i="8"/>
  <c r="AP93" i="8"/>
  <c r="AQ93" i="8"/>
  <c r="AR93" i="8"/>
  <c r="AS93" i="8"/>
  <c r="AT93" i="8"/>
  <c r="AV93" i="8"/>
  <c r="AW93" i="8"/>
  <c r="AX93" i="8"/>
  <c r="AY93" i="8"/>
  <c r="AZ93" i="8"/>
  <c r="BB93" i="8"/>
  <c r="BC93" i="8"/>
  <c r="BD93" i="8"/>
  <c r="BE93" i="8"/>
  <c r="BF93" i="8"/>
  <c r="BH93" i="8"/>
  <c r="BI93" i="8"/>
  <c r="BJ93" i="8"/>
  <c r="BK93" i="8"/>
  <c r="BL93" i="8"/>
  <c r="BN93" i="8"/>
  <c r="BO93" i="8"/>
  <c r="BP93" i="8"/>
  <c r="BQ93" i="8"/>
  <c r="BR93" i="8"/>
  <c r="BT93" i="8"/>
  <c r="BU93" i="8"/>
  <c r="BV93" i="8"/>
  <c r="BW93" i="8"/>
  <c r="BX93" i="8"/>
  <c r="BZ93" i="8"/>
  <c r="CA93" i="8"/>
  <c r="CB93" i="8"/>
  <c r="H94" i="8"/>
  <c r="I94" i="8"/>
  <c r="J94" i="8"/>
  <c r="L94" i="8"/>
  <c r="M94" i="8"/>
  <c r="N94" i="8"/>
  <c r="O94" i="8"/>
  <c r="P94" i="8"/>
  <c r="R94" i="8"/>
  <c r="S94" i="8"/>
  <c r="T94" i="8"/>
  <c r="U94" i="8"/>
  <c r="V94" i="8"/>
  <c r="X94" i="8"/>
  <c r="Y94" i="8"/>
  <c r="Z94" i="8"/>
  <c r="AA94" i="8"/>
  <c r="AB94" i="8"/>
  <c r="AD94" i="8"/>
  <c r="AE94" i="8"/>
  <c r="AF94" i="8"/>
  <c r="AG94" i="8"/>
  <c r="AH94" i="8"/>
  <c r="AJ94" i="8"/>
  <c r="AK94" i="8"/>
  <c r="AL94" i="8"/>
  <c r="AM94" i="8"/>
  <c r="AN94" i="8"/>
  <c r="AP94" i="8"/>
  <c r="AQ94" i="8"/>
  <c r="AR94" i="8"/>
  <c r="AS94" i="8"/>
  <c r="AT94" i="8"/>
  <c r="AV94" i="8"/>
  <c r="AW94" i="8"/>
  <c r="AX94" i="8"/>
  <c r="AY94" i="8"/>
  <c r="AZ94" i="8"/>
  <c r="BB94" i="8"/>
  <c r="BC94" i="8"/>
  <c r="BD94" i="8"/>
  <c r="BE94" i="8"/>
  <c r="BF94" i="8"/>
  <c r="BH94" i="8"/>
  <c r="BI94" i="8"/>
  <c r="BJ94" i="8"/>
  <c r="BK94" i="8"/>
  <c r="BL94" i="8"/>
  <c r="BN94" i="8"/>
  <c r="BO94" i="8"/>
  <c r="BP94" i="8"/>
  <c r="BQ94" i="8"/>
  <c r="BR94" i="8"/>
  <c r="BT94" i="8"/>
  <c r="BU94" i="8"/>
  <c r="BV94" i="8"/>
  <c r="BW94" i="8"/>
  <c r="BX94" i="8"/>
  <c r="BZ94" i="8"/>
  <c r="CA94" i="8"/>
  <c r="CB94" i="8"/>
  <c r="H95" i="8"/>
  <c r="V95" i="8"/>
  <c r="X95" i="8"/>
  <c r="Y95" i="8"/>
  <c r="Z95" i="8"/>
  <c r="AA95" i="8"/>
  <c r="AB95" i="8"/>
  <c r="AD95" i="8"/>
  <c r="AE95" i="8"/>
  <c r="AF95" i="8"/>
  <c r="AG95" i="8"/>
  <c r="AH95" i="8"/>
  <c r="AJ95" i="8"/>
  <c r="AK95" i="8"/>
  <c r="AL95" i="8"/>
  <c r="AM95" i="8"/>
  <c r="AN95" i="8"/>
  <c r="AP95" i="8"/>
  <c r="AQ95" i="8"/>
  <c r="AR95" i="8"/>
  <c r="AS95" i="8"/>
  <c r="AT95" i="8"/>
  <c r="AV95" i="8"/>
  <c r="AW95" i="8"/>
  <c r="AX95" i="8"/>
  <c r="AY95" i="8"/>
  <c r="AZ95" i="8"/>
  <c r="BB95" i="8"/>
  <c r="BC95" i="8"/>
  <c r="BD95" i="8"/>
  <c r="BE95" i="8"/>
  <c r="BF95" i="8"/>
  <c r="BH95" i="8"/>
  <c r="BI95" i="8"/>
  <c r="BJ95" i="8"/>
  <c r="BK95" i="8"/>
  <c r="BL95" i="8"/>
  <c r="BN95" i="8"/>
  <c r="BO95" i="8"/>
  <c r="BP95" i="8"/>
  <c r="BQ95" i="8"/>
  <c r="BR95" i="8"/>
  <c r="BT95" i="8"/>
  <c r="BU95" i="8"/>
  <c r="BV95" i="8"/>
  <c r="BW95" i="8"/>
  <c r="BX95" i="8"/>
  <c r="BZ95" i="8"/>
  <c r="CA95" i="8"/>
  <c r="CB95" i="8"/>
  <c r="H96" i="8"/>
  <c r="I96" i="8"/>
  <c r="J96" i="8"/>
  <c r="L96" i="8"/>
  <c r="M96" i="8"/>
  <c r="N96" i="8"/>
  <c r="O96" i="8"/>
  <c r="P96" i="8"/>
  <c r="R96" i="8"/>
  <c r="S96" i="8"/>
  <c r="T96" i="8"/>
  <c r="U96" i="8"/>
  <c r="V96" i="8"/>
  <c r="X96" i="8"/>
  <c r="Y96" i="8"/>
  <c r="Z96" i="8"/>
  <c r="AA96" i="8"/>
  <c r="AB96" i="8"/>
  <c r="AD96" i="8"/>
  <c r="AE96" i="8"/>
  <c r="AF96" i="8"/>
  <c r="AG96" i="8"/>
  <c r="AH96" i="8"/>
  <c r="AJ96" i="8"/>
  <c r="AK96" i="8"/>
  <c r="AL96" i="8"/>
  <c r="AM96" i="8"/>
  <c r="AN96" i="8"/>
  <c r="AP96" i="8"/>
  <c r="AQ96" i="8"/>
  <c r="AR96" i="8"/>
  <c r="AS96" i="8"/>
  <c r="AT96" i="8"/>
  <c r="AV96" i="8"/>
  <c r="AW96" i="8"/>
  <c r="AX96" i="8"/>
  <c r="AY96" i="8"/>
  <c r="AZ96" i="8"/>
  <c r="BB96" i="8"/>
  <c r="BC96" i="8"/>
  <c r="BD96" i="8"/>
  <c r="BE96" i="8"/>
  <c r="BF96" i="8"/>
  <c r="BH96" i="8"/>
  <c r="BI96" i="8"/>
  <c r="BJ96" i="8"/>
  <c r="BK96" i="8"/>
  <c r="BL96" i="8"/>
  <c r="BN96" i="8"/>
  <c r="BO96" i="8"/>
  <c r="BP96" i="8"/>
  <c r="BQ96" i="8"/>
  <c r="BR96" i="8"/>
  <c r="BT96" i="8"/>
  <c r="BU96" i="8"/>
  <c r="BV96" i="8"/>
  <c r="BW96" i="8"/>
  <c r="BX96" i="8"/>
  <c r="BZ96" i="8"/>
  <c r="CA96" i="8"/>
  <c r="CB96" i="8"/>
  <c r="H97" i="8"/>
  <c r="I97" i="8"/>
  <c r="J97" i="8"/>
  <c r="L97" i="8"/>
  <c r="M97" i="8"/>
  <c r="N97" i="8"/>
  <c r="O97" i="8"/>
  <c r="P97" i="8"/>
  <c r="R97" i="8"/>
  <c r="S97" i="8"/>
  <c r="T97" i="8"/>
  <c r="U97" i="8"/>
  <c r="V97" i="8"/>
  <c r="X97" i="8"/>
  <c r="Y97" i="8"/>
  <c r="Z97" i="8"/>
  <c r="AA97" i="8"/>
  <c r="AB97" i="8"/>
  <c r="AD97" i="8"/>
  <c r="AE97" i="8"/>
  <c r="AF97" i="8"/>
  <c r="AG97" i="8"/>
  <c r="AH97" i="8"/>
  <c r="AJ97" i="8"/>
  <c r="AK97" i="8"/>
  <c r="AL97" i="8"/>
  <c r="AM97" i="8"/>
  <c r="AN97" i="8"/>
  <c r="AP97" i="8"/>
  <c r="AQ97" i="8"/>
  <c r="AR97" i="8"/>
  <c r="AS97" i="8"/>
  <c r="AT97" i="8"/>
  <c r="AV97" i="8"/>
  <c r="AW97" i="8"/>
  <c r="AX97" i="8"/>
  <c r="AY97" i="8"/>
  <c r="AZ97" i="8"/>
  <c r="BB97" i="8"/>
  <c r="BC97" i="8"/>
  <c r="BD97" i="8"/>
  <c r="BE97" i="8"/>
  <c r="BF97" i="8"/>
  <c r="BH97" i="8"/>
  <c r="BI97" i="8"/>
  <c r="BJ97" i="8"/>
  <c r="BK97" i="8"/>
  <c r="BL97" i="8"/>
  <c r="BN97" i="8"/>
  <c r="BO97" i="8"/>
  <c r="BP97" i="8"/>
  <c r="BQ97" i="8"/>
  <c r="BR97" i="8"/>
  <c r="BT97" i="8"/>
  <c r="BU97" i="8"/>
  <c r="BV97" i="8"/>
  <c r="BW97" i="8"/>
  <c r="BX97" i="8"/>
  <c r="BZ97" i="8"/>
  <c r="CA97" i="8"/>
  <c r="CB97" i="8"/>
  <c r="H98" i="8"/>
  <c r="I98" i="8"/>
  <c r="J98" i="8"/>
  <c r="L98" i="8"/>
  <c r="M98" i="8"/>
  <c r="N98" i="8"/>
  <c r="O98" i="8"/>
  <c r="P98" i="8"/>
  <c r="R98" i="8"/>
  <c r="S98" i="8"/>
  <c r="T98" i="8"/>
  <c r="U98" i="8"/>
  <c r="V98" i="8"/>
  <c r="X98" i="8"/>
  <c r="Y98" i="8"/>
  <c r="Z98" i="8"/>
  <c r="AA98" i="8"/>
  <c r="AB98" i="8"/>
  <c r="AD98" i="8"/>
  <c r="AE98" i="8"/>
  <c r="AF98" i="8"/>
  <c r="AG98" i="8"/>
  <c r="AH98" i="8"/>
  <c r="AJ98" i="8"/>
  <c r="AK98" i="8"/>
  <c r="AL98" i="8"/>
  <c r="AM98" i="8"/>
  <c r="AN98" i="8"/>
  <c r="AP98" i="8"/>
  <c r="AQ98" i="8"/>
  <c r="AR98" i="8"/>
  <c r="AS98" i="8"/>
  <c r="AT98" i="8"/>
  <c r="AV98" i="8"/>
  <c r="AW98" i="8"/>
  <c r="AX98" i="8"/>
  <c r="AY98" i="8"/>
  <c r="AZ98" i="8"/>
  <c r="BB98" i="8"/>
  <c r="BC98" i="8"/>
  <c r="BD98" i="8"/>
  <c r="BE98" i="8"/>
  <c r="BF98" i="8"/>
  <c r="BH98" i="8"/>
  <c r="BI98" i="8"/>
  <c r="BJ98" i="8"/>
  <c r="BK98" i="8"/>
  <c r="BL98" i="8"/>
  <c r="BN98" i="8"/>
  <c r="BO98" i="8"/>
  <c r="BP98" i="8"/>
  <c r="BQ98" i="8"/>
  <c r="BR98" i="8"/>
  <c r="BT98" i="8"/>
  <c r="BU98" i="8"/>
  <c r="BV98" i="8"/>
  <c r="BW98" i="8"/>
  <c r="BX98" i="8"/>
  <c r="BZ98" i="8"/>
  <c r="CA98" i="8"/>
  <c r="CB98" i="8"/>
  <c r="H99" i="8"/>
  <c r="I99" i="8"/>
  <c r="J99" i="8"/>
  <c r="L99" i="8"/>
  <c r="M99" i="8"/>
  <c r="N99" i="8"/>
  <c r="O99" i="8"/>
  <c r="P99" i="8"/>
  <c r="R99" i="8"/>
  <c r="S99" i="8"/>
  <c r="T99" i="8"/>
  <c r="U99" i="8"/>
  <c r="V99" i="8"/>
  <c r="X99" i="8"/>
  <c r="Y99" i="8"/>
  <c r="Z99" i="8"/>
  <c r="AA99" i="8"/>
  <c r="AB99" i="8"/>
  <c r="AD99" i="8"/>
  <c r="AE99" i="8"/>
  <c r="AF99" i="8"/>
  <c r="AG99" i="8"/>
  <c r="AH99" i="8"/>
  <c r="AJ99" i="8"/>
  <c r="AK99" i="8"/>
  <c r="AL99" i="8"/>
  <c r="AM99" i="8"/>
  <c r="AN99" i="8"/>
  <c r="AP99" i="8"/>
  <c r="AQ99" i="8"/>
  <c r="AR99" i="8"/>
  <c r="AS99" i="8"/>
  <c r="AT99" i="8"/>
  <c r="AV99" i="8"/>
  <c r="AW99" i="8"/>
  <c r="AX99" i="8"/>
  <c r="AY99" i="8"/>
  <c r="AZ99" i="8"/>
  <c r="BB99" i="8"/>
  <c r="BC99" i="8"/>
  <c r="BD99" i="8"/>
  <c r="BE99" i="8"/>
  <c r="BF99" i="8"/>
  <c r="BH99" i="8"/>
  <c r="BI99" i="8"/>
  <c r="BJ99" i="8"/>
  <c r="BK99" i="8"/>
  <c r="BL99" i="8"/>
  <c r="BN99" i="8"/>
  <c r="BO99" i="8"/>
  <c r="BP99" i="8"/>
  <c r="BQ99" i="8"/>
  <c r="BR99" i="8"/>
  <c r="BT99" i="8"/>
  <c r="BU99" i="8"/>
  <c r="BV99" i="8"/>
  <c r="BW99" i="8"/>
  <c r="BX99" i="8"/>
  <c r="BZ99" i="8"/>
  <c r="CA99" i="8"/>
  <c r="CB99" i="8"/>
  <c r="H100" i="8"/>
  <c r="I100" i="8"/>
  <c r="J100" i="8"/>
  <c r="L100" i="8"/>
  <c r="M100" i="8"/>
  <c r="N100" i="8"/>
  <c r="O100" i="8"/>
  <c r="P100" i="8"/>
  <c r="R100" i="8"/>
  <c r="S100" i="8"/>
  <c r="T100" i="8"/>
  <c r="U100" i="8"/>
  <c r="V100" i="8"/>
  <c r="X100" i="8"/>
  <c r="Y100" i="8"/>
  <c r="Z100" i="8"/>
  <c r="AA100" i="8"/>
  <c r="AB100" i="8"/>
  <c r="AD100" i="8"/>
  <c r="AE100" i="8"/>
  <c r="AF100" i="8"/>
  <c r="AG100" i="8"/>
  <c r="AH100" i="8"/>
  <c r="AJ100" i="8"/>
  <c r="AK100" i="8"/>
  <c r="AL100" i="8"/>
  <c r="AM100" i="8"/>
  <c r="AN100" i="8"/>
  <c r="AP100" i="8"/>
  <c r="AQ100" i="8"/>
  <c r="AR100" i="8"/>
  <c r="AS100" i="8"/>
  <c r="AT100" i="8"/>
  <c r="AV100" i="8"/>
  <c r="AW100" i="8"/>
  <c r="AX100" i="8"/>
  <c r="AY100" i="8"/>
  <c r="AZ100" i="8"/>
  <c r="BB100" i="8"/>
  <c r="BC100" i="8"/>
  <c r="BD100" i="8"/>
  <c r="BE100" i="8"/>
  <c r="BF100" i="8"/>
  <c r="BH100" i="8"/>
  <c r="BI100" i="8"/>
  <c r="BJ100" i="8"/>
  <c r="BK100" i="8"/>
  <c r="BL100" i="8"/>
  <c r="BN100" i="8"/>
  <c r="BO100" i="8"/>
  <c r="BP100" i="8"/>
  <c r="BQ100" i="8"/>
  <c r="BR100" i="8"/>
  <c r="BT100" i="8"/>
  <c r="BU100" i="8"/>
  <c r="BV100" i="8"/>
  <c r="BW100" i="8"/>
  <c r="BX100" i="8"/>
  <c r="BZ100" i="8"/>
  <c r="CA100" i="8"/>
  <c r="CB100" i="8"/>
  <c r="CC106" i="8"/>
  <c r="CC107" i="8"/>
  <c r="CD107" i="8"/>
  <c r="CE107" i="8"/>
  <c r="CF107" i="8"/>
  <c r="CG107" i="8"/>
  <c r="CH107" i="8"/>
  <c r="CI107" i="8"/>
  <c r="CJ107" i="8"/>
  <c r="CK107" i="8"/>
  <c r="CL107" i="8"/>
  <c r="CM107" i="8"/>
  <c r="CN107" i="8"/>
  <c r="J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J251" i="8"/>
  <c r="K251" i="8" s="1"/>
  <c r="L251" i="8" s="1"/>
  <c r="M251" i="8" s="1"/>
  <c r="N251" i="8" s="1"/>
  <c r="H258" i="8"/>
  <c r="I258" i="8"/>
  <c r="J258" i="8"/>
  <c r="K258" i="8"/>
  <c r="L258" i="8"/>
  <c r="M258" i="8"/>
  <c r="N258" i="8"/>
  <c r="I272" i="8"/>
  <c r="I278" i="8" s="1"/>
  <c r="N272" i="8"/>
  <c r="N278" i="8" s="1"/>
  <c r="H259" i="8"/>
  <c r="H260" i="8"/>
  <c r="H261" i="8"/>
  <c r="J266" i="8"/>
  <c r="K266" i="8" s="1"/>
  <c r="L266" i="8" s="1"/>
  <c r="M266" i="8" s="1"/>
  <c r="N266" i="8" s="1"/>
  <c r="H272" i="8"/>
  <c r="J272" i="8"/>
  <c r="K272" i="8"/>
  <c r="K277" i="8" s="1"/>
  <c r="L272" i="8"/>
  <c r="L278" i="8" s="1"/>
  <c r="M272" i="8"/>
  <c r="M278" i="8" s="1"/>
  <c r="H273" i="8"/>
  <c r="H274" i="8"/>
  <c r="H275" i="8"/>
  <c r="J280" i="8"/>
  <c r="K280" i="8" s="1"/>
  <c r="L280" i="8" s="1"/>
  <c r="M280" i="8" s="1"/>
  <c r="N280" i="8" s="1"/>
  <c r="H281" i="8"/>
  <c r="I281" i="8"/>
  <c r="J281" i="8"/>
  <c r="K281" i="8"/>
  <c r="L281" i="8"/>
  <c r="M281" i="8"/>
  <c r="N281" i="8"/>
  <c r="H282" i="8"/>
  <c r="H283" i="8"/>
  <c r="H284" i="8"/>
  <c r="H286" i="8"/>
  <c r="I286" i="8"/>
  <c r="J286" i="8"/>
  <c r="K286" i="8"/>
  <c r="L286" i="8"/>
  <c r="M286" i="8"/>
  <c r="N286" i="8"/>
  <c r="H287" i="8"/>
  <c r="H288" i="8"/>
  <c r="H289" i="8"/>
  <c r="J292" i="8"/>
  <c r="K292" i="8" s="1"/>
  <c r="L292" i="8" s="1"/>
  <c r="M292" i="8" s="1"/>
  <c r="N292" i="8" s="1"/>
  <c r="L306" i="8"/>
  <c r="K306" i="8" s="1"/>
  <c r="J306" i="8" s="1"/>
  <c r="I306" i="8" s="1"/>
  <c r="H306" i="8" s="1"/>
  <c r="H308" i="8"/>
  <c r="H309" i="8"/>
  <c r="K309" i="8"/>
  <c r="L309" i="8"/>
  <c r="M309" i="8"/>
  <c r="J316" i="13" l="1"/>
  <c r="J317" i="13"/>
  <c r="J312" i="13"/>
  <c r="J313" i="13"/>
  <c r="K321" i="13"/>
  <c r="CG106" i="13"/>
  <c r="H317" i="13"/>
  <c r="H312" i="13"/>
  <c r="H313" i="13"/>
  <c r="H316" i="13"/>
  <c r="N154" i="13"/>
  <c r="L249" i="13"/>
  <c r="K307" i="13" s="1"/>
  <c r="H321" i="8"/>
  <c r="G324" i="8"/>
  <c r="P258" i="8"/>
  <c r="J179" i="8"/>
  <c r="I183" i="8"/>
  <c r="I175" i="8"/>
  <c r="I167" i="8"/>
  <c r="I159" i="8"/>
  <c r="CD106" i="8"/>
  <c r="CE106" i="8" s="1"/>
  <c r="I172" i="8"/>
  <c r="J191" i="8"/>
  <c r="I156" i="8"/>
  <c r="I173" i="8"/>
  <c r="I165" i="8"/>
  <c r="I196" i="8"/>
  <c r="I192" i="8"/>
  <c r="I169" i="8"/>
  <c r="I189" i="8"/>
  <c r="I194" i="8"/>
  <c r="J174" i="8"/>
  <c r="BW107" i="8"/>
  <c r="BD107" i="8"/>
  <c r="AT107" i="8"/>
  <c r="AK107" i="8"/>
  <c r="AA107" i="8"/>
  <c r="R107" i="8"/>
  <c r="Q127" i="8" s="1"/>
  <c r="J186" i="8"/>
  <c r="J181" i="8"/>
  <c r="I179" i="8"/>
  <c r="J166" i="8"/>
  <c r="I164" i="8"/>
  <c r="J158" i="8"/>
  <c r="BV107" i="8"/>
  <c r="BL107" i="8"/>
  <c r="BL147" i="8" s="1"/>
  <c r="BC107" i="8"/>
  <c r="AS107" i="8"/>
  <c r="AJ107" i="8"/>
  <c r="Z107" i="8"/>
  <c r="P107" i="8"/>
  <c r="I199" i="8"/>
  <c r="I201" i="8"/>
  <c r="I204" i="8"/>
  <c r="I209" i="8"/>
  <c r="I213" i="8"/>
  <c r="I217" i="8"/>
  <c r="I221" i="8"/>
  <c r="I225" i="8"/>
  <c r="I229" i="8"/>
  <c r="I233" i="8"/>
  <c r="I237" i="8"/>
  <c r="I241" i="8"/>
  <c r="I245" i="8"/>
  <c r="I211" i="8"/>
  <c r="I215" i="8"/>
  <c r="I198" i="8"/>
  <c r="I203" i="8"/>
  <c r="I208" i="8"/>
  <c r="I212" i="8"/>
  <c r="I216" i="8"/>
  <c r="I220" i="8"/>
  <c r="I224" i="8"/>
  <c r="I228" i="8"/>
  <c r="I232" i="8"/>
  <c r="I236" i="8"/>
  <c r="I240" i="8"/>
  <c r="I244" i="8"/>
  <c r="I200" i="8"/>
  <c r="I205" i="8"/>
  <c r="I210" i="8"/>
  <c r="I214" i="8"/>
  <c r="I218" i="8"/>
  <c r="I222" i="8"/>
  <c r="I226" i="8"/>
  <c r="I230" i="8"/>
  <c r="I234" i="8"/>
  <c r="I238" i="8"/>
  <c r="I242" i="8"/>
  <c r="I246" i="8"/>
  <c r="I235" i="8"/>
  <c r="I247" i="8"/>
  <c r="I219" i="8"/>
  <c r="I231" i="8"/>
  <c r="I243" i="8"/>
  <c r="I223" i="8"/>
  <c r="I227" i="8"/>
  <c r="I239" i="8"/>
  <c r="BU107" i="8"/>
  <c r="AH107" i="8"/>
  <c r="AH127" i="8" s="1"/>
  <c r="J178" i="8"/>
  <c r="BT107" i="8"/>
  <c r="BS126" i="8" s="1"/>
  <c r="BJ107" i="8"/>
  <c r="AZ107" i="8"/>
  <c r="AQ107" i="8"/>
  <c r="AG107" i="8"/>
  <c r="X107" i="8"/>
  <c r="N107" i="8"/>
  <c r="I186" i="8"/>
  <c r="I181" i="8"/>
  <c r="J171" i="8"/>
  <c r="I166" i="8"/>
  <c r="J160" i="8"/>
  <c r="AR107" i="8"/>
  <c r="J195" i="8"/>
  <c r="J173" i="8"/>
  <c r="I195" i="8"/>
  <c r="I190" i="8"/>
  <c r="I178" i="8"/>
  <c r="J175" i="8"/>
  <c r="J170" i="8"/>
  <c r="I163" i="8"/>
  <c r="CB107" i="8"/>
  <c r="BR107" i="8"/>
  <c r="BR126" i="8" s="1"/>
  <c r="BI107" i="8"/>
  <c r="AY107" i="8"/>
  <c r="AP107" i="8"/>
  <c r="AO147" i="8" s="1"/>
  <c r="AF107" i="8"/>
  <c r="V107" i="8"/>
  <c r="M107" i="8"/>
  <c r="BN107" i="8"/>
  <c r="I193" i="8"/>
  <c r="J155" i="8"/>
  <c r="J180" i="8"/>
  <c r="I170" i="8"/>
  <c r="J165" i="8"/>
  <c r="J159" i="8"/>
  <c r="J157" i="8"/>
  <c r="K154" i="8"/>
  <c r="J205" i="8"/>
  <c r="J210" i="8"/>
  <c r="J214" i="8"/>
  <c r="J218" i="8"/>
  <c r="J222" i="8"/>
  <c r="J226" i="8"/>
  <c r="J230" i="8"/>
  <c r="J234" i="8"/>
  <c r="J238" i="8"/>
  <c r="J242" i="8"/>
  <c r="J246" i="8"/>
  <c r="J201" i="8"/>
  <c r="J199" i="8"/>
  <c r="J224" i="8"/>
  <c r="J232" i="8"/>
  <c r="J240" i="8"/>
  <c r="J244" i="8"/>
  <c r="J204" i="8"/>
  <c r="J209" i="8"/>
  <c r="J213" i="8"/>
  <c r="J217" i="8"/>
  <c r="J221" i="8"/>
  <c r="J225" i="8"/>
  <c r="J229" i="8"/>
  <c r="J233" i="8"/>
  <c r="J237" i="8"/>
  <c r="J241" i="8"/>
  <c r="J245" i="8"/>
  <c r="J208" i="8"/>
  <c r="J212" i="8"/>
  <c r="J216" i="8"/>
  <c r="J220" i="8"/>
  <c r="J228" i="8"/>
  <c r="J236" i="8"/>
  <c r="J198" i="8"/>
  <c r="J203" i="8"/>
  <c r="J211" i="8"/>
  <c r="J215" i="8"/>
  <c r="J219" i="8"/>
  <c r="J223" i="8"/>
  <c r="J227" i="8"/>
  <c r="J231" i="8"/>
  <c r="J235" i="8"/>
  <c r="J239" i="8"/>
  <c r="J243" i="8"/>
  <c r="J247" i="8"/>
  <c r="J200" i="8"/>
  <c r="CA107" i="8"/>
  <c r="BQ107" i="8"/>
  <c r="BH107" i="8"/>
  <c r="AX107" i="8"/>
  <c r="AN107" i="8"/>
  <c r="AN126" i="8" s="1"/>
  <c r="AE107" i="8"/>
  <c r="AE147" i="8" s="1"/>
  <c r="U107" i="8"/>
  <c r="L107" i="8"/>
  <c r="J183" i="8"/>
  <c r="I158" i="8"/>
  <c r="BK107" i="8"/>
  <c r="BJ147" i="8" s="1"/>
  <c r="O107" i="8"/>
  <c r="J190" i="8"/>
  <c r="I155" i="8"/>
  <c r="J248" i="8"/>
  <c r="J187" i="8"/>
  <c r="J182" i="8"/>
  <c r="J172" i="8"/>
  <c r="I162" i="8"/>
  <c r="J193" i="8"/>
  <c r="J188" i="8"/>
  <c r="I174" i="8"/>
  <c r="BZ107" i="8"/>
  <c r="BP107" i="8"/>
  <c r="BF107" i="8"/>
  <c r="BF127" i="8" s="1"/>
  <c r="AW107" i="8"/>
  <c r="AM107" i="8"/>
  <c r="AD107" i="8"/>
  <c r="T107" i="8"/>
  <c r="J107" i="8"/>
  <c r="I157" i="8"/>
  <c r="BB107" i="8"/>
  <c r="BA127" i="8" s="1"/>
  <c r="Y107" i="8"/>
  <c r="Y126" i="8" s="1"/>
  <c r="I188" i="8"/>
  <c r="J168" i="8"/>
  <c r="J163" i="8"/>
  <c r="I248" i="8"/>
  <c r="J196" i="8"/>
  <c r="J194" i="8"/>
  <c r="J189" i="8"/>
  <c r="I187" i="8"/>
  <c r="J184" i="8"/>
  <c r="I182" i="8"/>
  <c r="I177" i="8"/>
  <c r="J156" i="8"/>
  <c r="BX107" i="8"/>
  <c r="BO107" i="8"/>
  <c r="BE107" i="8"/>
  <c r="AV107" i="8"/>
  <c r="AL107" i="8"/>
  <c r="AB107" i="8"/>
  <c r="S107" i="8"/>
  <c r="I107" i="8"/>
  <c r="I277" i="8"/>
  <c r="M277" i="8"/>
  <c r="L277" i="8"/>
  <c r="N277" i="8"/>
  <c r="K278" i="8"/>
  <c r="I8" i="12"/>
  <c r="CA107" i="4"/>
  <c r="BK107" i="4"/>
  <c r="AU107" i="4"/>
  <c r="AM107" i="4"/>
  <c r="AE107" i="4"/>
  <c r="W107" i="4"/>
  <c r="O107" i="4"/>
  <c r="V126" i="8"/>
  <c r="V127" i="8"/>
  <c r="V147" i="8"/>
  <c r="AE127" i="8"/>
  <c r="W147" i="8"/>
  <c r="W127" i="8"/>
  <c r="W126" i="8"/>
  <c r="BM126" i="8"/>
  <c r="BM127" i="8"/>
  <c r="BM147" i="8"/>
  <c r="J278" i="8"/>
  <c r="J277" i="8"/>
  <c r="AF126" i="8"/>
  <c r="AF127" i="8"/>
  <c r="AF147" i="8"/>
  <c r="I185" i="8"/>
  <c r="I180" i="8"/>
  <c r="I161" i="8"/>
  <c r="BZ147" i="8"/>
  <c r="K155" i="8"/>
  <c r="K163" i="8"/>
  <c r="K162" i="8"/>
  <c r="K170" i="8"/>
  <c r="K178" i="8"/>
  <c r="K186" i="8"/>
  <c r="K161" i="8"/>
  <c r="K172" i="8"/>
  <c r="K181" i="8"/>
  <c r="K193" i="8"/>
  <c r="L154" i="8"/>
  <c r="J192" i="8"/>
  <c r="I191" i="8"/>
  <c r="J176" i="8"/>
  <c r="I171" i="8"/>
  <c r="J167" i="8"/>
  <c r="J164" i="8"/>
  <c r="P126" i="8"/>
  <c r="P127" i="8"/>
  <c r="P147" i="8"/>
  <c r="J162" i="8"/>
  <c r="I160" i="8"/>
  <c r="I168" i="8"/>
  <c r="I176" i="8"/>
  <c r="J177" i="8"/>
  <c r="I184" i="8"/>
  <c r="J185" i="8"/>
  <c r="J169" i="8"/>
  <c r="J161" i="8"/>
  <c r="BZ107" i="4"/>
  <c r="BR107" i="4"/>
  <c r="BR128" i="4" s="1"/>
  <c r="BJ107" i="4"/>
  <c r="BJ126" i="4" s="1"/>
  <c r="BB107" i="4"/>
  <c r="BB126" i="4" s="1"/>
  <c r="AT107" i="4"/>
  <c r="AT126" i="4" s="1"/>
  <c r="AL107" i="4"/>
  <c r="AD107" i="4"/>
  <c r="AD148" i="4" s="1"/>
  <c r="V107" i="4"/>
  <c r="V126" i="4" s="1"/>
  <c r="N107" i="4"/>
  <c r="CB107" i="4"/>
  <c r="BT107" i="4"/>
  <c r="BL107" i="4"/>
  <c r="BD107" i="4"/>
  <c r="AV107" i="4"/>
  <c r="AN107" i="4"/>
  <c r="AF107" i="4"/>
  <c r="X107" i="4"/>
  <c r="P107" i="4"/>
  <c r="BU107" i="4"/>
  <c r="BM107" i="4"/>
  <c r="BE107" i="4"/>
  <c r="AW107" i="4"/>
  <c r="AO107" i="4"/>
  <c r="AG107" i="4"/>
  <c r="Y107" i="4"/>
  <c r="Q107" i="4"/>
  <c r="I107" i="4"/>
  <c r="BV107" i="4"/>
  <c r="BN107" i="4"/>
  <c r="BF107" i="4"/>
  <c r="AX107" i="4"/>
  <c r="AP107" i="4"/>
  <c r="AH107" i="4"/>
  <c r="Z107" i="4"/>
  <c r="R107" i="4"/>
  <c r="J107" i="4"/>
  <c r="BW107" i="4"/>
  <c r="BO107" i="4"/>
  <c r="BG107" i="4"/>
  <c r="AY107" i="4"/>
  <c r="AQ107" i="4"/>
  <c r="AI107" i="4"/>
  <c r="AA107" i="4"/>
  <c r="S107" i="4"/>
  <c r="K107" i="4"/>
  <c r="BX107" i="4"/>
  <c r="BP107" i="4"/>
  <c r="BH107" i="4"/>
  <c r="AZ107" i="4"/>
  <c r="AR107" i="4"/>
  <c r="AJ107" i="4"/>
  <c r="AB107" i="4"/>
  <c r="T107" i="4"/>
  <c r="L107" i="4"/>
  <c r="BY107" i="4"/>
  <c r="BQ107" i="4"/>
  <c r="BI107" i="4"/>
  <c r="BA107" i="4"/>
  <c r="AS107" i="4"/>
  <c r="AK107" i="4"/>
  <c r="AC107" i="4"/>
  <c r="U107" i="4"/>
  <c r="M107" i="4"/>
  <c r="F10" i="7"/>
  <c r="E10" i="7"/>
  <c r="G8" i="7"/>
  <c r="L321" i="13" l="1"/>
  <c r="CH106" i="13"/>
  <c r="K312" i="13"/>
  <c r="K313" i="13"/>
  <c r="K316" i="13"/>
  <c r="K317" i="13"/>
  <c r="M249" i="13"/>
  <c r="L307" i="13" s="1"/>
  <c r="M147" i="8"/>
  <c r="J298" i="8"/>
  <c r="I298" i="8"/>
  <c r="I295" i="8"/>
  <c r="AH147" i="8"/>
  <c r="BI126" i="8"/>
  <c r="BU126" i="8"/>
  <c r="BS147" i="8"/>
  <c r="BT147" i="8"/>
  <c r="I321" i="8"/>
  <c r="Q147" i="8"/>
  <c r="BK147" i="8"/>
  <c r="Q126" i="8"/>
  <c r="BR147" i="8"/>
  <c r="I274" i="8"/>
  <c r="BL127" i="8"/>
  <c r="BT127" i="8"/>
  <c r="BT126" i="8"/>
  <c r="BL126" i="8"/>
  <c r="BJ127" i="8"/>
  <c r="BS127" i="8"/>
  <c r="J287" i="8"/>
  <c r="AO127" i="8"/>
  <c r="BA147" i="8"/>
  <c r="BK126" i="8"/>
  <c r="BJ126" i="8"/>
  <c r="BA126" i="8"/>
  <c r="AD147" i="8"/>
  <c r="BK127" i="8"/>
  <c r="AE126" i="8"/>
  <c r="I283" i="8"/>
  <c r="BU127" i="8"/>
  <c r="CF106" i="8"/>
  <c r="J321" i="8"/>
  <c r="BF126" i="8"/>
  <c r="J269" i="8"/>
  <c r="J259" i="8"/>
  <c r="BR127" i="8"/>
  <c r="BU147" i="8"/>
  <c r="L211" i="8"/>
  <c r="L215" i="8"/>
  <c r="L219" i="8"/>
  <c r="L223" i="8"/>
  <c r="L227" i="8"/>
  <c r="L231" i="8"/>
  <c r="L235" i="8"/>
  <c r="L239" i="8"/>
  <c r="L243" i="8"/>
  <c r="L247" i="8"/>
  <c r="L245" i="8"/>
  <c r="L200" i="8"/>
  <c r="L213" i="8"/>
  <c r="L217" i="8"/>
  <c r="L221" i="8"/>
  <c r="L229" i="8"/>
  <c r="L237" i="8"/>
  <c r="L198" i="8"/>
  <c r="L205" i="8"/>
  <c r="L210" i="8"/>
  <c r="L214" i="8"/>
  <c r="L218" i="8"/>
  <c r="L222" i="8"/>
  <c r="L226" i="8"/>
  <c r="L230" i="8"/>
  <c r="L234" i="8"/>
  <c r="L238" i="8"/>
  <c r="L242" i="8"/>
  <c r="L246" i="8"/>
  <c r="L204" i="8"/>
  <c r="L209" i="8"/>
  <c r="L225" i="8"/>
  <c r="L233" i="8"/>
  <c r="L199" i="8"/>
  <c r="L241" i="8"/>
  <c r="L203" i="8"/>
  <c r="L206" i="8"/>
  <c r="L208" i="8"/>
  <c r="L212" i="8"/>
  <c r="L216" i="8"/>
  <c r="L220" i="8"/>
  <c r="L224" i="8"/>
  <c r="L228" i="8"/>
  <c r="L232" i="8"/>
  <c r="L236" i="8"/>
  <c r="L240" i="8"/>
  <c r="L244" i="8"/>
  <c r="L201" i="8"/>
  <c r="AO126" i="8"/>
  <c r="J252" i="8"/>
  <c r="I339" i="8" s="1"/>
  <c r="AP147" i="8"/>
  <c r="AP127" i="8"/>
  <c r="K156" i="8"/>
  <c r="K200" i="8"/>
  <c r="K212" i="8"/>
  <c r="K216" i="8"/>
  <c r="K220" i="8"/>
  <c r="K205" i="8"/>
  <c r="K210" i="8"/>
  <c r="K214" i="8"/>
  <c r="K218" i="8"/>
  <c r="K222" i="8"/>
  <c r="K226" i="8"/>
  <c r="K230" i="8"/>
  <c r="K234" i="8"/>
  <c r="K238" i="8"/>
  <c r="K242" i="8"/>
  <c r="K246" i="8"/>
  <c r="K206" i="8"/>
  <c r="K208" i="8"/>
  <c r="K199" i="8"/>
  <c r="K198" i="8"/>
  <c r="K204" i="8"/>
  <c r="K209" i="8"/>
  <c r="K213" i="8"/>
  <c r="K217" i="8"/>
  <c r="K221" i="8"/>
  <c r="K225" i="8"/>
  <c r="K229" i="8"/>
  <c r="K233" i="8"/>
  <c r="K237" i="8"/>
  <c r="K241" i="8"/>
  <c r="K245" i="8"/>
  <c r="K201" i="8"/>
  <c r="K211" i="8"/>
  <c r="K215" i="8"/>
  <c r="K219" i="8"/>
  <c r="K223" i="8"/>
  <c r="K227" i="8"/>
  <c r="K231" i="8"/>
  <c r="K235" i="8"/>
  <c r="K239" i="8"/>
  <c r="K243" i="8"/>
  <c r="K247" i="8"/>
  <c r="K203" i="8"/>
  <c r="K240" i="8"/>
  <c r="K232" i="8"/>
  <c r="K224" i="8"/>
  <c r="K244" i="8"/>
  <c r="K236" i="8"/>
  <c r="K228" i="8"/>
  <c r="K169" i="8"/>
  <c r="K174" i="8"/>
  <c r="K179" i="8"/>
  <c r="K191" i="8"/>
  <c r="K175" i="8"/>
  <c r="K166" i="8"/>
  <c r="K177" i="8"/>
  <c r="K184" i="8"/>
  <c r="K189" i="8"/>
  <c r="K194" i="8"/>
  <c r="K196" i="8"/>
  <c r="K173" i="8"/>
  <c r="K167" i="8"/>
  <c r="K182" i="8"/>
  <c r="K187" i="8"/>
  <c r="K248" i="8"/>
  <c r="K168" i="8"/>
  <c r="K188" i="8"/>
  <c r="K190" i="8"/>
  <c r="K157" i="8"/>
  <c r="K159" i="8"/>
  <c r="K165" i="8"/>
  <c r="K180" i="8"/>
  <c r="K185" i="8"/>
  <c r="K192" i="8"/>
  <c r="K195" i="8"/>
  <c r="K158" i="8"/>
  <c r="K160" i="8"/>
  <c r="K171" i="8"/>
  <c r="K176" i="8"/>
  <c r="K183" i="8"/>
  <c r="K164" i="8"/>
  <c r="J273" i="8"/>
  <c r="BF147" i="8"/>
  <c r="AP126" i="8"/>
  <c r="I260" i="8"/>
  <c r="I288" i="8"/>
  <c r="AN127" i="8"/>
  <c r="J282" i="8"/>
  <c r="J299" i="8"/>
  <c r="BZ126" i="4"/>
  <c r="BB128" i="4"/>
  <c r="BJ148" i="4"/>
  <c r="AZ126" i="4"/>
  <c r="AZ128" i="4"/>
  <c r="AZ148" i="4"/>
  <c r="AQ148" i="4"/>
  <c r="AQ126" i="4"/>
  <c r="AQ128" i="4"/>
  <c r="AH148" i="4"/>
  <c r="AH126" i="4"/>
  <c r="AH128" i="4"/>
  <c r="Y148" i="4"/>
  <c r="Y126" i="4"/>
  <c r="Y128" i="4"/>
  <c r="P148" i="4"/>
  <c r="P126" i="4"/>
  <c r="P128" i="4"/>
  <c r="O148" i="4"/>
  <c r="O126" i="4"/>
  <c r="O128" i="4"/>
  <c r="CA148" i="4"/>
  <c r="CA126" i="4"/>
  <c r="CA128" i="4"/>
  <c r="BQ148" i="4"/>
  <c r="BQ126" i="4"/>
  <c r="BQ128" i="4"/>
  <c r="V128" i="4"/>
  <c r="AT148" i="4"/>
  <c r="I267" i="8"/>
  <c r="I252" i="8"/>
  <c r="Z126" i="8"/>
  <c r="Z127" i="8"/>
  <c r="Z147" i="8"/>
  <c r="BP127" i="8"/>
  <c r="BP147" i="8"/>
  <c r="BP126" i="8"/>
  <c r="BQ126" i="8"/>
  <c r="AA147" i="8"/>
  <c r="AA127" i="8"/>
  <c r="AA126" i="8"/>
  <c r="AB126" i="8"/>
  <c r="AB127" i="8"/>
  <c r="AB147" i="8"/>
  <c r="CA147" i="8"/>
  <c r="CA127" i="8"/>
  <c r="CA126" i="8"/>
  <c r="Y127" i="8"/>
  <c r="BI147" i="8"/>
  <c r="AD126" i="8"/>
  <c r="BZ127" i="8"/>
  <c r="BH126" i="4"/>
  <c r="BH128" i="4"/>
  <c r="BH148" i="4"/>
  <c r="AY148" i="4"/>
  <c r="AY126" i="4"/>
  <c r="AY128" i="4"/>
  <c r="AP148" i="4"/>
  <c r="AP126" i="4"/>
  <c r="AP128" i="4"/>
  <c r="AG148" i="4"/>
  <c r="AG126" i="4"/>
  <c r="AG128" i="4"/>
  <c r="X148" i="4"/>
  <c r="X126" i="4"/>
  <c r="X128" i="4"/>
  <c r="W148" i="4"/>
  <c r="W126" i="4"/>
  <c r="W128" i="4"/>
  <c r="M148" i="4"/>
  <c r="M126" i="4"/>
  <c r="M128" i="4"/>
  <c r="BY148" i="4"/>
  <c r="BY126" i="4"/>
  <c r="BY128" i="4"/>
  <c r="AT128" i="4"/>
  <c r="I293" i="8"/>
  <c r="I268" i="8"/>
  <c r="I253" i="8"/>
  <c r="I249" i="8"/>
  <c r="I294" i="8"/>
  <c r="I299" i="8"/>
  <c r="AS147" i="8"/>
  <c r="AS127" i="8"/>
  <c r="AS126" i="8"/>
  <c r="AT147" i="8"/>
  <c r="AT126" i="8"/>
  <c r="AT127" i="8"/>
  <c r="N147" i="8"/>
  <c r="N126" i="8"/>
  <c r="N127" i="8"/>
  <c r="AK147" i="8"/>
  <c r="AK127" i="8"/>
  <c r="AK126" i="8"/>
  <c r="AI147" i="8"/>
  <c r="AI127" i="8"/>
  <c r="AI126" i="8"/>
  <c r="BZ126" i="8"/>
  <c r="BP126" i="4"/>
  <c r="BP128" i="4"/>
  <c r="BP148" i="4"/>
  <c r="BG148" i="4"/>
  <c r="BG126" i="4"/>
  <c r="BG128" i="4"/>
  <c r="AX148" i="4"/>
  <c r="AX126" i="4"/>
  <c r="AX128" i="4"/>
  <c r="AO148" i="4"/>
  <c r="AO126" i="4"/>
  <c r="AO128" i="4"/>
  <c r="AF148" i="4"/>
  <c r="AF126" i="4"/>
  <c r="AF128" i="4"/>
  <c r="AE148" i="4"/>
  <c r="AE126" i="4"/>
  <c r="AE128" i="4"/>
  <c r="U148" i="4"/>
  <c r="U126" i="4"/>
  <c r="U128" i="4"/>
  <c r="BR148" i="4"/>
  <c r="BB148" i="4"/>
  <c r="J267" i="8"/>
  <c r="I273" i="8"/>
  <c r="I259" i="8"/>
  <c r="I282" i="8"/>
  <c r="I287" i="8"/>
  <c r="BV126" i="8"/>
  <c r="BV127" i="8"/>
  <c r="BV147" i="8"/>
  <c r="X126" i="8"/>
  <c r="X127" i="8"/>
  <c r="X147" i="8"/>
  <c r="AU147" i="8"/>
  <c r="AU127" i="8"/>
  <c r="AU126" i="8"/>
  <c r="AR126" i="8"/>
  <c r="AR127" i="8"/>
  <c r="AR147" i="8"/>
  <c r="BQ127" i="8"/>
  <c r="AV147" i="8"/>
  <c r="L126" i="4"/>
  <c r="L128" i="4"/>
  <c r="L148" i="4"/>
  <c r="BX126" i="4"/>
  <c r="BX128" i="4"/>
  <c r="BX148" i="4"/>
  <c r="BO148" i="4"/>
  <c r="BO126" i="4"/>
  <c r="BO128" i="4"/>
  <c r="BF148" i="4"/>
  <c r="BF126" i="4"/>
  <c r="BF128" i="4"/>
  <c r="AW148" i="4"/>
  <c r="AW126" i="4"/>
  <c r="AW128" i="4"/>
  <c r="AN148" i="4"/>
  <c r="AN126" i="4"/>
  <c r="AN128" i="4"/>
  <c r="AM148" i="4"/>
  <c r="AM126" i="4"/>
  <c r="AM128" i="4"/>
  <c r="AC148" i="4"/>
  <c r="AC126" i="4"/>
  <c r="AC128" i="4"/>
  <c r="AD128" i="4"/>
  <c r="J268" i="8"/>
  <c r="J253" i="8"/>
  <c r="J294" i="8"/>
  <c r="J249" i="8"/>
  <c r="I307" i="8" s="1"/>
  <c r="J295" i="8"/>
  <c r="J293" i="8"/>
  <c r="S126" i="8"/>
  <c r="S147" i="8"/>
  <c r="S127" i="8"/>
  <c r="L156" i="8"/>
  <c r="L164" i="8"/>
  <c r="L155" i="8"/>
  <c r="L163" i="8"/>
  <c r="L171" i="8"/>
  <c r="L179" i="8"/>
  <c r="L158" i="8"/>
  <c r="L168" i="8"/>
  <c r="L177" i="8"/>
  <c r="L186" i="8"/>
  <c r="L194" i="8"/>
  <c r="L167" i="8"/>
  <c r="L170" i="8"/>
  <c r="L180" i="8"/>
  <c r="L191" i="8"/>
  <c r="M154" i="8"/>
  <c r="L159" i="8"/>
  <c r="L173" i="8"/>
  <c r="L183" i="8"/>
  <c r="L195" i="8"/>
  <c r="L161" i="8"/>
  <c r="L176" i="8"/>
  <c r="L190" i="8"/>
  <c r="L248" i="8"/>
  <c r="L166" i="8"/>
  <c r="L169" i="8"/>
  <c r="L172" i="8"/>
  <c r="L182" i="8"/>
  <c r="L185" i="8"/>
  <c r="L189" i="8"/>
  <c r="L193" i="8"/>
  <c r="L175" i="8"/>
  <c r="L178" i="8"/>
  <c r="L181" i="8"/>
  <c r="L188" i="8"/>
  <c r="L160" i="8"/>
  <c r="L165" i="8"/>
  <c r="L174" i="8"/>
  <c r="L184" i="8"/>
  <c r="L192" i="8"/>
  <c r="L187" i="8"/>
  <c r="L157" i="8"/>
  <c r="L162" i="8"/>
  <c r="L196" i="8"/>
  <c r="K127" i="8"/>
  <c r="K126" i="8"/>
  <c r="K147" i="8"/>
  <c r="AG126" i="8"/>
  <c r="AG127" i="8"/>
  <c r="AG147" i="8"/>
  <c r="AH126" i="8"/>
  <c r="BD126" i="8"/>
  <c r="BD127" i="8"/>
  <c r="BD147" i="8"/>
  <c r="BB126" i="8"/>
  <c r="BB127" i="8"/>
  <c r="BB147" i="8"/>
  <c r="BQ147" i="8"/>
  <c r="BE147" i="8"/>
  <c r="AV127" i="8"/>
  <c r="G10" i="7"/>
  <c r="G9" i="7"/>
  <c r="H8" i="7"/>
  <c r="T126" i="4"/>
  <c r="T128" i="4"/>
  <c r="T148" i="4"/>
  <c r="K148" i="4"/>
  <c r="K128" i="4"/>
  <c r="K126" i="4"/>
  <c r="BW148" i="4"/>
  <c r="BW128" i="4"/>
  <c r="BW126" i="4"/>
  <c r="BN148" i="4"/>
  <c r="BN126" i="4"/>
  <c r="BN128" i="4"/>
  <c r="BE148" i="4"/>
  <c r="BE126" i="4"/>
  <c r="BE128" i="4"/>
  <c r="AV148" i="4"/>
  <c r="AV126" i="4"/>
  <c r="AV128" i="4"/>
  <c r="AU148" i="4"/>
  <c r="AU126" i="4"/>
  <c r="AU128" i="4"/>
  <c r="AK148" i="4"/>
  <c r="AK126" i="4"/>
  <c r="AK128" i="4"/>
  <c r="BR126" i="4"/>
  <c r="N148" i="4"/>
  <c r="AD126" i="4"/>
  <c r="BJ128" i="4"/>
  <c r="J270" i="8"/>
  <c r="J255" i="8"/>
  <c r="BO147" i="8"/>
  <c r="BO127" i="8"/>
  <c r="BO126" i="8"/>
  <c r="I269" i="8"/>
  <c r="I254" i="8"/>
  <c r="T126" i="8"/>
  <c r="T127" i="8"/>
  <c r="T147" i="8"/>
  <c r="AQ127" i="8"/>
  <c r="AQ126" i="8"/>
  <c r="AQ147" i="8"/>
  <c r="BN147" i="8"/>
  <c r="BN126" i="8"/>
  <c r="BN127" i="8"/>
  <c r="O126" i="8"/>
  <c r="BE127" i="8"/>
  <c r="AV126" i="8"/>
  <c r="J254" i="8"/>
  <c r="AB126" i="4"/>
  <c r="AB128" i="4"/>
  <c r="AB148" i="4"/>
  <c r="S148" i="4"/>
  <c r="S126" i="4"/>
  <c r="S128" i="4"/>
  <c r="J148" i="4"/>
  <c r="J126" i="4"/>
  <c r="J128" i="4"/>
  <c r="BV148" i="4"/>
  <c r="BV126" i="4"/>
  <c r="BV128" i="4"/>
  <c r="BM148" i="4"/>
  <c r="BM126" i="4"/>
  <c r="BM128" i="4"/>
  <c r="BD148" i="4"/>
  <c r="BD126" i="4"/>
  <c r="BD128" i="4"/>
  <c r="BC148" i="4"/>
  <c r="BC126" i="4"/>
  <c r="BC128" i="4"/>
  <c r="AS148" i="4"/>
  <c r="AS126" i="4"/>
  <c r="AS128" i="4"/>
  <c r="N128" i="4"/>
  <c r="AL148" i="4"/>
  <c r="AY126" i="8"/>
  <c r="AY147" i="8"/>
  <c r="AY127" i="8"/>
  <c r="AZ127" i="8"/>
  <c r="AZ147" i="8"/>
  <c r="AZ126" i="8"/>
  <c r="J274" i="8"/>
  <c r="J283" i="8"/>
  <c r="J288" i="8"/>
  <c r="J260" i="8"/>
  <c r="AM126" i="8"/>
  <c r="AM147" i="8"/>
  <c r="AM127" i="8"/>
  <c r="BW127" i="8"/>
  <c r="BW126" i="8"/>
  <c r="BX126" i="8"/>
  <c r="BX127" i="8"/>
  <c r="BW147" i="8"/>
  <c r="BX147" i="8"/>
  <c r="I270" i="8"/>
  <c r="I255" i="8"/>
  <c r="AL147" i="8"/>
  <c r="O127" i="8"/>
  <c r="BE126" i="8"/>
  <c r="BC126" i="8"/>
  <c r="U147" i="8"/>
  <c r="AJ126" i="4"/>
  <c r="AJ128" i="4"/>
  <c r="AJ148" i="4"/>
  <c r="AA148" i="4"/>
  <c r="AA128" i="4"/>
  <c r="AA126" i="4"/>
  <c r="R148" i="4"/>
  <c r="R126" i="4"/>
  <c r="R128" i="4"/>
  <c r="I148" i="4"/>
  <c r="I126" i="4"/>
  <c r="I128" i="4"/>
  <c r="BU148" i="4"/>
  <c r="BU126" i="4"/>
  <c r="BU128" i="4"/>
  <c r="BL148" i="4"/>
  <c r="BL126" i="4"/>
  <c r="BL128" i="4"/>
  <c r="BK148" i="4"/>
  <c r="BK126" i="4"/>
  <c r="BK128" i="4"/>
  <c r="BA148" i="4"/>
  <c r="BA126" i="4"/>
  <c r="BA128" i="4"/>
  <c r="N126" i="4"/>
  <c r="AL128" i="4"/>
  <c r="BZ148" i="4"/>
  <c r="AJ127" i="8"/>
  <c r="AJ147" i="8"/>
  <c r="AJ126" i="8"/>
  <c r="I275" i="8"/>
  <c r="I284" i="8"/>
  <c r="I261" i="8"/>
  <c r="I289" i="8"/>
  <c r="AC126" i="8"/>
  <c r="AC147" i="8"/>
  <c r="AC127" i="8"/>
  <c r="AD127" i="8"/>
  <c r="AW126" i="8"/>
  <c r="AW127" i="8"/>
  <c r="AW147" i="8"/>
  <c r="AX127" i="8"/>
  <c r="L147" i="8"/>
  <c r="L126" i="8"/>
  <c r="L127" i="8"/>
  <c r="AL127" i="8"/>
  <c r="O147" i="8"/>
  <c r="M126" i="8"/>
  <c r="BC127" i="8"/>
  <c r="U126" i="8"/>
  <c r="AR126" i="4"/>
  <c r="AR128" i="4"/>
  <c r="AR148" i="4"/>
  <c r="AI148" i="4"/>
  <c r="AI126" i="4"/>
  <c r="AI128" i="4"/>
  <c r="Z148" i="4"/>
  <c r="Z126" i="4"/>
  <c r="Z128" i="4"/>
  <c r="Q148" i="4"/>
  <c r="Q126" i="4"/>
  <c r="Q128" i="4"/>
  <c r="BT148" i="4"/>
  <c r="BT126" i="4"/>
  <c r="BT128" i="4"/>
  <c r="BS148" i="4"/>
  <c r="BS126" i="4"/>
  <c r="BS128" i="4"/>
  <c r="BI148" i="4"/>
  <c r="BI126" i="4"/>
  <c r="BI128" i="4"/>
  <c r="V148" i="4"/>
  <c r="AL126" i="4"/>
  <c r="BZ128" i="4"/>
  <c r="J284" i="8"/>
  <c r="J261" i="8"/>
  <c r="J275" i="8"/>
  <c r="J289" i="8"/>
  <c r="AN147" i="8"/>
  <c r="BY147" i="8"/>
  <c r="BY127" i="8"/>
  <c r="BY126" i="8"/>
  <c r="BG147" i="8"/>
  <c r="BG127" i="8"/>
  <c r="BG126" i="8"/>
  <c r="R127" i="8"/>
  <c r="R147" i="8"/>
  <c r="R126" i="8"/>
  <c r="BH126" i="8"/>
  <c r="BH127" i="8"/>
  <c r="BH147" i="8"/>
  <c r="AX126" i="8"/>
  <c r="AL126" i="8"/>
  <c r="Y147" i="8"/>
  <c r="M127" i="8"/>
  <c r="BI127" i="8"/>
  <c r="BC147" i="8"/>
  <c r="U127" i="8"/>
  <c r="AX147" i="8"/>
  <c r="M321" i="13" l="1"/>
  <c r="CI106" i="13"/>
  <c r="L312" i="13"/>
  <c r="L316" i="13"/>
  <c r="L317" i="13"/>
  <c r="L313" i="13"/>
  <c r="N249" i="13"/>
  <c r="J301" i="8"/>
  <c r="K298" i="8"/>
  <c r="I301" i="8"/>
  <c r="L298" i="8"/>
  <c r="K294" i="8"/>
  <c r="K283" i="8"/>
  <c r="CG106" i="8"/>
  <c r="K321" i="8"/>
  <c r="K267" i="8"/>
  <c r="K252" i="8"/>
  <c r="K260" i="8"/>
  <c r="J256" i="8"/>
  <c r="K268" i="8"/>
  <c r="K299" i="8"/>
  <c r="K288" i="8"/>
  <c r="K255" i="8"/>
  <c r="K270" i="8"/>
  <c r="K274" i="8"/>
  <c r="M201" i="8"/>
  <c r="M213" i="8"/>
  <c r="M217" i="8"/>
  <c r="M207" i="8"/>
  <c r="M211" i="8"/>
  <c r="M215" i="8"/>
  <c r="M219" i="8"/>
  <c r="M223" i="8"/>
  <c r="M227" i="8"/>
  <c r="M231" i="8"/>
  <c r="M235" i="8"/>
  <c r="M239" i="8"/>
  <c r="M243" i="8"/>
  <c r="M247" i="8"/>
  <c r="M199" i="8"/>
  <c r="M204" i="8"/>
  <c r="M209" i="8"/>
  <c r="M200" i="8"/>
  <c r="M205" i="8"/>
  <c r="M210" i="8"/>
  <c r="M214" i="8"/>
  <c r="M218" i="8"/>
  <c r="M222" i="8"/>
  <c r="M226" i="8"/>
  <c r="M230" i="8"/>
  <c r="M234" i="8"/>
  <c r="M238" i="8"/>
  <c r="M242" i="8"/>
  <c r="M246" i="8"/>
  <c r="M198" i="8"/>
  <c r="M203" i="8"/>
  <c r="M206" i="8"/>
  <c r="M208" i="8"/>
  <c r="M212" i="8"/>
  <c r="M216" i="8"/>
  <c r="M220" i="8"/>
  <c r="M224" i="8"/>
  <c r="M228" i="8"/>
  <c r="M232" i="8"/>
  <c r="M236" i="8"/>
  <c r="M240" i="8"/>
  <c r="M244" i="8"/>
  <c r="M229" i="8"/>
  <c r="M241" i="8"/>
  <c r="M225" i="8"/>
  <c r="M221" i="8"/>
  <c r="M233" i="8"/>
  <c r="M245" i="8"/>
  <c r="M237" i="8"/>
  <c r="K261" i="8"/>
  <c r="K293" i="8"/>
  <c r="K253" i="8"/>
  <c r="K269" i="8"/>
  <c r="K295" i="8"/>
  <c r="K284" i="8"/>
  <c r="K254" i="8"/>
  <c r="K289" i="8"/>
  <c r="I256" i="8"/>
  <c r="K249" i="8"/>
  <c r="J307" i="8" s="1"/>
  <c r="J317" i="8" s="1"/>
  <c r="K282" i="8"/>
  <c r="K287" i="8"/>
  <c r="K259" i="8"/>
  <c r="K273" i="8"/>
  <c r="K275" i="8"/>
  <c r="L270" i="8"/>
  <c r="L255" i="8"/>
  <c r="L259" i="8"/>
  <c r="L273" i="8"/>
  <c r="L282" i="8"/>
  <c r="L287" i="8"/>
  <c r="I343" i="8"/>
  <c r="J316" i="8"/>
  <c r="J312" i="8"/>
  <c r="L260" i="8"/>
  <c r="L274" i="8"/>
  <c r="L288" i="8"/>
  <c r="L283" i="8"/>
  <c r="L268" i="8"/>
  <c r="L253" i="8"/>
  <c r="I313" i="8"/>
  <c r="I312" i="8"/>
  <c r="I317" i="8"/>
  <c r="I316" i="8"/>
  <c r="H339" i="8"/>
  <c r="H307" i="8"/>
  <c r="H10" i="7"/>
  <c r="H9" i="7"/>
  <c r="I8" i="7"/>
  <c r="L249" i="8"/>
  <c r="K307" i="8" s="1"/>
  <c r="L267" i="8"/>
  <c r="L293" i="8"/>
  <c r="L252" i="8"/>
  <c r="L299" i="8"/>
  <c r="L294" i="8"/>
  <c r="L295" i="8"/>
  <c r="L269" i="8"/>
  <c r="L254" i="8"/>
  <c r="L275" i="8"/>
  <c r="L289" i="8"/>
  <c r="L284" i="8"/>
  <c r="L261" i="8"/>
  <c r="M157" i="8"/>
  <c r="M165" i="8"/>
  <c r="M156" i="8"/>
  <c r="M164" i="8"/>
  <c r="M172" i="8"/>
  <c r="M180" i="8"/>
  <c r="M155" i="8"/>
  <c r="M173" i="8"/>
  <c r="M182" i="8"/>
  <c r="M187" i="8"/>
  <c r="M195" i="8"/>
  <c r="M162" i="8"/>
  <c r="M177" i="8"/>
  <c r="M196" i="8"/>
  <c r="M167" i="8"/>
  <c r="M170" i="8"/>
  <c r="M186" i="8"/>
  <c r="M191" i="8"/>
  <c r="N154" i="8"/>
  <c r="M159" i="8"/>
  <c r="M183" i="8"/>
  <c r="M161" i="8"/>
  <c r="M176" i="8"/>
  <c r="M179" i="8"/>
  <c r="M190" i="8"/>
  <c r="M194" i="8"/>
  <c r="M248" i="8"/>
  <c r="M158" i="8"/>
  <c r="M163" i="8"/>
  <c r="M166" i="8"/>
  <c r="M169" i="8"/>
  <c r="M185" i="8"/>
  <c r="M189" i="8"/>
  <c r="M193" i="8"/>
  <c r="M168" i="8"/>
  <c r="M171" i="8"/>
  <c r="M175" i="8"/>
  <c r="M178" i="8"/>
  <c r="M181" i="8"/>
  <c r="M188" i="8"/>
  <c r="M192" i="8"/>
  <c r="M174" i="8"/>
  <c r="M160" i="8"/>
  <c r="M184" i="8"/>
  <c r="M307" i="13" l="1"/>
  <c r="N321" i="13"/>
  <c r="CJ106" i="13"/>
  <c r="L301" i="8"/>
  <c r="K301" i="8"/>
  <c r="M298" i="8"/>
  <c r="J339" i="8"/>
  <c r="J313" i="8"/>
  <c r="L321" i="8"/>
  <c r="CH106" i="8"/>
  <c r="L256" i="8"/>
  <c r="K256" i="8"/>
  <c r="N203" i="8"/>
  <c r="N206" i="8"/>
  <c r="N208" i="8"/>
  <c r="N212" i="8"/>
  <c r="N216" i="8"/>
  <c r="N220" i="8"/>
  <c r="N224" i="8"/>
  <c r="N228" i="8"/>
  <c r="N232" i="8"/>
  <c r="N236" i="8"/>
  <c r="N240" i="8"/>
  <c r="N244" i="8"/>
  <c r="N197" i="8"/>
  <c r="N201" i="8"/>
  <c r="N226" i="8"/>
  <c r="N234" i="8"/>
  <c r="N202" i="8"/>
  <c r="N207" i="8"/>
  <c r="N211" i="8"/>
  <c r="N215" i="8"/>
  <c r="N219" i="8"/>
  <c r="N223" i="8"/>
  <c r="N227" i="8"/>
  <c r="N231" i="8"/>
  <c r="N235" i="8"/>
  <c r="N239" i="8"/>
  <c r="N243" i="8"/>
  <c r="N247" i="8"/>
  <c r="N205" i="8"/>
  <c r="N210" i="8"/>
  <c r="N214" i="8"/>
  <c r="N218" i="8"/>
  <c r="N222" i="8"/>
  <c r="N230" i="8"/>
  <c r="N238" i="8"/>
  <c r="N242" i="8"/>
  <c r="N246" i="8"/>
  <c r="N200" i="8"/>
  <c r="N199" i="8"/>
  <c r="N204" i="8"/>
  <c r="N209" i="8"/>
  <c r="N213" i="8"/>
  <c r="N217" i="8"/>
  <c r="N221" i="8"/>
  <c r="N225" i="8"/>
  <c r="N229" i="8"/>
  <c r="N233" i="8"/>
  <c r="N237" i="8"/>
  <c r="N241" i="8"/>
  <c r="N245" i="8"/>
  <c r="N198" i="8"/>
  <c r="K312" i="8"/>
  <c r="K316" i="8"/>
  <c r="K317" i="8"/>
  <c r="K313" i="8"/>
  <c r="I10" i="7"/>
  <c r="I9" i="7"/>
  <c r="N158" i="8"/>
  <c r="N166" i="8"/>
  <c r="N157" i="8"/>
  <c r="N165" i="8"/>
  <c r="N173" i="8"/>
  <c r="N181" i="8"/>
  <c r="N159" i="8"/>
  <c r="N162" i="8"/>
  <c r="N169" i="8"/>
  <c r="N178" i="8"/>
  <c r="N183" i="8"/>
  <c r="N188" i="8"/>
  <c r="N196" i="8"/>
  <c r="N160" i="8"/>
  <c r="N174" i="8"/>
  <c r="N184" i="8"/>
  <c r="N187" i="8"/>
  <c r="N192" i="8"/>
  <c r="N164" i="8"/>
  <c r="N177" i="8"/>
  <c r="N180" i="8"/>
  <c r="N167" i="8"/>
  <c r="N170" i="8"/>
  <c r="N186" i="8"/>
  <c r="N191" i="8"/>
  <c r="N195" i="8"/>
  <c r="N156" i="8"/>
  <c r="N161" i="8"/>
  <c r="N172" i="8"/>
  <c r="N176" i="8"/>
  <c r="N179" i="8"/>
  <c r="N182" i="8"/>
  <c r="N190" i="8"/>
  <c r="N194" i="8"/>
  <c r="N248" i="8"/>
  <c r="N163" i="8"/>
  <c r="N185" i="8"/>
  <c r="N189" i="8"/>
  <c r="N155" i="8"/>
  <c r="N193" i="8"/>
  <c r="N171" i="8"/>
  <c r="N175" i="8"/>
  <c r="N168" i="8"/>
  <c r="I349" i="8"/>
  <c r="I348" i="8"/>
  <c r="I347" i="8"/>
  <c r="H343" i="8"/>
  <c r="H346" i="8" s="1"/>
  <c r="M269" i="8"/>
  <c r="M254" i="8"/>
  <c r="M275" i="8"/>
  <c r="M284" i="8"/>
  <c r="M289" i="8"/>
  <c r="M261" i="8"/>
  <c r="M260" i="8"/>
  <c r="M274" i="8"/>
  <c r="M288" i="8"/>
  <c r="M283" i="8"/>
  <c r="M270" i="8"/>
  <c r="M255" i="8"/>
  <c r="M253" i="8"/>
  <c r="M268" i="8"/>
  <c r="I346" i="8"/>
  <c r="H312" i="8"/>
  <c r="H316" i="8"/>
  <c r="H313" i="8"/>
  <c r="H317" i="8"/>
  <c r="M287" i="8"/>
  <c r="M282" i="8"/>
  <c r="M273" i="8"/>
  <c r="M259" i="8"/>
  <c r="M295" i="8"/>
  <c r="M249" i="8"/>
  <c r="L307" i="8" s="1"/>
  <c r="M267" i="8"/>
  <c r="M293" i="8"/>
  <c r="M252" i="8"/>
  <c r="M299" i="8"/>
  <c r="M294" i="8"/>
  <c r="K339" i="8"/>
  <c r="J343" i="8"/>
  <c r="J346" i="8" s="1"/>
  <c r="O321" i="13" l="1"/>
  <c r="CK106" i="13"/>
  <c r="M312" i="13"/>
  <c r="N312" i="13" s="1"/>
  <c r="M316" i="13"/>
  <c r="N316" i="13" s="1"/>
  <c r="M317" i="13"/>
  <c r="N317" i="13" s="1"/>
  <c r="M313" i="13"/>
  <c r="N313" i="13" s="1"/>
  <c r="N298" i="8"/>
  <c r="M301" i="8"/>
  <c r="CI106" i="8"/>
  <c r="M321" i="8"/>
  <c r="N268" i="8"/>
  <c r="M256" i="8"/>
  <c r="N275" i="8"/>
  <c r="N289" i="8"/>
  <c r="N284" i="8"/>
  <c r="N261" i="8"/>
  <c r="P261" i="8" s="1"/>
  <c r="L339" i="8"/>
  <c r="N260" i="8"/>
  <c r="P260" i="8" s="1"/>
  <c r="N288" i="8"/>
  <c r="N283" i="8"/>
  <c r="N274" i="8"/>
  <c r="L312" i="8"/>
  <c r="L317" i="8"/>
  <c r="L316" i="8"/>
  <c r="L313" i="8"/>
  <c r="N253" i="8"/>
  <c r="P253" i="8" s="1"/>
  <c r="K343" i="8"/>
  <c r="K346" i="8" s="1"/>
  <c r="N270" i="8"/>
  <c r="N255" i="8"/>
  <c r="N282" i="8"/>
  <c r="N273" i="8"/>
  <c r="N287" i="8"/>
  <c r="N259" i="8"/>
  <c r="P259" i="8" s="1"/>
  <c r="J349" i="8"/>
  <c r="J348" i="8"/>
  <c r="N254" i="8"/>
  <c r="P254" i="8" s="1"/>
  <c r="N269" i="8"/>
  <c r="I352" i="8"/>
  <c r="I351" i="8"/>
  <c r="H348" i="8"/>
  <c r="H347" i="8"/>
  <c r="H349" i="8"/>
  <c r="N267" i="8"/>
  <c r="N249" i="8"/>
  <c r="N294" i="8"/>
  <c r="N293" i="8"/>
  <c r="N295" i="8"/>
  <c r="N252" i="8"/>
  <c r="P252" i="8" s="1"/>
  <c r="N299" i="8"/>
  <c r="P321" i="13" l="1"/>
  <c r="CL106" i="13"/>
  <c r="N301" i="8"/>
  <c r="CJ106" i="8"/>
  <c r="N321" i="8"/>
  <c r="N256" i="8"/>
  <c r="P255" i="8"/>
  <c r="J352" i="8"/>
  <c r="H351" i="8"/>
  <c r="L343" i="8"/>
  <c r="L346" i="8" s="1"/>
  <c r="M339" i="8"/>
  <c r="M307" i="8"/>
  <c r="P249" i="8"/>
  <c r="H352" i="8"/>
  <c r="J351" i="8"/>
  <c r="K347" i="8"/>
  <c r="K349" i="8"/>
  <c r="K348" i="8"/>
  <c r="Q321" i="13" l="1"/>
  <c r="CM106" i="13"/>
  <c r="CK106" i="8"/>
  <c r="O321" i="8"/>
  <c r="K352" i="8"/>
  <c r="M316" i="8"/>
  <c r="N316" i="8" s="1"/>
  <c r="M313" i="8"/>
  <c r="N313" i="8" s="1"/>
  <c r="M312" i="8"/>
  <c r="N312" i="8" s="1"/>
  <c r="M317" i="8"/>
  <c r="N317" i="8" s="1"/>
  <c r="L347" i="8"/>
  <c r="L349" i="8"/>
  <c r="L348" i="8"/>
  <c r="K351" i="8"/>
  <c r="M343" i="8"/>
  <c r="M346" i="8" s="1"/>
  <c r="R321" i="13" l="1"/>
  <c r="CN106" i="13"/>
  <c r="S321" i="13" s="1"/>
  <c r="CL106" i="8"/>
  <c r="P321" i="8"/>
  <c r="L351" i="8"/>
  <c r="L352" i="8"/>
  <c r="M348" i="8"/>
  <c r="M347" i="8"/>
  <c r="M349" i="8"/>
  <c r="CM106" i="8" l="1"/>
  <c r="Q321" i="8"/>
  <c r="M352" i="8"/>
  <c r="M351" i="8"/>
  <c r="CN106" i="8" l="1"/>
  <c r="S321" i="8" s="1"/>
  <c r="R321" i="8"/>
</calcChain>
</file>

<file path=xl/sharedStrings.xml><?xml version="1.0" encoding="utf-8"?>
<sst xmlns="http://schemas.openxmlformats.org/spreadsheetml/2006/main" count="2225" uniqueCount="221">
  <si>
    <t>City</t>
    <phoneticPr fontId="2" type="noConversion"/>
  </si>
  <si>
    <t>State</t>
    <phoneticPr fontId="2" type="noConversion"/>
  </si>
  <si>
    <t>AL</t>
  </si>
  <si>
    <t>If</t>
    <phoneticPr fontId="2" type="noConversion"/>
  </si>
  <si>
    <t>AND</t>
    <phoneticPr fontId="2" type="noConversion"/>
  </si>
  <si>
    <t>OR</t>
    <phoneticPr fontId="2" type="noConversion"/>
  </si>
  <si>
    <t>CAGR</t>
    <phoneticPr fontId="2" type="noConversion"/>
  </si>
  <si>
    <t>ABS</t>
    <phoneticPr fontId="2" type="noConversion"/>
  </si>
  <si>
    <t>NM</t>
  </si>
  <si>
    <t>Albuquerque</t>
  </si>
  <si>
    <t>GA</t>
  </si>
  <si>
    <t>Atlanta</t>
  </si>
  <si>
    <t>TX</t>
  </si>
  <si>
    <t>Austin</t>
  </si>
  <si>
    <t>LA</t>
  </si>
  <si>
    <t>Baton Rouge</t>
  </si>
  <si>
    <t>Birmingham</t>
  </si>
  <si>
    <t>IL</t>
  </si>
  <si>
    <t>Chicago</t>
  </si>
  <si>
    <t>CO</t>
  </si>
  <si>
    <t>Colorado Springs</t>
  </si>
  <si>
    <t>Dallas</t>
  </si>
  <si>
    <t>Denver</t>
  </si>
  <si>
    <t>IA</t>
  </si>
  <si>
    <t>Des Moines</t>
  </si>
  <si>
    <t>MI</t>
  </si>
  <si>
    <t>Detroit</t>
  </si>
  <si>
    <t>IN</t>
  </si>
  <si>
    <t>Fort Wayne</t>
  </si>
  <si>
    <t>KY</t>
  </si>
  <si>
    <t>Frankfort</t>
  </si>
  <si>
    <t>Houston</t>
  </si>
  <si>
    <t>Indianapolis</t>
  </si>
  <si>
    <t>MS</t>
  </si>
  <si>
    <t>Jackson</t>
  </si>
  <si>
    <t>FL</t>
  </si>
  <si>
    <t>Jacksonville</t>
  </si>
  <si>
    <t>MO</t>
  </si>
  <si>
    <t>Jefferson City</t>
  </si>
  <si>
    <t>Kansas City</t>
  </si>
  <si>
    <t>Lansing</t>
  </si>
  <si>
    <t>NE</t>
  </si>
  <si>
    <t>Lincoln</t>
  </si>
  <si>
    <t>AR</t>
  </si>
  <si>
    <t>Little Rock</t>
  </si>
  <si>
    <t>Louisville</t>
  </si>
  <si>
    <t>AZ</t>
  </si>
  <si>
    <t>CA</t>
  </si>
  <si>
    <t>CT</t>
  </si>
  <si>
    <t>DE</t>
  </si>
  <si>
    <t>ID</t>
  </si>
  <si>
    <t>KS</t>
  </si>
  <si>
    <t>MA</t>
  </si>
  <si>
    <t>MD</t>
  </si>
  <si>
    <t>WI</t>
  </si>
  <si>
    <t>Madison</t>
  </si>
  <si>
    <t>TN</t>
  </si>
  <si>
    <t>Memphis</t>
  </si>
  <si>
    <t>Milwaukee</t>
  </si>
  <si>
    <t>MN</t>
  </si>
  <si>
    <t>Minneapolis</t>
  </si>
  <si>
    <t>Montgomery</t>
  </si>
  <si>
    <t>Nashville</t>
  </si>
  <si>
    <t>New Orleans</t>
  </si>
  <si>
    <t>OK</t>
  </si>
  <si>
    <t>Oklahoma City</t>
  </si>
  <si>
    <t>Omaha</t>
  </si>
  <si>
    <t>SD</t>
  </si>
  <si>
    <t>Pierre</t>
  </si>
  <si>
    <t>Saint Paul</t>
  </si>
  <si>
    <t>Santa Fe</t>
  </si>
  <si>
    <t>Sioux Falls</t>
  </si>
  <si>
    <t>Springfield</t>
  </si>
  <si>
    <t>Tallahassee</t>
  </si>
  <si>
    <t>Topeka</t>
  </si>
  <si>
    <t>Tulsa</t>
  </si>
  <si>
    <t>Wichita</t>
  </si>
  <si>
    <t>ME</t>
  </si>
  <si>
    <t>Hartford</t>
  </si>
  <si>
    <t>Bridgeport</t>
  </si>
  <si>
    <t>Dover</t>
  </si>
  <si>
    <t>Wilmington</t>
  </si>
  <si>
    <t>Boston</t>
  </si>
  <si>
    <t>NC</t>
  </si>
  <si>
    <t>Annapolis</t>
  </si>
  <si>
    <t>Baltimore</t>
  </si>
  <si>
    <t>NH</t>
  </si>
  <si>
    <t>Augusta</t>
  </si>
  <si>
    <t>NJ</t>
  </si>
  <si>
    <t>Portland</t>
  </si>
  <si>
    <t>Raleigh</t>
  </si>
  <si>
    <t>NV</t>
  </si>
  <si>
    <t>Charlotte</t>
  </si>
  <si>
    <t>NY</t>
  </si>
  <si>
    <t>Concord</t>
  </si>
  <si>
    <t>OH</t>
  </si>
  <si>
    <t>Manchester</t>
  </si>
  <si>
    <t>Trenton</t>
  </si>
  <si>
    <t>OR</t>
  </si>
  <si>
    <t>Newark</t>
  </si>
  <si>
    <t>PA</t>
  </si>
  <si>
    <t>New York</t>
  </si>
  <si>
    <t>Albany</t>
  </si>
  <si>
    <t>RI</t>
  </si>
  <si>
    <t>SC</t>
  </si>
  <si>
    <t>Columbus</t>
  </si>
  <si>
    <t>Cleveland</t>
  </si>
  <si>
    <t>Cincinnati</t>
  </si>
  <si>
    <t>Toledo</t>
  </si>
  <si>
    <t>UT</t>
  </si>
  <si>
    <t>Harrisburg</t>
  </si>
  <si>
    <t>VA</t>
  </si>
  <si>
    <t>Philadelphia</t>
  </si>
  <si>
    <t>VT</t>
  </si>
  <si>
    <t>Providence</t>
  </si>
  <si>
    <t>WA</t>
  </si>
  <si>
    <t>Columbia</t>
  </si>
  <si>
    <t>Charleston</t>
  </si>
  <si>
    <t>Richmond</t>
  </si>
  <si>
    <t>Virginia Beach</t>
  </si>
  <si>
    <t>Montpelier</t>
  </si>
  <si>
    <t>Burlington</t>
  </si>
  <si>
    <t>Phoenix</t>
  </si>
  <si>
    <t>Tucson</t>
  </si>
  <si>
    <t>Mesa</t>
  </si>
  <si>
    <t>Los Angeles</t>
  </si>
  <si>
    <t>Sacramento</t>
  </si>
  <si>
    <t>San Francisco</t>
  </si>
  <si>
    <t>San Diego</t>
  </si>
  <si>
    <t>San Jose</t>
  </si>
  <si>
    <t>Boise</t>
  </si>
  <si>
    <t>Carson City</t>
  </si>
  <si>
    <t>Las Vegas</t>
  </si>
  <si>
    <t>Salem</t>
  </si>
  <si>
    <t>Salt Lake City</t>
  </si>
  <si>
    <t>Olympia</t>
  </si>
  <si>
    <t>Seattle</t>
  </si>
  <si>
    <t>COUNT</t>
    <phoneticPr fontId="2" type="noConversion"/>
  </si>
  <si>
    <t>COUNTIF</t>
    <phoneticPr fontId="2" type="noConversion"/>
  </si>
  <si>
    <t>COUNTIFS</t>
    <phoneticPr fontId="2" type="noConversion"/>
  </si>
  <si>
    <r>
      <rPr>
        <sz val="11"/>
        <color theme="1"/>
        <rFont val="Arial Unicode MS"/>
        <family val="1"/>
        <charset val="129"/>
      </rPr>
      <t>지역</t>
    </r>
    <phoneticPr fontId="2" type="noConversion"/>
  </si>
  <si>
    <t>YEAR</t>
    <phoneticPr fontId="2" type="noConversion"/>
  </si>
  <si>
    <t>SUMIF</t>
    <phoneticPr fontId="2" type="noConversion"/>
  </si>
  <si>
    <t>ISNUMBER</t>
    <phoneticPr fontId="2" type="noConversion"/>
  </si>
  <si>
    <t>ISERROR</t>
    <phoneticPr fontId="2" type="noConversion"/>
  </si>
  <si>
    <t>A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</si>
  <si>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</si>
  <si>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</si>
  <si>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</si>
  <si>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Midwest</t>
  </si>
  <si>
    <t>South</t>
  </si>
  <si>
    <t>West</t>
  </si>
  <si>
    <t>Data Check</t>
    <phoneticPr fontId="2" type="noConversion"/>
  </si>
  <si>
    <t>SUM</t>
    <phoneticPr fontId="2" type="noConversion"/>
  </si>
  <si>
    <t>IF</t>
    <phoneticPr fontId="2" type="noConversion"/>
  </si>
  <si>
    <t>IF + OR</t>
    <phoneticPr fontId="2" type="noConversion"/>
  </si>
  <si>
    <t>IF + AND</t>
    <phoneticPr fontId="2" type="noConversion"/>
  </si>
  <si>
    <t>X</t>
  </si>
  <si>
    <t>3Q ERROR</t>
    <phoneticPr fontId="2" type="noConversion"/>
  </si>
  <si>
    <t>1Q ERROR</t>
    <phoneticPr fontId="2" type="noConversion"/>
  </si>
  <si>
    <t>SUMIFS</t>
    <phoneticPr fontId="2" type="noConversion"/>
  </si>
  <si>
    <t>AVERAGEIF</t>
    <phoneticPr fontId="2" type="noConversion"/>
  </si>
  <si>
    <t>AVERAGEIFS</t>
    <phoneticPr fontId="2" type="noConversion"/>
  </si>
  <si>
    <t>Total</t>
    <phoneticPr fontId="2" type="noConversion"/>
  </si>
  <si>
    <t>ERROR CHECK</t>
    <phoneticPr fontId="2" type="noConversion"/>
  </si>
  <si>
    <t>ERROR CHECK (1)</t>
    <phoneticPr fontId="2" type="noConversion"/>
  </si>
  <si>
    <t>ERROR CHECK  (2)</t>
    <phoneticPr fontId="2" type="noConversion"/>
  </si>
  <si>
    <t>Total # of stores</t>
    <phoneticPr fontId="2" type="noConversion"/>
  </si>
  <si>
    <t>Data analysis</t>
    <phoneticPr fontId="2" type="noConversion"/>
  </si>
  <si>
    <t>Business Projection</t>
    <phoneticPr fontId="2" type="noConversion"/>
  </si>
  <si>
    <r>
      <rPr>
        <sz val="11"/>
        <color theme="1"/>
        <rFont val="Arial Unicode MS"/>
        <family val="1"/>
        <charset val="129"/>
      </rPr>
      <t>피합병여부</t>
    </r>
    <phoneticPr fontId="2" type="noConversion"/>
  </si>
  <si>
    <r>
      <rPr>
        <sz val="11"/>
        <color theme="1"/>
        <rFont val="Arial Unicode MS"/>
        <family val="1"/>
        <charset val="129"/>
      </rPr>
      <t>구분</t>
    </r>
    <phoneticPr fontId="2" type="noConversion"/>
  </si>
  <si>
    <t>A</t>
  </si>
  <si>
    <t>Analyst A</t>
  </si>
  <si>
    <t>Analyst A</t>
    <phoneticPr fontId="2" type="noConversion"/>
  </si>
  <si>
    <t>Analyst B</t>
  </si>
  <si>
    <t>Analyst B</t>
    <phoneticPr fontId="2" type="noConversion"/>
  </si>
  <si>
    <t>HHI</t>
    <phoneticPr fontId="2" type="noConversion"/>
  </si>
  <si>
    <t>Y</t>
  </si>
  <si>
    <t>Z</t>
  </si>
  <si>
    <t>East</t>
  </si>
  <si>
    <t>DATE</t>
    <phoneticPr fontId="2" type="noConversion"/>
  </si>
  <si>
    <r>
      <t>(</t>
    </r>
    <r>
      <rPr>
        <sz val="11"/>
        <color theme="1"/>
        <rFont val="Arial Unicode MS"/>
        <family val="1"/>
        <charset val="129"/>
      </rPr>
      <t>피합병</t>
    </r>
    <r>
      <rPr>
        <sz val="11"/>
        <color theme="1"/>
        <rFont val="Arial"/>
        <family val="2"/>
      </rPr>
      <t>)</t>
    </r>
    <phoneticPr fontId="2" type="noConversion"/>
  </si>
  <si>
    <r>
      <rPr>
        <b/>
        <sz val="11"/>
        <color theme="1"/>
        <rFont val="Arial Unicode MS"/>
        <family val="3"/>
        <charset val="129"/>
      </rPr>
      <t>팁</t>
    </r>
    <r>
      <rPr>
        <b/>
        <sz val="11"/>
        <color theme="1"/>
        <rFont val="Arial"/>
        <family val="2"/>
      </rPr>
      <t xml:space="preserve">: </t>
    </r>
    <r>
      <rPr>
        <b/>
        <sz val="11"/>
        <color theme="1"/>
        <rFont val="Arial Unicode MS"/>
        <family val="3"/>
        <charset val="129"/>
      </rPr>
      <t>계산식은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Arial Unicode MS"/>
        <family val="3"/>
        <charset val="129"/>
      </rPr>
      <t>짧을수록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Arial Unicode MS"/>
        <family val="3"/>
        <charset val="129"/>
      </rPr>
      <t>좋다</t>
    </r>
    <r>
      <rPr>
        <b/>
        <sz val="11"/>
        <color theme="1"/>
        <rFont val="Arial"/>
        <family val="2"/>
      </rPr>
      <t xml:space="preserve">. </t>
    </r>
    <phoneticPr fontId="2" type="noConversion"/>
  </si>
  <si>
    <r>
      <rPr>
        <b/>
        <sz val="11"/>
        <color theme="1"/>
        <rFont val="Arial Unicode MS"/>
        <family val="3"/>
        <charset val="129"/>
      </rPr>
      <t>지금까지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Arial Unicode MS"/>
        <family val="3"/>
        <charset val="129"/>
      </rPr>
      <t>증명하는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Arial Unicode MS"/>
        <family val="3"/>
        <charset val="129"/>
      </rPr>
      <t>단계</t>
    </r>
    <phoneticPr fontId="2" type="noConversion"/>
  </si>
  <si>
    <t>합병구분</t>
    <phoneticPr fontId="2" type="noConversion"/>
  </si>
  <si>
    <t>(Reported currencies in '000)</t>
    <phoneticPr fontId="2" type="noConversion"/>
  </si>
  <si>
    <t>Company A revenue analysis</t>
    <phoneticPr fontId="19" type="noConversion"/>
  </si>
  <si>
    <t>평균</t>
    <phoneticPr fontId="2" type="noConversion"/>
  </si>
  <si>
    <t>최저</t>
    <phoneticPr fontId="2" type="noConversion"/>
  </si>
  <si>
    <t>최고</t>
    <phoneticPr fontId="2" type="noConversion"/>
  </si>
  <si>
    <t>AVERAGEIFS + ISERROR</t>
    <phoneticPr fontId="2" type="noConversion"/>
  </si>
  <si>
    <t>AVERAGEIFS + ISNUMBER</t>
    <phoneticPr fontId="2" type="noConversion"/>
  </si>
  <si>
    <r>
      <t># of stores (</t>
    </r>
    <r>
      <rPr>
        <sz val="11"/>
        <color theme="1"/>
        <rFont val="Arial Unicode MS"/>
        <family val="1"/>
        <charset val="129"/>
      </rPr>
      <t>피합병</t>
    </r>
    <r>
      <rPr>
        <sz val="11"/>
        <color theme="1"/>
        <rFont val="Arial"/>
        <family val="2"/>
      </rPr>
      <t>)</t>
    </r>
    <phoneticPr fontId="2" type="noConversion"/>
  </si>
  <si>
    <r>
      <t># of stores (</t>
    </r>
    <r>
      <rPr>
        <sz val="11"/>
        <color theme="1"/>
        <rFont val="Arial Unicode MS"/>
        <family val="1"/>
        <charset val="129"/>
      </rPr>
      <t>피합병</t>
    </r>
    <r>
      <rPr>
        <sz val="11"/>
        <color theme="1"/>
        <rFont val="Arial"/>
        <family val="2"/>
      </rPr>
      <t>) in West</t>
    </r>
    <phoneticPr fontId="2" type="noConversion"/>
  </si>
  <si>
    <r>
      <rPr>
        <sz val="11"/>
        <color theme="1"/>
        <rFont val="Arial Unicode MS"/>
        <family val="1"/>
        <charset val="129"/>
      </rPr>
      <t>실제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2"/>
        <charset val="129"/>
      </rPr>
      <t>매출액</t>
    </r>
    <phoneticPr fontId="2" type="noConversion"/>
  </si>
  <si>
    <t>2021 Monthly projection</t>
    <phoneticPr fontId="2" type="noConversion"/>
  </si>
  <si>
    <t>변화율</t>
    <phoneticPr fontId="2" type="noConversion"/>
  </si>
  <si>
    <r>
      <t>East</t>
    </r>
    <r>
      <rPr>
        <b/>
        <sz val="11"/>
        <color theme="1"/>
        <rFont val="Arial Unicode MS"/>
        <family val="3"/>
        <charset val="129"/>
      </rPr>
      <t>지역 경쟁사들의 매출액</t>
    </r>
    <phoneticPr fontId="2" type="noConversion"/>
  </si>
  <si>
    <r>
      <t>East</t>
    </r>
    <r>
      <rPr>
        <b/>
        <sz val="11"/>
        <color theme="1"/>
        <rFont val="Arial Unicode MS"/>
        <family val="3"/>
        <charset val="129"/>
      </rPr>
      <t>지역 경쟁사들의 시장점유율</t>
    </r>
    <phoneticPr fontId="2" type="noConversion"/>
  </si>
  <si>
    <r>
      <t xml:space="preserve">HHI w/o </t>
    </r>
    <r>
      <rPr>
        <sz val="11"/>
        <color theme="1"/>
        <rFont val="Arial Unicode MS"/>
        <family val="2"/>
        <charset val="129"/>
      </rPr>
      <t>함수</t>
    </r>
    <phoneticPr fontId="2" type="noConversion"/>
  </si>
  <si>
    <t xml:space="preserve">If: TRUE =1 </t>
    <phoneticPr fontId="2" type="noConversion"/>
  </si>
  <si>
    <r>
      <rPr>
        <sz val="11"/>
        <color theme="1"/>
        <rFont val="Arial Unicode MS"/>
        <family val="2"/>
        <charset val="129"/>
      </rPr>
      <t>기업</t>
    </r>
    <r>
      <rPr>
        <sz val="11"/>
        <color theme="1"/>
        <rFont val="Arial"/>
        <family val="2"/>
      </rPr>
      <t>A</t>
    </r>
    <r>
      <rPr>
        <sz val="11"/>
        <color theme="1"/>
        <rFont val="Arial Unicode MS"/>
        <family val="2"/>
        <charset val="129"/>
      </rPr>
      <t xml:space="preserve">의 기존 </t>
    </r>
    <r>
      <rPr>
        <sz val="11"/>
        <color theme="1"/>
        <rFont val="Arial"/>
        <family val="2"/>
      </rPr>
      <t xml:space="preserve">West </t>
    </r>
    <r>
      <rPr>
        <sz val="11"/>
        <color theme="1"/>
        <rFont val="Arial Unicode MS"/>
        <family val="2"/>
        <charset val="129"/>
      </rPr>
      <t>매장의 평균 매출액</t>
    </r>
    <phoneticPr fontId="2" type="noConversion"/>
  </si>
  <si>
    <t>Latest update:</t>
  </si>
  <si>
    <t>© 2021 Wall Street Training Asia Inc.</t>
    <phoneticPr fontId="29" type="noConversion"/>
  </si>
  <si>
    <t>No portion of this report may be reproduced, reused, or otherwise distributed in any form without prior written consent.</t>
  </si>
  <si>
    <t xml:space="preserve">For more information, please visit/contatct Wall Street Training Asia Inc. through www.wallstreettraining.co.kr </t>
    <phoneticPr fontId="29" type="noConversion"/>
  </si>
  <si>
    <t>© 2021 (주)월스트릿트레이닝아시아.</t>
    <phoneticPr fontId="29" type="noConversion"/>
  </si>
  <si>
    <t>이 파일은 대한민국 및 미국 저작권법의 보호를 받는 저작물 입니다.</t>
  </si>
  <si>
    <t>파일의 원 저자로부터 서면에 의한 허락없이 이 파일의 일부나 전체를 어떠한 형태로도 가공/배포할 수 없습니다.</t>
  </si>
  <si>
    <t>이를 위반시에는 형사/민사상의 법적 책임을 질수 있으며, 특별한 문의가 있는경우 www.wallstreettraining.co.kr에 있는 정보로 연락주시기 바랍니다.</t>
  </si>
  <si>
    <t>방대한 매출 데이터 분석하기</t>
    <phoneticPr fontId="29" type="noConversion"/>
  </si>
  <si>
    <r>
      <t>Company A revenue analysis (</t>
    </r>
    <r>
      <rPr>
        <b/>
        <sz val="20"/>
        <color theme="0"/>
        <rFont val="Arial Unicode MS"/>
        <family val="2"/>
        <charset val="129"/>
      </rPr>
      <t xml:space="preserve">교재: </t>
    </r>
    <r>
      <rPr>
        <b/>
        <sz val="20"/>
        <color theme="0"/>
        <rFont val="Arial"/>
        <family val="2"/>
      </rPr>
      <t>P46</t>
    </r>
    <r>
      <rPr>
        <b/>
        <sz val="20"/>
        <color theme="0"/>
        <rFont val="Arial Unicode MS"/>
        <family val="2"/>
        <charset val="129"/>
      </rPr>
      <t>부터)</t>
    </r>
    <phoneticPr fontId="19" type="noConversion"/>
  </si>
  <si>
    <t>West/Total</t>
    <phoneticPr fontId="2" type="noConversion"/>
  </si>
  <si>
    <r>
      <t xml:space="preserve">&lt;-- </t>
    </r>
    <r>
      <rPr>
        <sz val="11"/>
        <color theme="1"/>
        <rFont val="Arial Unicode MS"/>
        <family val="2"/>
        <charset val="129"/>
      </rPr>
      <t>위 월별 예상값을 이 곳으로 링크</t>
    </r>
    <phoneticPr fontId="2" type="noConversion"/>
  </si>
  <si>
    <r>
      <t>Company A revenue analysis (</t>
    </r>
    <r>
      <rPr>
        <b/>
        <sz val="20"/>
        <color theme="0"/>
        <rFont val="Arial Unicode MS"/>
        <family val="2"/>
        <charset val="129"/>
      </rPr>
      <t>정답)</t>
    </r>
    <phoneticPr fontId="19" type="noConversion"/>
  </si>
  <si>
    <t>CONCATENATE</t>
    <phoneticPr fontId="2" type="noConversion"/>
  </si>
  <si>
    <t>RATE</t>
    <phoneticPr fontId="2" type="noConversion"/>
  </si>
  <si>
    <t>EOMONTH</t>
    <phoneticPr fontId="2" type="noConversion"/>
  </si>
  <si>
    <t>SUMSQ</t>
    <phoneticPr fontId="2" type="noConversion"/>
  </si>
  <si>
    <t>교재에 소개된 함수 실습링크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</si>
</sst>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.0_);\(#,##0.0\);\-_)"/>
  </numFmts>
  <fonts count="3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Arial Unicode MS"/>
      <family val="1"/>
      <charset val="129"/>
    </font>
    <font>
      <b/>
      <sz val="11"/>
      <color theme="1"/>
      <name val="Arial Unicode MS"/>
      <family val="3"/>
      <charset val="129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theme="0"/>
      <name val="Arial"/>
      <family val="2"/>
    </font>
    <font>
      <i/>
      <sz val="11"/>
      <color theme="0"/>
      <name val="Arial"/>
      <family val="2"/>
    </font>
    <font>
      <sz val="11"/>
      <color rgb="FF008000"/>
      <name val="Arial"/>
      <family val="2"/>
    </font>
    <font>
      <b/>
      <u/>
      <sz val="11"/>
      <color theme="1"/>
      <name val="Arial"/>
      <family val="2"/>
    </font>
    <font>
      <sz val="11"/>
      <color rgb="FF7030A0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3"/>
    </font>
    <font>
      <i/>
      <sz val="11"/>
      <name val="Arial"/>
      <family val="2"/>
    </font>
    <font>
      <b/>
      <sz val="15"/>
      <color theme="0"/>
      <name val="Arial"/>
      <family val="2"/>
    </font>
    <font>
      <sz val="8"/>
      <name val="돋움"/>
      <family val="3"/>
      <charset val="129"/>
    </font>
    <font>
      <b/>
      <sz val="20"/>
      <color theme="0"/>
      <name val="Arial"/>
      <family val="2"/>
    </font>
    <font>
      <sz val="11"/>
      <color theme="1"/>
      <name val="Arial Unicode MS"/>
      <family val="2"/>
      <charset val="129"/>
    </font>
    <font>
      <sz val="11"/>
      <color theme="1"/>
      <name val="Arial"/>
      <family val="1"/>
      <charset val="129"/>
    </font>
    <font>
      <sz val="11"/>
      <color theme="1"/>
      <name val="Arial"/>
      <family val="2"/>
      <charset val="129"/>
    </font>
    <font>
      <sz val="11"/>
      <color theme="1"/>
      <name val="맑은 고딕"/>
      <family val="2"/>
      <scheme val="minor"/>
    </font>
    <font>
      <sz val="6"/>
      <color theme="1"/>
      <name val="Garamond"/>
      <family val="1"/>
    </font>
    <font>
      <b/>
      <sz val="16"/>
      <color theme="1"/>
      <name val="Garamond"/>
      <family val="1"/>
    </font>
    <font>
      <sz val="11"/>
      <color theme="1"/>
      <name val="Garamond"/>
      <family val="1"/>
    </font>
    <font>
      <b/>
      <sz val="15"/>
      <color theme="1"/>
      <name val="바탕"/>
      <family val="1"/>
      <charset val="129"/>
    </font>
    <font>
      <sz val="8"/>
      <name val="맑은 고딕"/>
      <family val="2"/>
      <charset val="129"/>
      <scheme val="minor"/>
    </font>
    <font>
      <sz val="11"/>
      <color rgb="FF0000FF"/>
      <name val="Garamond"/>
      <family val="1"/>
    </font>
    <font>
      <i/>
      <sz val="8"/>
      <color theme="1"/>
      <name val="맑은 고딕"/>
      <family val="2"/>
      <scheme val="minor"/>
    </font>
    <font>
      <b/>
      <sz val="20"/>
      <color theme="0"/>
      <name val="Arial Unicode MS"/>
      <family val="2"/>
      <charset val="129"/>
    </font>
    <font>
      <b/>
      <sz val="11"/>
      <color rgb="FF008000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008000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4" fillId="0" borderId="0"/>
  </cellStyleXfs>
  <cellXfs count="83">
    <xf numFmtId="0" fontId="0" fillId="0" borderId="0" xfId="0"/>
    <xf numFmtId="0" fontId="4" fillId="0" borderId="0" xfId="0" applyFont="1"/>
    <xf numFmtId="0" fontId="3" fillId="2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14" fontId="6" fillId="2" borderId="1" xfId="0" applyNumberFormat="1" applyFont="1" applyFill="1" applyBorder="1"/>
    <xf numFmtId="0" fontId="6" fillId="0" borderId="0" xfId="1" applyFont="1">
      <alignment vertical="center"/>
    </xf>
    <xf numFmtId="3" fontId="6" fillId="0" borderId="0" xfId="0" applyNumberFormat="1" applyFont="1"/>
    <xf numFmtId="9" fontId="6" fillId="0" borderId="0" xfId="0" applyNumberFormat="1" applyFont="1"/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/>
    </xf>
    <xf numFmtId="9" fontId="9" fillId="0" borderId="0" xfId="0" applyNumberFormat="1" applyFont="1"/>
    <xf numFmtId="0" fontId="5" fillId="3" borderId="0" xfId="0" applyFont="1" applyFill="1"/>
    <xf numFmtId="0" fontId="10" fillId="3" borderId="0" xfId="0" applyFont="1" applyFill="1"/>
    <xf numFmtId="3" fontId="10" fillId="3" borderId="0" xfId="0" applyNumberFormat="1" applyFont="1" applyFill="1"/>
    <xf numFmtId="9" fontId="11" fillId="3" borderId="0" xfId="0" applyNumberFormat="1" applyFont="1" applyFill="1"/>
    <xf numFmtId="3" fontId="12" fillId="0" borderId="0" xfId="0" applyNumberFormat="1" applyFont="1"/>
    <xf numFmtId="9" fontId="9" fillId="0" borderId="0" xfId="0" applyNumberFormat="1" applyFont="1" applyAlignment="1">
      <alignment horizontal="right"/>
    </xf>
    <xf numFmtId="0" fontId="6" fillId="2" borderId="1" xfId="0" applyFont="1" applyFill="1" applyBorder="1" applyAlignment="1"/>
    <xf numFmtId="0" fontId="6" fillId="0" borderId="0" xfId="0" applyFont="1" applyAlignment="1">
      <alignment horizontal="right"/>
    </xf>
    <xf numFmtId="176" fontId="9" fillId="0" borderId="0" xfId="0" applyNumberFormat="1" applyFont="1"/>
    <xf numFmtId="0" fontId="6" fillId="0" borderId="1" xfId="1" applyFont="1" applyBorder="1">
      <alignment vertical="center"/>
    </xf>
    <xf numFmtId="0" fontId="6" fillId="0" borderId="0" xfId="1" applyFont="1" applyAlignment="1">
      <alignment vertical="center"/>
    </xf>
    <xf numFmtId="0" fontId="13" fillId="0" borderId="0" xfId="0" applyFont="1"/>
    <xf numFmtId="3" fontId="8" fillId="0" borderId="0" xfId="0" applyNumberFormat="1" applyFont="1" applyFill="1"/>
    <xf numFmtId="0" fontId="6" fillId="0" borderId="0" xfId="0" applyFont="1" applyFill="1"/>
    <xf numFmtId="0" fontId="13" fillId="0" borderId="0" xfId="0" applyFont="1" applyFill="1"/>
    <xf numFmtId="0" fontId="6" fillId="2" borderId="1" xfId="0" applyNumberFormat="1" applyFont="1" applyFill="1" applyBorder="1"/>
    <xf numFmtId="0" fontId="6" fillId="0" borderId="0" xfId="0" applyFont="1" applyAlignment="1"/>
    <xf numFmtId="3" fontId="14" fillId="0" borderId="0" xfId="0" applyNumberFormat="1" applyFont="1"/>
    <xf numFmtId="176" fontId="7" fillId="0" borderId="0" xfId="0" applyNumberFormat="1" applyFont="1"/>
    <xf numFmtId="176" fontId="15" fillId="0" borderId="0" xfId="0" applyNumberFormat="1" applyFont="1"/>
    <xf numFmtId="0" fontId="6" fillId="0" borderId="0" xfId="0" applyNumberFormat="1" applyFont="1"/>
    <xf numFmtId="0" fontId="6" fillId="0" borderId="1" xfId="0" applyFont="1" applyBorder="1"/>
    <xf numFmtId="0" fontId="17" fillId="0" borderId="0" xfId="0" applyFont="1"/>
    <xf numFmtId="177" fontId="18" fillId="4" borderId="0" xfId="0" applyNumberFormat="1" applyFont="1" applyFill="1"/>
    <xf numFmtId="177" fontId="0" fillId="4" borderId="0" xfId="0" applyNumberFormat="1" applyFill="1"/>
    <xf numFmtId="0" fontId="6" fillId="4" borderId="0" xfId="0" applyFont="1" applyFill="1"/>
    <xf numFmtId="177" fontId="20" fillId="4" borderId="0" xfId="0" applyNumberFormat="1" applyFont="1" applyFill="1"/>
    <xf numFmtId="0" fontId="21" fillId="0" borderId="0" xfId="0" applyFont="1"/>
    <xf numFmtId="0" fontId="6" fillId="0" borderId="0" xfId="0" applyFont="1" applyFill="1" applyAlignment="1">
      <alignment horizontal="right"/>
    </xf>
    <xf numFmtId="0" fontId="6" fillId="0" borderId="0" xfId="0" applyFont="1" applyFill="1" applyAlignment="1"/>
    <xf numFmtId="0" fontId="22" fillId="0" borderId="0" xfId="0" applyFont="1" applyAlignment="1"/>
    <xf numFmtId="0" fontId="21" fillId="2" borderId="1" xfId="0" applyNumberFormat="1" applyFont="1" applyFill="1" applyBorder="1" applyAlignment="1">
      <alignment horizontal="right"/>
    </xf>
    <xf numFmtId="0" fontId="16" fillId="0" borderId="0" xfId="0" applyFont="1"/>
    <xf numFmtId="176" fontId="6" fillId="0" borderId="0" xfId="0" applyNumberFormat="1" applyFont="1"/>
    <xf numFmtId="0" fontId="23" fillId="0" borderId="0" xfId="0" applyFont="1" applyFill="1" applyAlignment="1">
      <alignment horizontal="right"/>
    </xf>
    <xf numFmtId="0" fontId="25" fillId="0" borderId="0" xfId="2" applyFont="1" applyAlignment="1">
      <alignment horizontal="center" vertical="center"/>
    </xf>
    <xf numFmtId="0" fontId="26" fillId="0" borderId="2" xfId="2" applyFont="1" applyBorder="1"/>
    <xf numFmtId="0" fontId="27" fillId="0" borderId="2" xfId="2" applyFont="1" applyBorder="1"/>
    <xf numFmtId="0" fontId="24" fillId="0" borderId="2" xfId="2" applyBorder="1"/>
    <xf numFmtId="0" fontId="24" fillId="0" borderId="0" xfId="2"/>
    <xf numFmtId="0" fontId="27" fillId="0" borderId="0" xfId="2" applyFont="1"/>
    <xf numFmtId="0" fontId="28" fillId="0" borderId="0" xfId="2" applyFont="1"/>
    <xf numFmtId="0" fontId="28" fillId="0" borderId="0" xfId="2" applyFont="1" applyAlignment="1">
      <alignment horizontal="right"/>
    </xf>
    <xf numFmtId="14" fontId="30" fillId="5" borderId="0" xfId="2" applyNumberFormat="1" applyFont="1" applyFill="1" applyAlignment="1">
      <alignment horizontal="right"/>
    </xf>
    <xf numFmtId="0" fontId="1" fillId="0" borderId="0" xfId="1">
      <alignment vertical="center"/>
    </xf>
    <xf numFmtId="0" fontId="31" fillId="0" borderId="0" xfId="2" applyFont="1"/>
    <xf numFmtId="0" fontId="6" fillId="5" borderId="0" xfId="1" applyFont="1" applyFill="1">
      <alignment vertical="center"/>
    </xf>
    <xf numFmtId="3" fontId="6" fillId="5" borderId="0" xfId="0" applyNumberFormat="1" applyFont="1" applyFill="1"/>
    <xf numFmtId="3" fontId="14" fillId="5" borderId="0" xfId="0" applyNumberFormat="1" applyFont="1" applyFill="1"/>
    <xf numFmtId="3" fontId="6" fillId="5" borderId="0" xfId="0" applyNumberFormat="1" applyFont="1" applyFill="1" applyAlignment="1">
      <alignment horizontal="right"/>
    </xf>
    <xf numFmtId="9" fontId="6" fillId="5" borderId="0" xfId="0" applyNumberFormat="1" applyFont="1" applyFill="1" applyAlignment="1">
      <alignment horizontal="right"/>
    </xf>
    <xf numFmtId="0" fontId="6" fillId="0" borderId="0" xfId="1" applyFont="1" applyFill="1">
      <alignment vertical="center"/>
    </xf>
    <xf numFmtId="3" fontId="6" fillId="0" borderId="0" xfId="0" applyNumberFormat="1" applyFont="1" applyFill="1"/>
    <xf numFmtId="0" fontId="0" fillId="5" borderId="0" xfId="0" applyFill="1"/>
    <xf numFmtId="3" fontId="6" fillId="2" borderId="0" xfId="0" applyNumberFormat="1" applyFont="1" applyFill="1"/>
    <xf numFmtId="3" fontId="6" fillId="5" borderId="1" xfId="0" applyNumberFormat="1" applyFont="1" applyFill="1" applyBorder="1"/>
    <xf numFmtId="176" fontId="9" fillId="5" borderId="0" xfId="0" applyNumberFormat="1" applyFont="1" applyFill="1"/>
    <xf numFmtId="0" fontId="6" fillId="5" borderId="0" xfId="0" applyFont="1" applyFill="1"/>
    <xf numFmtId="14" fontId="33" fillId="0" borderId="0" xfId="0" applyNumberFormat="1" applyFont="1"/>
    <xf numFmtId="3" fontId="0" fillId="0" borderId="0" xfId="0" applyNumberFormat="1"/>
    <xf numFmtId="14" fontId="0" fillId="0" borderId="0" xfId="0" applyNumberFormat="1"/>
    <xf numFmtId="0" fontId="34" fillId="0" borderId="0" xfId="0" applyFont="1"/>
    <xf numFmtId="14" fontId="0" fillId="5" borderId="0" xfId="0" applyNumberFormat="1" applyFill="1"/>
    <xf numFmtId="3" fontId="6" fillId="0" borderId="1" xfId="0" applyNumberFormat="1" applyFont="1" applyFill="1" applyBorder="1"/>
    <xf numFmtId="0" fontId="35" fillId="0" borderId="0" xfId="0" applyFont="1"/>
    <xf numFmtId="0" fontId="36" fillId="0" borderId="0" xfId="2" applyFont="1"/>
    <xf numFmtId="0" fontId="3" fillId="0" borderId="0" xfId="2" applyFont="1"/>
  </cellXfs>
  <cellStyles count="3">
    <cellStyle name="표준" xfId="0" builtinId="0"/>
    <cellStyle name="표준 2" xfId="1" xr:uid="{4930627C-E1D7-4EEC-BFA5-E3901F21181F}"/>
    <cellStyle name="표준 2 2" xfId="2" xr:uid="{CE1C3015-8816-4E02-8A66-437169CE1F4C}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8000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Error check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5460325468859674E-2"/>
          <c:y val="0.14598656463509369"/>
          <c:w val="0.9539360238456901"/>
          <c:h val="0.6270826608810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'Research 오류 해결 전 (실습)'!$H$128</c:f>
              <c:strCache>
                <c:ptCount val="1"/>
                <c:pt idx="0">
                  <c:v>If: TRUE =1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오류 해결 전 (실습)'!$I$106:$CB$106</c:f>
              <c:numCache>
                <c:formatCode>m/d/yyyy</c:formatCode>
                <c:ptCount val="72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  <c:pt idx="61">
                  <c:v>43890</c:v>
                </c:pt>
                <c:pt idx="62">
                  <c:v>43921</c:v>
                </c:pt>
                <c:pt idx="63">
                  <c:v>43951</c:v>
                </c:pt>
                <c:pt idx="64">
                  <c:v>43982</c:v>
                </c:pt>
                <c:pt idx="65">
                  <c:v>44012</c:v>
                </c:pt>
                <c:pt idx="66">
                  <c:v>44043</c:v>
                </c:pt>
                <c:pt idx="67">
                  <c:v>44074</c:v>
                </c:pt>
                <c:pt idx="68">
                  <c:v>44104</c:v>
                </c:pt>
                <c:pt idx="69">
                  <c:v>44135</c:v>
                </c:pt>
                <c:pt idx="70">
                  <c:v>44165</c:v>
                </c:pt>
                <c:pt idx="71">
                  <c:v>44196</c:v>
                </c:pt>
              </c:numCache>
            </c:numRef>
          </c:cat>
          <c:val>
            <c:numRef>
              <c:f>'Research 오류 해결 전 (실습)'!$I$128:$CB$128</c:f>
              <c:numCache>
                <c:formatCode>#,##0</c:formatCode>
                <c:ptCount val="72"/>
              </c:numCache>
            </c:numRef>
          </c:val>
          <c:extLst>
            <c:ext xmlns:c16="http://schemas.microsoft.com/office/drawing/2014/chart" uri="{C3380CC4-5D6E-409C-BE32-E72D297353CC}">
              <c16:uniqueId val="{00000000-1B5D-47F5-9F5D-F70EA4ACB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11439"/>
        <c:axId val="539299791"/>
      </c:barChart>
      <c:dateAx>
        <c:axId val="539311439"/>
        <c:scaling>
          <c:orientation val="minMax"/>
        </c:scaling>
        <c:delete val="0"/>
        <c:axPos val="b"/>
        <c:numFmt formatCode="yyyy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299791"/>
        <c:crosses val="autoZero"/>
        <c:auto val="1"/>
        <c:lblOffset val="100"/>
        <c:baseTimeUnit val="months"/>
      </c:dateAx>
      <c:valAx>
        <c:axId val="539299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311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aseline="0"/>
              <a:t>지역별 </a:t>
            </a:r>
            <a:r>
              <a:rPr lang="en-US" altLang="ko-KR" baseline="0"/>
              <a:t>Revenue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오류 해결 후 (실습)'!$H$252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(실습)'!$I$252:$N$252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0BD0-432A-B957-B3BCD0E6FC13}"/>
            </c:ext>
          </c:extLst>
        </c:ser>
        <c:ser>
          <c:idx val="1"/>
          <c:order val="1"/>
          <c:tx>
            <c:strRef>
              <c:f>'Research 오류 해결 후 (실습)'!$H$253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(실습)'!$I$253:$N$253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0BD0-432A-B957-B3BCD0E6FC13}"/>
            </c:ext>
          </c:extLst>
        </c:ser>
        <c:ser>
          <c:idx val="2"/>
          <c:order val="2"/>
          <c:tx>
            <c:strRef>
              <c:f>'Research 오류 해결 후 (실습)'!$H$254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(실습)'!$I$254:$N$254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0BD0-432A-B957-B3BCD0E6FC13}"/>
            </c:ext>
          </c:extLst>
        </c:ser>
        <c:ser>
          <c:idx val="3"/>
          <c:order val="3"/>
          <c:tx>
            <c:strRef>
              <c:f>'Research 오류 해결 후 (실습)'!$H$255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(실습)'!$I$255:$N$255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0BD0-432A-B957-B3BCD0E6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97231"/>
        <c:axId val="580587663"/>
      </c:barChart>
      <c:catAx>
        <c:axId val="5805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87663"/>
        <c:crosses val="autoZero"/>
        <c:auto val="1"/>
        <c:lblAlgn val="ctr"/>
        <c:lblOffset val="100"/>
        <c:noMultiLvlLbl val="0"/>
      </c:catAx>
      <c:valAx>
        <c:axId val="5805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오류 해결 후 (정답)'!$H$107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(정답)'!$I$106:$CB$106</c:f>
              <c:numCache>
                <c:formatCode>m/d/yyyy</c:formatCode>
                <c:ptCount val="72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  <c:pt idx="61">
                  <c:v>43890</c:v>
                </c:pt>
                <c:pt idx="62">
                  <c:v>43921</c:v>
                </c:pt>
                <c:pt idx="63">
                  <c:v>43951</c:v>
                </c:pt>
                <c:pt idx="64">
                  <c:v>43982</c:v>
                </c:pt>
                <c:pt idx="65">
                  <c:v>44012</c:v>
                </c:pt>
                <c:pt idx="66">
                  <c:v>44043</c:v>
                </c:pt>
                <c:pt idx="67">
                  <c:v>44074</c:v>
                </c:pt>
                <c:pt idx="68">
                  <c:v>44104</c:v>
                </c:pt>
                <c:pt idx="69">
                  <c:v>44135</c:v>
                </c:pt>
                <c:pt idx="70">
                  <c:v>44165</c:v>
                </c:pt>
                <c:pt idx="71">
                  <c:v>44196</c:v>
                </c:pt>
              </c:numCache>
            </c:numRef>
          </c:cat>
          <c:val>
            <c:numRef>
              <c:f>'Research 오류 해결 후 (정답)'!$I$107:$CB$107</c:f>
              <c:numCache>
                <c:formatCode>#,##0</c:formatCode>
                <c:ptCount val="72"/>
                <c:pt idx="0">
                  <c:v>23333.97430479684</c:v>
                </c:pt>
                <c:pt idx="1">
                  <c:v>23814.354579571875</c:v>
                </c:pt>
                <c:pt idx="2">
                  <c:v>24108.581925957271</c:v>
                </c:pt>
                <c:pt idx="3">
                  <c:v>24390.500897697719</c:v>
                </c:pt>
                <c:pt idx="4">
                  <c:v>24701.719838839374</c:v>
                </c:pt>
                <c:pt idx="5">
                  <c:v>25775.081708877711</c:v>
                </c:pt>
                <c:pt idx="6">
                  <c:v>26382.244850996376</c:v>
                </c:pt>
                <c:pt idx="7">
                  <c:v>26869.361706436564</c:v>
                </c:pt>
                <c:pt idx="8">
                  <c:v>27448.452616795275</c:v>
                </c:pt>
                <c:pt idx="9">
                  <c:v>27648.894852152222</c:v>
                </c:pt>
                <c:pt idx="10">
                  <c:v>27315.126679944067</c:v>
                </c:pt>
                <c:pt idx="11">
                  <c:v>27054.382074347443</c:v>
                </c:pt>
                <c:pt idx="12">
                  <c:v>26760.591373067335</c:v>
                </c:pt>
                <c:pt idx="13">
                  <c:v>26801.144124341688</c:v>
                </c:pt>
                <c:pt idx="14">
                  <c:v>26761.067500773886</c:v>
                </c:pt>
                <c:pt idx="15">
                  <c:v>26931.286786743738</c:v>
                </c:pt>
                <c:pt idx="16">
                  <c:v>27114.305231302853</c:v>
                </c:pt>
                <c:pt idx="17">
                  <c:v>27732.301688411164</c:v>
                </c:pt>
                <c:pt idx="18">
                  <c:v>28111.596975273354</c:v>
                </c:pt>
                <c:pt idx="19">
                  <c:v>28493.838335038075</c:v>
                </c:pt>
                <c:pt idx="20">
                  <c:v>29035.629819855392</c:v>
                </c:pt>
                <c:pt idx="21">
                  <c:v>29388.365320384113</c:v>
                </c:pt>
                <c:pt idx="22">
                  <c:v>29519.685401982217</c:v>
                </c:pt>
                <c:pt idx="23">
                  <c:v>29756.792102474185</c:v>
                </c:pt>
                <c:pt idx="24">
                  <c:v>30019.394729853109</c:v>
                </c:pt>
                <c:pt idx="25">
                  <c:v>30640.318131090262</c:v>
                </c:pt>
                <c:pt idx="26">
                  <c:v>31132.859898929371</c:v>
                </c:pt>
                <c:pt idx="27">
                  <c:v>31505.641865090267</c:v>
                </c:pt>
                <c:pt idx="28">
                  <c:v>31940.649875825518</c:v>
                </c:pt>
                <c:pt idx="29">
                  <c:v>32450.117142627005</c:v>
                </c:pt>
                <c:pt idx="30">
                  <c:v>32969.261037529286</c:v>
                </c:pt>
                <c:pt idx="31">
                  <c:v>33403.59172331338</c:v>
                </c:pt>
                <c:pt idx="32">
                  <c:v>33938.346493098667</c:v>
                </c:pt>
                <c:pt idx="33">
                  <c:v>34180.471482053079</c:v>
                </c:pt>
                <c:pt idx="34">
                  <c:v>33360.638780774578</c:v>
                </c:pt>
                <c:pt idx="35">
                  <c:v>32873.930991379115</c:v>
                </c:pt>
                <c:pt idx="36">
                  <c:v>32603.623935047224</c:v>
                </c:pt>
                <c:pt idx="37">
                  <c:v>32504.999540048571</c:v>
                </c:pt>
                <c:pt idx="38">
                  <c:v>32428.346344567908</c:v>
                </c:pt>
                <c:pt idx="39">
                  <c:v>32253.689191356654</c:v>
                </c:pt>
                <c:pt idx="40">
                  <c:v>32341.899871458438</c:v>
                </c:pt>
                <c:pt idx="41">
                  <c:v>32722.5306720673</c:v>
                </c:pt>
                <c:pt idx="42">
                  <c:v>32814.838718434279</c:v>
                </c:pt>
                <c:pt idx="43">
                  <c:v>32989.320308722214</c:v>
                </c:pt>
                <c:pt idx="44">
                  <c:v>33279.462461895455</c:v>
                </c:pt>
                <c:pt idx="45">
                  <c:v>33648.915506081103</c:v>
                </c:pt>
                <c:pt idx="46">
                  <c:v>33157.665655694946</c:v>
                </c:pt>
                <c:pt idx="47">
                  <c:v>32752.701564662002</c:v>
                </c:pt>
                <c:pt idx="48">
                  <c:v>32631.083804997928</c:v>
                </c:pt>
                <c:pt idx="49">
                  <c:v>33163.201440528675</c:v>
                </c:pt>
                <c:pt idx="50">
                  <c:v>33554.006785358768</c:v>
                </c:pt>
                <c:pt idx="51">
                  <c:v>34219.417852399522</c:v>
                </c:pt>
                <c:pt idx="52">
                  <c:v>34837.823595480717</c:v>
                </c:pt>
                <c:pt idx="53">
                  <c:v>36114.592365589619</c:v>
                </c:pt>
                <c:pt idx="54">
                  <c:v>36830.588041917064</c:v>
                </c:pt>
                <c:pt idx="55">
                  <c:v>37680.295962500073</c:v>
                </c:pt>
                <c:pt idx="56">
                  <c:v>38654.174430678264</c:v>
                </c:pt>
                <c:pt idx="57">
                  <c:v>39191.081331404013</c:v>
                </c:pt>
                <c:pt idx="58">
                  <c:v>38332.294500828764</c:v>
                </c:pt>
                <c:pt idx="59">
                  <c:v>37989.448287839354</c:v>
                </c:pt>
                <c:pt idx="60">
                  <c:v>37732.215141150322</c:v>
                </c:pt>
                <c:pt idx="61">
                  <c:v>38053.245095076818</c:v>
                </c:pt>
                <c:pt idx="62">
                  <c:v>38019.966558861095</c:v>
                </c:pt>
                <c:pt idx="63">
                  <c:v>38108.411349682792</c:v>
                </c:pt>
                <c:pt idx="64">
                  <c:v>38383.086687610186</c:v>
                </c:pt>
                <c:pt idx="65">
                  <c:v>39187.838930325968</c:v>
                </c:pt>
                <c:pt idx="66">
                  <c:v>39886.998042867002</c:v>
                </c:pt>
                <c:pt idx="67">
                  <c:v>40526.076538089525</c:v>
                </c:pt>
                <c:pt idx="68">
                  <c:v>41355.157949181921</c:v>
                </c:pt>
                <c:pt idx="69">
                  <c:v>41612.717240387654</c:v>
                </c:pt>
                <c:pt idx="70">
                  <c:v>40418.614201557888</c:v>
                </c:pt>
                <c:pt idx="71">
                  <c:v>40227.452458665386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4-49F2-BC35-A123D1C02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11439"/>
        <c:axId val="539299791"/>
      </c:barChart>
      <c:dateAx>
        <c:axId val="5393114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299791"/>
        <c:crosses val="autoZero"/>
        <c:auto val="1"/>
        <c:lblOffset val="100"/>
        <c:baseTimeUnit val="months"/>
      </c:dateAx>
      <c:valAx>
        <c:axId val="5392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31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</a:t>
            </a:r>
            <a:r>
              <a:rPr lang="en-US" altLang="ko-KR" baseline="0"/>
              <a:t> Revenue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오류 해결 후 (정답)'!$H$249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(정답)'!$I$249:$N$249</c:f>
              <c:numCache>
                <c:formatCode>#,##0</c:formatCode>
                <c:ptCount val="6"/>
                <c:pt idx="0">
                  <c:v>308842.67603641277</c:v>
                </c:pt>
                <c:pt idx="1">
                  <c:v>336406.60465964809</c:v>
                </c:pt>
                <c:pt idx="2">
                  <c:v>388415.22215156362</c:v>
                </c:pt>
                <c:pt idx="3">
                  <c:v>393497.99377003603</c:v>
                </c:pt>
                <c:pt idx="4">
                  <c:v>433198.00839952286</c:v>
                </c:pt>
                <c:pt idx="5">
                  <c:v>473511.78019345645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8-4E11-A670-33505007E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97231"/>
        <c:axId val="580587663"/>
      </c:barChart>
      <c:catAx>
        <c:axId val="5805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87663"/>
        <c:crosses val="autoZero"/>
        <c:auto val="1"/>
        <c:lblAlgn val="ctr"/>
        <c:lblOffset val="100"/>
        <c:noMultiLvlLbl val="0"/>
      </c:catAx>
      <c:valAx>
        <c:axId val="5805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9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aseline="0"/>
              <a:t>피합병법인 지역별 </a:t>
            </a:r>
            <a:r>
              <a:rPr lang="en-US" altLang="ko-KR" baseline="0"/>
              <a:t>Revenue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오류 해결 후 (정답)'!$H$258</c:f>
              <c:strCache>
                <c:ptCount val="1"/>
                <c:pt idx="0">
                  <c:v>East (피합병)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(정답)'!$I$258:$N$258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7-4618-B793-862839ED75C0}"/>
            </c:ext>
          </c:extLst>
        </c:ser>
        <c:ser>
          <c:idx val="1"/>
          <c:order val="1"/>
          <c:tx>
            <c:strRef>
              <c:f>'Research 오류 해결 후 (정답)'!$H$259</c:f>
              <c:strCache>
                <c:ptCount val="1"/>
                <c:pt idx="0">
                  <c:v>South (피합병)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(정답)'!$I$259:$N$259</c:f>
              <c:numCache>
                <c:formatCode>#,##0</c:formatCode>
                <c:ptCount val="6"/>
                <c:pt idx="0">
                  <c:v>2784.7010957310486</c:v>
                </c:pt>
                <c:pt idx="1">
                  <c:v>3135.3283737772749</c:v>
                </c:pt>
                <c:pt idx="2">
                  <c:v>3300.0232399862725</c:v>
                </c:pt>
                <c:pt idx="3">
                  <c:v>3491.5107033493482</c:v>
                </c:pt>
                <c:pt idx="4">
                  <c:v>3906.0907777656639</c:v>
                </c:pt>
                <c:pt idx="5">
                  <c:v>4550.4722504041538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7-4618-B793-862839ED75C0}"/>
            </c:ext>
          </c:extLst>
        </c:ser>
        <c:ser>
          <c:idx val="2"/>
          <c:order val="2"/>
          <c:tx>
            <c:strRef>
              <c:f>'Research 오류 해결 후 (정답)'!$H$260</c:f>
              <c:strCache>
                <c:ptCount val="1"/>
                <c:pt idx="0">
                  <c:v>Midwest (피합병)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(정답)'!$I$260:$N$260</c:f>
              <c:numCache>
                <c:formatCode>#,##0</c:formatCode>
                <c:ptCount val="6"/>
                <c:pt idx="0">
                  <c:v>5562.3560004700967</c:v>
                </c:pt>
                <c:pt idx="1">
                  <c:v>6389.6754966161607</c:v>
                </c:pt>
                <c:pt idx="2">
                  <c:v>6850.7124388866678</c:v>
                </c:pt>
                <c:pt idx="3">
                  <c:v>7158.2357895122204</c:v>
                </c:pt>
                <c:pt idx="4">
                  <c:v>8016.3982143270359</c:v>
                </c:pt>
                <c:pt idx="5">
                  <c:v>9244.1401797562248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7-4618-B793-862839ED75C0}"/>
            </c:ext>
          </c:extLst>
        </c:ser>
        <c:ser>
          <c:idx val="3"/>
          <c:order val="3"/>
          <c:tx>
            <c:strRef>
              <c:f>'Research 오류 해결 후 (정답)'!$H$261</c:f>
              <c:strCache>
                <c:ptCount val="1"/>
                <c:pt idx="0">
                  <c:v>West (피합병)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(정답)'!$I$261:$N$261</c:f>
              <c:numCache>
                <c:formatCode>#,##0</c:formatCode>
                <c:ptCount val="6"/>
                <c:pt idx="0">
                  <c:v>125861.95260182304</c:v>
                </c:pt>
                <c:pt idx="1">
                  <c:v>136752.16727494061</c:v>
                </c:pt>
                <c:pt idx="2">
                  <c:v>141883.18655322309</c:v>
                </c:pt>
                <c:pt idx="3">
                  <c:v>149479.31131579881</c:v>
                </c:pt>
                <c:pt idx="4">
                  <c:v>173117.06432509632</c:v>
                </c:pt>
                <c:pt idx="5">
                  <c:v>206693.83281745785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57-4618-B793-862839ED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97231"/>
        <c:axId val="580587663"/>
      </c:barChart>
      <c:catAx>
        <c:axId val="5805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87663"/>
        <c:crosses val="autoZero"/>
        <c:auto val="1"/>
        <c:lblAlgn val="ctr"/>
        <c:lblOffset val="100"/>
        <c:noMultiLvlLbl val="0"/>
      </c:catAx>
      <c:valAx>
        <c:axId val="5805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aseline="0"/>
              <a:t>지역별 평균 </a:t>
            </a:r>
            <a:r>
              <a:rPr lang="en-US" altLang="ko-KR" baseline="0"/>
              <a:t>Revenue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오류 해결 후 (정답)'!$H$267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(정답)'!$I$267:$N$267</c:f>
              <c:numCache>
                <c:formatCode>#,##0</c:formatCode>
                <c:ptCount val="6"/>
                <c:pt idx="0">
                  <c:v>5966.2304540302557</c:v>
                </c:pt>
                <c:pt idx="1">
                  <c:v>6469.3516218741579</c:v>
                </c:pt>
                <c:pt idx="2">
                  <c:v>7910.1080376102227</c:v>
                </c:pt>
                <c:pt idx="3">
                  <c:v>7755.2311020337302</c:v>
                </c:pt>
                <c:pt idx="4">
                  <c:v>8312.3698147637278</c:v>
                </c:pt>
                <c:pt idx="5">
                  <c:v>7889.8768264128703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6-4AF4-B723-BD75B61800DB}"/>
            </c:ext>
          </c:extLst>
        </c:ser>
        <c:ser>
          <c:idx val="1"/>
          <c:order val="1"/>
          <c:tx>
            <c:strRef>
              <c:f>'Research 오류 해결 후 (정답)'!$H$268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(정답)'!$I$268:$N$268</c:f>
              <c:numCache>
                <c:formatCode>#,##0</c:formatCode>
                <c:ptCount val="6"/>
                <c:pt idx="0">
                  <c:v>2728.3855989490148</c:v>
                </c:pt>
                <c:pt idx="1">
                  <c:v>2981.6908009474691</c:v>
                </c:pt>
                <c:pt idx="2">
                  <c:v>3663.0291930167964</c:v>
                </c:pt>
                <c:pt idx="3">
                  <c:v>3662.3667386220764</c:v>
                </c:pt>
                <c:pt idx="4">
                  <c:v>3758.6848582911271</c:v>
                </c:pt>
                <c:pt idx="5">
                  <c:v>4050.9544950173113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6-4AF4-B723-BD75B61800DB}"/>
            </c:ext>
          </c:extLst>
        </c:ser>
        <c:ser>
          <c:idx val="2"/>
          <c:order val="2"/>
          <c:tx>
            <c:strRef>
              <c:f>'Research 오류 해결 후 (정답)'!$H$269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(정답)'!$I$269:$N$269</c:f>
              <c:numCache>
                <c:formatCode>#,##0</c:formatCode>
                <c:ptCount val="6"/>
                <c:pt idx="0">
                  <c:v>384.61515895110512</c:v>
                </c:pt>
                <c:pt idx="1">
                  <c:v>439.84530807398107</c:v>
                </c:pt>
                <c:pt idx="2">
                  <c:v>481.90974519577242</c:v>
                </c:pt>
                <c:pt idx="3">
                  <c:v>472.89837445445664</c:v>
                </c:pt>
                <c:pt idx="4">
                  <c:v>491.54453252770418</c:v>
                </c:pt>
                <c:pt idx="5">
                  <c:v>494.82703818782005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6-4AF4-B723-BD75B61800DB}"/>
            </c:ext>
          </c:extLst>
        </c:ser>
        <c:ser>
          <c:idx val="3"/>
          <c:order val="3"/>
          <c:tx>
            <c:strRef>
              <c:f>'Research 오류 해결 후 (정답)'!$H$270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(정답)'!$I$270:$N$270</c:f>
              <c:numCache>
                <c:formatCode>#,##0</c:formatCode>
                <c:ptCount val="6"/>
                <c:pt idx="0">
                  <c:v>6349.4098934313752</c:v>
                </c:pt>
                <c:pt idx="1">
                  <c:v>6898.6829136604401</c:v>
                </c:pt>
                <c:pt idx="2">
                  <c:v>7154.7996788611463</c:v>
                </c:pt>
                <c:pt idx="3">
                  <c:v>7545.5151490820163</c:v>
                </c:pt>
                <c:pt idx="4">
                  <c:v>8732.9693884424469</c:v>
                </c:pt>
                <c:pt idx="5">
                  <c:v>10416.69157971214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6-4AF4-B723-BD75B618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97231"/>
        <c:axId val="580587663"/>
      </c:barChart>
      <c:catAx>
        <c:axId val="5805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87663"/>
        <c:crosses val="autoZero"/>
        <c:auto val="1"/>
        <c:lblAlgn val="ctr"/>
        <c:lblOffset val="100"/>
        <c:noMultiLvlLbl val="0"/>
      </c:catAx>
      <c:valAx>
        <c:axId val="5805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u="none" strike="noStrike" baseline="0">
                <a:effectLst/>
              </a:rPr>
              <a:t>피합병법인 </a:t>
            </a:r>
            <a:r>
              <a:rPr lang="ko-KR" altLang="en-US" baseline="0"/>
              <a:t>지역별 평균 </a:t>
            </a:r>
            <a:r>
              <a:rPr lang="en-US" altLang="ko-KR" baseline="0"/>
              <a:t>Revenue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오류 해결 후 (정답)'!$H$272</c:f>
              <c:strCache>
                <c:ptCount val="1"/>
                <c:pt idx="0">
                  <c:v>East (피합병)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(정답)'!$I$272:$N$272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F-4812-BB81-D2B12B02CD7F}"/>
            </c:ext>
          </c:extLst>
        </c:ser>
        <c:ser>
          <c:idx val="1"/>
          <c:order val="1"/>
          <c:tx>
            <c:strRef>
              <c:f>'Research 오류 해결 후 (정답)'!$H$273</c:f>
              <c:strCache>
                <c:ptCount val="1"/>
                <c:pt idx="0">
                  <c:v>South (피합병)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(정답)'!$I$273:$N$273</c:f>
              <c:numCache>
                <c:formatCode>#,##0</c:formatCode>
                <c:ptCount val="6"/>
                <c:pt idx="0">
                  <c:v>278.47010957310488</c:v>
                </c:pt>
                <c:pt idx="1">
                  <c:v>313.5328373777275</c:v>
                </c:pt>
                <c:pt idx="2">
                  <c:v>330.00232399862728</c:v>
                </c:pt>
                <c:pt idx="3">
                  <c:v>349.15107033493484</c:v>
                </c:pt>
                <c:pt idx="4">
                  <c:v>390.60907777656638</c:v>
                </c:pt>
                <c:pt idx="5">
                  <c:v>455.04722504041536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F-4812-BB81-D2B12B02CD7F}"/>
            </c:ext>
          </c:extLst>
        </c:ser>
        <c:ser>
          <c:idx val="2"/>
          <c:order val="2"/>
          <c:tx>
            <c:strRef>
              <c:f>'Research 오류 해결 후 (정답)'!$H$274</c:f>
              <c:strCache>
                <c:ptCount val="1"/>
                <c:pt idx="0">
                  <c:v>Midwest (피합병)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(정답)'!$I$274:$N$274</c:f>
              <c:numCache>
                <c:formatCode>#,##0</c:formatCode>
                <c:ptCount val="6"/>
                <c:pt idx="0">
                  <c:v>397.31114289072121</c:v>
                </c:pt>
                <c:pt idx="1">
                  <c:v>456.40539261544006</c:v>
                </c:pt>
                <c:pt idx="2">
                  <c:v>489.33660277761913</c:v>
                </c:pt>
                <c:pt idx="3">
                  <c:v>511.30255639373001</c:v>
                </c:pt>
                <c:pt idx="4">
                  <c:v>572.59987245193111</c:v>
                </c:pt>
                <c:pt idx="5">
                  <c:v>660.29572712544461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F-4812-BB81-D2B12B02CD7F}"/>
            </c:ext>
          </c:extLst>
        </c:ser>
        <c:ser>
          <c:idx val="3"/>
          <c:order val="3"/>
          <c:tx>
            <c:strRef>
              <c:f>'Research 오류 해결 후 (정답)'!$H$275</c:f>
              <c:strCache>
                <c:ptCount val="1"/>
                <c:pt idx="0">
                  <c:v>West (피합병)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(정답)'!$I$275:$N$275</c:f>
              <c:numCache>
                <c:formatCode>#,##0</c:formatCode>
                <c:ptCount val="6"/>
                <c:pt idx="0">
                  <c:v>7403.6442706954731</c:v>
                </c:pt>
                <c:pt idx="1">
                  <c:v>8044.2451338200362</c:v>
                </c:pt>
                <c:pt idx="2">
                  <c:v>8346.0697972484177</c:v>
                </c:pt>
                <c:pt idx="3">
                  <c:v>8792.9006656352249</c:v>
                </c:pt>
                <c:pt idx="4">
                  <c:v>10183.356725005666</c:v>
                </c:pt>
                <c:pt idx="5">
                  <c:v>12158.460753968109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1F-4812-BB81-D2B12B02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97231"/>
        <c:axId val="580587663"/>
      </c:barChart>
      <c:catAx>
        <c:axId val="5805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87663"/>
        <c:crosses val="autoZero"/>
        <c:auto val="1"/>
        <c:lblAlgn val="ctr"/>
        <c:lblOffset val="100"/>
        <c:noMultiLvlLbl val="0"/>
      </c:catAx>
      <c:valAx>
        <c:axId val="5805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aseline="0"/>
              <a:t>지역별 </a:t>
            </a:r>
            <a:r>
              <a:rPr lang="en-US" altLang="ko-KR" baseline="0"/>
              <a:t>Revenue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오류 해결 후 (정답)'!$H$252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(정답)'!$I$252:$N$252</c:f>
              <c:numCache>
                <c:formatCode>#,##0</c:formatCode>
                <c:ptCount val="6"/>
                <c:pt idx="0">
                  <c:v>95459.687264484091</c:v>
                </c:pt>
                <c:pt idx="1">
                  <c:v>103509.62594998653</c:v>
                </c:pt>
                <c:pt idx="2">
                  <c:v>126561.72860176356</c:v>
                </c:pt>
                <c:pt idx="3">
                  <c:v>124083.69763253968</c:v>
                </c:pt>
                <c:pt idx="4">
                  <c:v>132997.91703621965</c:v>
                </c:pt>
                <c:pt idx="5">
                  <c:v>126238.02922260592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1-40A0-882B-6FC94A70836D}"/>
            </c:ext>
          </c:extLst>
        </c:ser>
        <c:ser>
          <c:idx val="1"/>
          <c:order val="1"/>
          <c:tx>
            <c:strRef>
              <c:f>'Research 오류 해결 후 (정답)'!$H$253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(정답)'!$I$253:$N$253</c:f>
              <c:numCache>
                <c:formatCode>#,##0</c:formatCode>
                <c:ptCount val="6"/>
                <c:pt idx="0">
                  <c:v>76394.796770572415</c:v>
                </c:pt>
                <c:pt idx="1">
                  <c:v>83487.34242652914</c:v>
                </c:pt>
                <c:pt idx="2">
                  <c:v>106227.84659748709</c:v>
                </c:pt>
                <c:pt idx="3">
                  <c:v>106208.63542004021</c:v>
                </c:pt>
                <c:pt idx="4">
                  <c:v>112760.54574873381</c:v>
                </c:pt>
                <c:pt idx="5">
                  <c:v>125579.58934553665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1-40A0-882B-6FC94A70836D}"/>
            </c:ext>
          </c:extLst>
        </c:ser>
        <c:ser>
          <c:idx val="2"/>
          <c:order val="2"/>
          <c:tx>
            <c:strRef>
              <c:f>'Research 오류 해결 후 (정답)'!$H$254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(정답)'!$I$254:$N$254</c:f>
              <c:numCache>
                <c:formatCode>#,##0</c:formatCode>
                <c:ptCount val="6"/>
                <c:pt idx="0">
                  <c:v>9999.9941327287324</c:v>
                </c:pt>
                <c:pt idx="1">
                  <c:v>11435.978009923509</c:v>
                </c:pt>
                <c:pt idx="2">
                  <c:v>12529.653375090084</c:v>
                </c:pt>
                <c:pt idx="3">
                  <c:v>12295.357735815873</c:v>
                </c:pt>
                <c:pt idx="4">
                  <c:v>12780.157845720309</c:v>
                </c:pt>
                <c:pt idx="5">
                  <c:v>13360.330031071142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1-40A0-882B-6FC94A70836D}"/>
            </c:ext>
          </c:extLst>
        </c:ser>
        <c:ser>
          <c:idx val="3"/>
          <c:order val="3"/>
          <c:tx>
            <c:strRef>
              <c:f>'Research 오류 해결 후 (정답)'!$H$255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'Research 오류 해결 후 (정답)'!$I$154:$N$154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(정답)'!$I$255:$N$255</c:f>
              <c:numCache>
                <c:formatCode>#,##0</c:formatCode>
                <c:ptCount val="6"/>
                <c:pt idx="0">
                  <c:v>126988.19786862751</c:v>
                </c:pt>
                <c:pt idx="1">
                  <c:v>137973.6582732088</c:v>
                </c:pt>
                <c:pt idx="2">
                  <c:v>143095.99357722292</c:v>
                </c:pt>
                <c:pt idx="3">
                  <c:v>150910.30298164033</c:v>
                </c:pt>
                <c:pt idx="4">
                  <c:v>174659.38776884894</c:v>
                </c:pt>
                <c:pt idx="5">
                  <c:v>208333.8315942428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1-40A0-882B-6FC94A70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97231"/>
        <c:axId val="580587663"/>
      </c:barChart>
      <c:catAx>
        <c:axId val="5805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87663"/>
        <c:crosses val="autoZero"/>
        <c:auto val="1"/>
        <c:lblAlgn val="ctr"/>
        <c:lblOffset val="100"/>
        <c:noMultiLvlLbl val="0"/>
      </c:catAx>
      <c:valAx>
        <c:axId val="5805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ysClr val="windowText" lastClr="000000"/>
                </a:solidFill>
              </a:rPr>
              <a:t>기업 </a:t>
            </a:r>
            <a:r>
              <a:rPr lang="en-US" altLang="ko-KR" b="1">
                <a:solidFill>
                  <a:sysClr val="windowText" lastClr="000000"/>
                </a:solidFill>
              </a:rPr>
              <a:t>A </a:t>
            </a:r>
            <a:r>
              <a:rPr lang="ko-KR" altLang="en-US" b="1">
                <a:solidFill>
                  <a:sysClr val="windowText" lastClr="000000"/>
                </a:solidFill>
              </a:rPr>
              <a:t>월별 매출액</a:t>
            </a:r>
            <a:endParaRPr lang="en-US" altLang="ko-KR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오류 해결 전 (실습)'!$H$107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오류 해결 전 (실습)'!$I$106:$CB$106</c:f>
              <c:numCache>
                <c:formatCode>m/d/yyyy</c:formatCode>
                <c:ptCount val="72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  <c:pt idx="61">
                  <c:v>43890</c:v>
                </c:pt>
                <c:pt idx="62">
                  <c:v>43921</c:v>
                </c:pt>
                <c:pt idx="63">
                  <c:v>43951</c:v>
                </c:pt>
                <c:pt idx="64">
                  <c:v>43982</c:v>
                </c:pt>
                <c:pt idx="65">
                  <c:v>44012</c:v>
                </c:pt>
                <c:pt idx="66">
                  <c:v>44043</c:v>
                </c:pt>
                <c:pt idx="67">
                  <c:v>44074</c:v>
                </c:pt>
                <c:pt idx="68">
                  <c:v>44104</c:v>
                </c:pt>
                <c:pt idx="69">
                  <c:v>44135</c:v>
                </c:pt>
                <c:pt idx="70">
                  <c:v>44165</c:v>
                </c:pt>
                <c:pt idx="71">
                  <c:v>44196</c:v>
                </c:pt>
              </c:numCache>
            </c:numRef>
          </c:cat>
          <c:val>
            <c:numRef>
              <c:f>'Research 오류 해결 전 (실습)'!$I$107:$CB$107</c:f>
              <c:numCache>
                <c:formatCode>#,##0</c:formatCode>
                <c:ptCount val="72"/>
              </c:numCache>
            </c:numRef>
          </c:val>
          <c:extLst>
            <c:ext xmlns:c16="http://schemas.microsoft.com/office/drawing/2014/chart" uri="{C3380CC4-5D6E-409C-BE32-E72D297353CC}">
              <c16:uniqueId val="{00000000-6A40-415F-BD2A-0649FE21C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11439"/>
        <c:axId val="539299791"/>
      </c:barChart>
      <c:dateAx>
        <c:axId val="539311439"/>
        <c:scaling>
          <c:orientation val="minMax"/>
        </c:scaling>
        <c:delete val="0"/>
        <c:axPos val="b"/>
        <c:numFmt formatCode="yyyy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299791"/>
        <c:crosses val="autoZero"/>
        <c:auto val="1"/>
        <c:lblOffset val="100"/>
        <c:baseTimeUnit val="months"/>
      </c:dateAx>
      <c:valAx>
        <c:axId val="5392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31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Error check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5460325468859674E-2"/>
          <c:y val="0.14598656463509369"/>
          <c:w val="0.9539360238456901"/>
          <c:h val="0.6270826608810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'Research 오류 해결 전 (정답)'!$H$128</c:f>
              <c:strCache>
                <c:ptCount val="1"/>
                <c:pt idx="0">
                  <c:v>If: TRUE =1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오류 해결 전 (정답)'!$I$106:$CB$106</c:f>
              <c:numCache>
                <c:formatCode>m/d/yyyy</c:formatCode>
                <c:ptCount val="72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  <c:pt idx="61">
                  <c:v>43890</c:v>
                </c:pt>
                <c:pt idx="62">
                  <c:v>43921</c:v>
                </c:pt>
                <c:pt idx="63">
                  <c:v>43951</c:v>
                </c:pt>
                <c:pt idx="64">
                  <c:v>43982</c:v>
                </c:pt>
                <c:pt idx="65">
                  <c:v>44012</c:v>
                </c:pt>
                <c:pt idx="66">
                  <c:v>44043</c:v>
                </c:pt>
                <c:pt idx="67">
                  <c:v>44074</c:v>
                </c:pt>
                <c:pt idx="68">
                  <c:v>44104</c:v>
                </c:pt>
                <c:pt idx="69">
                  <c:v>44135</c:v>
                </c:pt>
                <c:pt idx="70">
                  <c:v>44165</c:v>
                </c:pt>
                <c:pt idx="71">
                  <c:v>44196</c:v>
                </c:pt>
              </c:numCache>
            </c:numRef>
          </c:cat>
          <c:val>
            <c:numRef>
              <c:f>'Research 오류 해결 전 (정답)'!$I$128:$CB$128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4-41DD-A803-0C65D2BB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11439"/>
        <c:axId val="539299791"/>
      </c:barChart>
      <c:dateAx>
        <c:axId val="539311439"/>
        <c:scaling>
          <c:orientation val="minMax"/>
        </c:scaling>
        <c:delete val="0"/>
        <c:axPos val="b"/>
        <c:numFmt formatCode="yyyy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299791"/>
        <c:crosses val="autoZero"/>
        <c:auto val="1"/>
        <c:lblOffset val="100"/>
        <c:baseTimeUnit val="months"/>
      </c:dateAx>
      <c:valAx>
        <c:axId val="539299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311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ysClr val="windowText" lastClr="000000"/>
                </a:solidFill>
              </a:rPr>
              <a:t>기업 </a:t>
            </a:r>
            <a:r>
              <a:rPr lang="en-US" altLang="ko-KR" b="1">
                <a:solidFill>
                  <a:sysClr val="windowText" lastClr="000000"/>
                </a:solidFill>
              </a:rPr>
              <a:t>A </a:t>
            </a:r>
            <a:r>
              <a:rPr lang="ko-KR" altLang="en-US" b="1">
                <a:solidFill>
                  <a:sysClr val="windowText" lastClr="000000"/>
                </a:solidFill>
              </a:rPr>
              <a:t>월별 매출액</a:t>
            </a:r>
            <a:endParaRPr lang="en-US" altLang="ko-KR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오류 해결 전 (정답)'!$H$107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오류 해결 전 (정답)'!$I$106:$CB$106</c:f>
              <c:numCache>
                <c:formatCode>m/d/yyyy</c:formatCode>
                <c:ptCount val="72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  <c:pt idx="61">
                  <c:v>43890</c:v>
                </c:pt>
                <c:pt idx="62">
                  <c:v>43921</c:v>
                </c:pt>
                <c:pt idx="63">
                  <c:v>43951</c:v>
                </c:pt>
                <c:pt idx="64">
                  <c:v>43982</c:v>
                </c:pt>
                <c:pt idx="65">
                  <c:v>44012</c:v>
                </c:pt>
                <c:pt idx="66">
                  <c:v>44043</c:v>
                </c:pt>
                <c:pt idx="67">
                  <c:v>44074</c:v>
                </c:pt>
                <c:pt idx="68">
                  <c:v>44104</c:v>
                </c:pt>
                <c:pt idx="69">
                  <c:v>44135</c:v>
                </c:pt>
                <c:pt idx="70">
                  <c:v>44165</c:v>
                </c:pt>
                <c:pt idx="71">
                  <c:v>44196</c:v>
                </c:pt>
              </c:numCache>
            </c:numRef>
          </c:cat>
          <c:val>
            <c:numRef>
              <c:f>'Research 오류 해결 전 (정답)'!$I$107:$CB$107</c:f>
              <c:numCache>
                <c:formatCode>#,##0</c:formatCode>
                <c:ptCount val="72"/>
                <c:pt idx="0">
                  <c:v>23333.97430479684</c:v>
                </c:pt>
                <c:pt idx="1">
                  <c:v>23814.354579571875</c:v>
                </c:pt>
                <c:pt idx="2">
                  <c:v>2409363.2581763403</c:v>
                </c:pt>
                <c:pt idx="3">
                  <c:v>24390.500897697719</c:v>
                </c:pt>
                <c:pt idx="4">
                  <c:v>24701.719838839374</c:v>
                </c:pt>
                <c:pt idx="5">
                  <c:v>25775.081708877711</c:v>
                </c:pt>
                <c:pt idx="6">
                  <c:v>26382.244850996376</c:v>
                </c:pt>
                <c:pt idx="7">
                  <c:v>26869.361706436564</c:v>
                </c:pt>
                <c:pt idx="8">
                  <c:v>274.39655628748159</c:v>
                </c:pt>
                <c:pt idx="9">
                  <c:v>27648.894852152222</c:v>
                </c:pt>
                <c:pt idx="10">
                  <c:v>27315.126679944067</c:v>
                </c:pt>
                <c:pt idx="11">
                  <c:v>27054.382074347443</c:v>
                </c:pt>
                <c:pt idx="12">
                  <c:v>26760.591373067335</c:v>
                </c:pt>
                <c:pt idx="13">
                  <c:v>26801.144124341688</c:v>
                </c:pt>
                <c:pt idx="14">
                  <c:v>2675948.0742625273</c:v>
                </c:pt>
                <c:pt idx="15">
                  <c:v>26931.286786743738</c:v>
                </c:pt>
                <c:pt idx="16">
                  <c:v>27114.305231302853</c:v>
                </c:pt>
                <c:pt idx="17">
                  <c:v>27732.301688411164</c:v>
                </c:pt>
                <c:pt idx="18">
                  <c:v>28111.596975273354</c:v>
                </c:pt>
                <c:pt idx="19">
                  <c:v>28493.838335038075</c:v>
                </c:pt>
                <c:pt idx="20">
                  <c:v>290.3370288131365</c:v>
                </c:pt>
                <c:pt idx="21">
                  <c:v>29388.860076882596</c:v>
                </c:pt>
                <c:pt idx="22">
                  <c:v>29520.141038456972</c:v>
                </c:pt>
                <c:pt idx="23">
                  <c:v>29757.22692560092</c:v>
                </c:pt>
                <c:pt idx="24">
                  <c:v>30019.824833178136</c:v>
                </c:pt>
                <c:pt idx="25">
                  <c:v>30640.748635442997</c:v>
                </c:pt>
                <c:pt idx="26">
                  <c:v>3113154.8197778687</c:v>
                </c:pt>
                <c:pt idx="27">
                  <c:v>31506.096057925981</c:v>
                </c:pt>
                <c:pt idx="28">
                  <c:v>31941.11145795996</c:v>
                </c:pt>
                <c:pt idx="29">
                  <c:v>32450.614688435362</c:v>
                </c:pt>
                <c:pt idx="30">
                  <c:v>32969.758724174979</c:v>
                </c:pt>
                <c:pt idx="31">
                  <c:v>33404.092579255186</c:v>
                </c:pt>
                <c:pt idx="32">
                  <c:v>339.36187394949792</c:v>
                </c:pt>
                <c:pt idx="33">
                  <c:v>34180.99178718339</c:v>
                </c:pt>
                <c:pt idx="34">
                  <c:v>33361.123760721464</c:v>
                </c:pt>
                <c:pt idx="35">
                  <c:v>32874.404119868937</c:v>
                </c:pt>
                <c:pt idx="36">
                  <c:v>32604.086689379659</c:v>
                </c:pt>
                <c:pt idx="37">
                  <c:v>32505.870576401685</c:v>
                </c:pt>
                <c:pt idx="38">
                  <c:v>3242842.7365556504</c:v>
                </c:pt>
                <c:pt idx="39">
                  <c:v>32254.600314801257</c:v>
                </c:pt>
                <c:pt idx="40">
                  <c:v>32342.816160165814</c:v>
                </c:pt>
                <c:pt idx="41">
                  <c:v>32723.515050765545</c:v>
                </c:pt>
                <c:pt idx="42">
                  <c:v>32815.846420138034</c:v>
                </c:pt>
                <c:pt idx="43">
                  <c:v>32990.353809070875</c:v>
                </c:pt>
                <c:pt idx="44">
                  <c:v>332.80516862149454</c:v>
                </c:pt>
                <c:pt idx="45">
                  <c:v>33649.969498906372</c:v>
                </c:pt>
                <c:pt idx="46">
                  <c:v>33158.639080558525</c:v>
                </c:pt>
                <c:pt idx="47">
                  <c:v>32753.633523499306</c:v>
                </c:pt>
                <c:pt idx="48">
                  <c:v>32631.961909064557</c:v>
                </c:pt>
                <c:pt idx="49">
                  <c:v>33164.089426156832</c:v>
                </c:pt>
                <c:pt idx="50">
                  <c:v>3355489.4328429415</c:v>
                </c:pt>
                <c:pt idx="51">
                  <c:v>34220.308736839383</c:v>
                </c:pt>
                <c:pt idx="52">
                  <c:v>34839.018844661929</c:v>
                </c:pt>
                <c:pt idx="53">
                  <c:v>36115.861080213181</c:v>
                </c:pt>
                <c:pt idx="54">
                  <c:v>36831.899140982307</c:v>
                </c:pt>
                <c:pt idx="55">
                  <c:v>37681.631968585338</c:v>
                </c:pt>
                <c:pt idx="56">
                  <c:v>386.55197520124199</c:v>
                </c:pt>
                <c:pt idx="57">
                  <c:v>39192.102003844244</c:v>
                </c:pt>
                <c:pt idx="58">
                  <c:v>38333.26838915798</c:v>
                </c:pt>
                <c:pt idx="59">
                  <c:v>37990.401720459973</c:v>
                </c:pt>
                <c:pt idx="60">
                  <c:v>37733.154687644237</c:v>
                </c:pt>
                <c:pt idx="61">
                  <c:v>38054.173959714863</c:v>
                </c:pt>
                <c:pt idx="62">
                  <c:v>3802089.1504312898</c:v>
                </c:pt>
                <c:pt idx="63">
                  <c:v>38109.314156209017</c:v>
                </c:pt>
                <c:pt idx="64">
                  <c:v>38384.005212148542</c:v>
                </c:pt>
                <c:pt idx="65">
                  <c:v>39188.80765029684</c:v>
                </c:pt>
                <c:pt idx="66">
                  <c:v>39887.993497976371</c:v>
                </c:pt>
                <c:pt idx="67">
                  <c:v>40526.638731126564</c:v>
                </c:pt>
                <c:pt idx="68">
                  <c:v>413.55157949181904</c:v>
                </c:pt>
                <c:pt idx="69">
                  <c:v>41612.717240387654</c:v>
                </c:pt>
                <c:pt idx="70">
                  <c:v>40418.614201557888</c:v>
                </c:pt>
                <c:pt idx="71">
                  <c:v>40227.452458665386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A-4B22-AB6D-D31E725D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11439"/>
        <c:axId val="539299791"/>
      </c:barChart>
      <c:dateAx>
        <c:axId val="539311439"/>
        <c:scaling>
          <c:orientation val="minMax"/>
        </c:scaling>
        <c:delete val="0"/>
        <c:axPos val="b"/>
        <c:numFmt formatCode="yyyy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299791"/>
        <c:crosses val="autoZero"/>
        <c:auto val="1"/>
        <c:lblOffset val="100"/>
        <c:baseTimeUnit val="months"/>
      </c:dateAx>
      <c:valAx>
        <c:axId val="5392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31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오류 해결 후 (실습)'!$H$107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(실습)'!$I$106:$CB$106</c:f>
              <c:numCache>
                <c:formatCode>m/d/yyyy</c:formatCode>
                <c:ptCount val="72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  <c:pt idx="61">
                  <c:v>43890</c:v>
                </c:pt>
                <c:pt idx="62">
                  <c:v>43921</c:v>
                </c:pt>
                <c:pt idx="63">
                  <c:v>43951</c:v>
                </c:pt>
                <c:pt idx="64">
                  <c:v>43982</c:v>
                </c:pt>
                <c:pt idx="65">
                  <c:v>44012</c:v>
                </c:pt>
                <c:pt idx="66">
                  <c:v>44043</c:v>
                </c:pt>
                <c:pt idx="67">
                  <c:v>44074</c:v>
                </c:pt>
                <c:pt idx="68">
                  <c:v>44104</c:v>
                </c:pt>
                <c:pt idx="69">
                  <c:v>44135</c:v>
                </c:pt>
                <c:pt idx="70">
                  <c:v>44165</c:v>
                </c:pt>
                <c:pt idx="71">
                  <c:v>44196</c:v>
                </c:pt>
              </c:numCache>
            </c:numRef>
          </c:cat>
          <c:val>
            <c:numRef>
              <c:f>'Research 오류 해결 후 (실습)'!$I$107:$CB$107</c:f>
              <c:numCache>
                <c:formatCode>#,##0</c:formatCode>
                <c:ptCount val="72"/>
                <c:pt idx="0">
                  <c:v>23333.97430479684</c:v>
                </c:pt>
                <c:pt idx="1">
                  <c:v>23814.354579571875</c:v>
                </c:pt>
                <c:pt idx="2">
                  <c:v>24108.581925957271</c:v>
                </c:pt>
                <c:pt idx="3">
                  <c:v>24390.500897697719</c:v>
                </c:pt>
                <c:pt idx="4">
                  <c:v>24701.719838839374</c:v>
                </c:pt>
                <c:pt idx="5">
                  <c:v>25775.081708877711</c:v>
                </c:pt>
                <c:pt idx="6">
                  <c:v>26382.244850996376</c:v>
                </c:pt>
                <c:pt idx="7">
                  <c:v>26869.361706436564</c:v>
                </c:pt>
                <c:pt idx="8">
                  <c:v>27448.452616795275</c:v>
                </c:pt>
                <c:pt idx="9">
                  <c:v>27648.894852152222</c:v>
                </c:pt>
                <c:pt idx="10">
                  <c:v>27315.126679944067</c:v>
                </c:pt>
                <c:pt idx="11">
                  <c:v>27054.382074347443</c:v>
                </c:pt>
                <c:pt idx="12">
                  <c:v>26760.591373067335</c:v>
                </c:pt>
                <c:pt idx="13">
                  <c:v>26801.144124341688</c:v>
                </c:pt>
                <c:pt idx="14">
                  <c:v>26761.067500773886</c:v>
                </c:pt>
                <c:pt idx="15">
                  <c:v>26931.286786743738</c:v>
                </c:pt>
                <c:pt idx="16">
                  <c:v>27114.305231302853</c:v>
                </c:pt>
                <c:pt idx="17">
                  <c:v>27732.301688411164</c:v>
                </c:pt>
                <c:pt idx="18">
                  <c:v>28111.596975273354</c:v>
                </c:pt>
                <c:pt idx="19">
                  <c:v>28493.838335038075</c:v>
                </c:pt>
                <c:pt idx="20">
                  <c:v>29035.629819855392</c:v>
                </c:pt>
                <c:pt idx="21">
                  <c:v>29388.365320384113</c:v>
                </c:pt>
                <c:pt idx="22">
                  <c:v>29519.685401982217</c:v>
                </c:pt>
                <c:pt idx="23">
                  <c:v>29756.792102474185</c:v>
                </c:pt>
                <c:pt idx="24">
                  <c:v>30019.394729853109</c:v>
                </c:pt>
                <c:pt idx="25">
                  <c:v>30640.318131090262</c:v>
                </c:pt>
                <c:pt idx="26">
                  <c:v>31132.859898929371</c:v>
                </c:pt>
                <c:pt idx="27">
                  <c:v>31505.641865090267</c:v>
                </c:pt>
                <c:pt idx="28">
                  <c:v>31940.649875825518</c:v>
                </c:pt>
                <c:pt idx="29">
                  <c:v>32450.117142627005</c:v>
                </c:pt>
                <c:pt idx="30">
                  <c:v>32969.261037529286</c:v>
                </c:pt>
                <c:pt idx="31">
                  <c:v>33403.59172331338</c:v>
                </c:pt>
                <c:pt idx="32">
                  <c:v>33938.346493098667</c:v>
                </c:pt>
                <c:pt idx="33">
                  <c:v>34180.471482053079</c:v>
                </c:pt>
                <c:pt idx="34">
                  <c:v>33360.638780774578</c:v>
                </c:pt>
                <c:pt idx="35">
                  <c:v>32873.930991379115</c:v>
                </c:pt>
                <c:pt idx="36">
                  <c:v>32603.623935047224</c:v>
                </c:pt>
                <c:pt idx="37">
                  <c:v>32504.999540048571</c:v>
                </c:pt>
                <c:pt idx="38">
                  <c:v>32428.346344567908</c:v>
                </c:pt>
                <c:pt idx="39">
                  <c:v>32253.689191356654</c:v>
                </c:pt>
                <c:pt idx="40">
                  <c:v>32341.899871458438</c:v>
                </c:pt>
                <c:pt idx="41">
                  <c:v>32722.5306720673</c:v>
                </c:pt>
                <c:pt idx="42">
                  <c:v>32814.838718434279</c:v>
                </c:pt>
                <c:pt idx="43">
                  <c:v>32989.320308722214</c:v>
                </c:pt>
                <c:pt idx="44">
                  <c:v>33279.462461895455</c:v>
                </c:pt>
                <c:pt idx="45">
                  <c:v>33648.915506081103</c:v>
                </c:pt>
                <c:pt idx="46">
                  <c:v>33157.665655694946</c:v>
                </c:pt>
                <c:pt idx="47">
                  <c:v>32752.701564662002</c:v>
                </c:pt>
                <c:pt idx="48">
                  <c:v>32631.083804997928</c:v>
                </c:pt>
                <c:pt idx="49">
                  <c:v>33163.201440528675</c:v>
                </c:pt>
                <c:pt idx="50">
                  <c:v>33554.006785358768</c:v>
                </c:pt>
                <c:pt idx="51">
                  <c:v>34219.417852399522</c:v>
                </c:pt>
                <c:pt idx="52">
                  <c:v>34837.823595480717</c:v>
                </c:pt>
                <c:pt idx="53">
                  <c:v>36114.592365589619</c:v>
                </c:pt>
                <c:pt idx="54">
                  <c:v>36830.588041917064</c:v>
                </c:pt>
                <c:pt idx="55">
                  <c:v>37680.295962500073</c:v>
                </c:pt>
                <c:pt idx="56">
                  <c:v>38654.174430678264</c:v>
                </c:pt>
                <c:pt idx="57">
                  <c:v>39191.081331404013</c:v>
                </c:pt>
                <c:pt idx="58">
                  <c:v>38332.294500828764</c:v>
                </c:pt>
                <c:pt idx="59">
                  <c:v>37989.448287839354</c:v>
                </c:pt>
                <c:pt idx="60">
                  <c:v>37732.215141150322</c:v>
                </c:pt>
                <c:pt idx="61">
                  <c:v>38053.245095076818</c:v>
                </c:pt>
                <c:pt idx="62">
                  <c:v>38019.966558861095</c:v>
                </c:pt>
                <c:pt idx="63">
                  <c:v>38108.411349682792</c:v>
                </c:pt>
                <c:pt idx="64">
                  <c:v>38383.086687610186</c:v>
                </c:pt>
                <c:pt idx="65">
                  <c:v>39187.838930325968</c:v>
                </c:pt>
                <c:pt idx="66">
                  <c:v>39886.998042867002</c:v>
                </c:pt>
                <c:pt idx="67">
                  <c:v>40526.076538089525</c:v>
                </c:pt>
                <c:pt idx="68">
                  <c:v>41355.157949181921</c:v>
                </c:pt>
                <c:pt idx="69">
                  <c:v>41612.717240387654</c:v>
                </c:pt>
                <c:pt idx="70">
                  <c:v>40418.614201557888</c:v>
                </c:pt>
                <c:pt idx="71">
                  <c:v>40227.452458665386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2-4331-9104-FEEF35A6D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11439"/>
        <c:axId val="539299791"/>
      </c:barChart>
      <c:dateAx>
        <c:axId val="5393114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299791"/>
        <c:crosses val="autoZero"/>
        <c:auto val="1"/>
        <c:lblOffset val="100"/>
        <c:baseTimeUnit val="months"/>
      </c:dateAx>
      <c:valAx>
        <c:axId val="5392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31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</a:t>
            </a:r>
            <a:r>
              <a:rPr lang="en-US" altLang="ko-KR" baseline="0"/>
              <a:t> Revenue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오류 해결 후 (실습)'!$H$249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(실습)'!$I$249:$N$249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A-4290-BB2A-64840E1B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97231"/>
        <c:axId val="580587663"/>
      </c:barChart>
      <c:catAx>
        <c:axId val="5805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87663"/>
        <c:crosses val="autoZero"/>
        <c:auto val="1"/>
        <c:lblAlgn val="ctr"/>
        <c:lblOffset val="100"/>
        <c:noMultiLvlLbl val="0"/>
      </c:catAx>
      <c:valAx>
        <c:axId val="5805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9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aseline="0"/>
              <a:t>피합병법인 지역별 </a:t>
            </a:r>
            <a:r>
              <a:rPr lang="en-US" altLang="ko-KR" baseline="0"/>
              <a:t>Revenue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오류 해결 후 (실습)'!$H$258</c:f>
              <c:strCache>
                <c:ptCount val="1"/>
                <c:pt idx="0">
                  <c:v>East (피합병)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(실습)'!$I$258:$N$258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9A0-43F3-B279-B38851CEA4CB}"/>
            </c:ext>
          </c:extLst>
        </c:ser>
        <c:ser>
          <c:idx val="1"/>
          <c:order val="1"/>
          <c:tx>
            <c:strRef>
              <c:f>'Research 오류 해결 후 (실습)'!$H$259</c:f>
              <c:strCache>
                <c:ptCount val="1"/>
                <c:pt idx="0">
                  <c:v>South (피합병)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(실습)'!$I$259:$N$259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9A0-43F3-B279-B38851CEA4CB}"/>
            </c:ext>
          </c:extLst>
        </c:ser>
        <c:ser>
          <c:idx val="2"/>
          <c:order val="2"/>
          <c:tx>
            <c:strRef>
              <c:f>'Research 오류 해결 후 (실습)'!$H$260</c:f>
              <c:strCache>
                <c:ptCount val="1"/>
                <c:pt idx="0">
                  <c:v>Midwest (피합병)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(실습)'!$I$260:$N$260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9A0-43F3-B279-B38851CEA4CB}"/>
            </c:ext>
          </c:extLst>
        </c:ser>
        <c:ser>
          <c:idx val="3"/>
          <c:order val="3"/>
          <c:tx>
            <c:strRef>
              <c:f>'Research 오류 해결 후 (실습)'!$H$261</c:f>
              <c:strCache>
                <c:ptCount val="1"/>
                <c:pt idx="0">
                  <c:v>West (피합병)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(실습)'!$I$261:$N$261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9A0-43F3-B279-B38851CE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97231"/>
        <c:axId val="580587663"/>
      </c:barChart>
      <c:catAx>
        <c:axId val="5805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87663"/>
        <c:crosses val="autoZero"/>
        <c:auto val="1"/>
        <c:lblAlgn val="ctr"/>
        <c:lblOffset val="100"/>
        <c:noMultiLvlLbl val="0"/>
      </c:catAx>
      <c:valAx>
        <c:axId val="5805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aseline="0"/>
              <a:t>지역별 평균 </a:t>
            </a:r>
            <a:r>
              <a:rPr lang="en-US" altLang="ko-KR" baseline="0"/>
              <a:t>Revenue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오류 해결 후 (실습)'!$H$267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(실습)'!$I$267:$N$267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44B-4479-A055-A7F6186174B4}"/>
            </c:ext>
          </c:extLst>
        </c:ser>
        <c:ser>
          <c:idx val="1"/>
          <c:order val="1"/>
          <c:tx>
            <c:strRef>
              <c:f>'Research 오류 해결 후 (실습)'!$H$268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(실습)'!$I$268:$N$268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44B-4479-A055-A7F6186174B4}"/>
            </c:ext>
          </c:extLst>
        </c:ser>
        <c:ser>
          <c:idx val="2"/>
          <c:order val="2"/>
          <c:tx>
            <c:strRef>
              <c:f>'Research 오류 해결 후 (실습)'!$H$269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(실습)'!$I$269:$N$269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44B-4479-A055-A7F6186174B4}"/>
            </c:ext>
          </c:extLst>
        </c:ser>
        <c:ser>
          <c:idx val="3"/>
          <c:order val="3"/>
          <c:tx>
            <c:strRef>
              <c:f>'Research 오류 해결 후 (실습)'!$H$270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(실습)'!$I$270:$N$270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44B-4479-A055-A7F618617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97231"/>
        <c:axId val="580587663"/>
      </c:barChart>
      <c:catAx>
        <c:axId val="5805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87663"/>
        <c:crosses val="autoZero"/>
        <c:auto val="1"/>
        <c:lblAlgn val="ctr"/>
        <c:lblOffset val="100"/>
        <c:noMultiLvlLbl val="0"/>
      </c:catAx>
      <c:valAx>
        <c:axId val="5805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u="none" strike="noStrike" baseline="0">
                <a:effectLst/>
              </a:rPr>
              <a:t>피합병법인 </a:t>
            </a:r>
            <a:r>
              <a:rPr lang="ko-KR" altLang="en-US" baseline="0"/>
              <a:t>지역별 평균 </a:t>
            </a:r>
            <a:r>
              <a:rPr lang="en-US" altLang="ko-KR" baseline="0"/>
              <a:t>Revenue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오류 해결 후 (실습)'!$H$272</c:f>
              <c:strCache>
                <c:ptCount val="1"/>
                <c:pt idx="0">
                  <c:v>East (피합병)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(실습)'!$I$272:$N$272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2BF-4AA0-8031-E7963D2F2849}"/>
            </c:ext>
          </c:extLst>
        </c:ser>
        <c:ser>
          <c:idx val="1"/>
          <c:order val="1"/>
          <c:tx>
            <c:strRef>
              <c:f>'Research 오류 해결 후 (실습)'!$H$273</c:f>
              <c:strCache>
                <c:ptCount val="1"/>
                <c:pt idx="0">
                  <c:v>South (피합병)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(실습)'!$I$273:$N$273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2BF-4AA0-8031-E7963D2F2849}"/>
            </c:ext>
          </c:extLst>
        </c:ser>
        <c:ser>
          <c:idx val="2"/>
          <c:order val="2"/>
          <c:tx>
            <c:strRef>
              <c:f>'Research 오류 해결 후 (실습)'!$H$274</c:f>
              <c:strCache>
                <c:ptCount val="1"/>
                <c:pt idx="0">
                  <c:v>Midwest (피합병)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(실습)'!$I$274:$N$274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2BF-4AA0-8031-E7963D2F2849}"/>
            </c:ext>
          </c:extLst>
        </c:ser>
        <c:ser>
          <c:idx val="3"/>
          <c:order val="3"/>
          <c:tx>
            <c:strRef>
              <c:f>'Research 오류 해결 후 (실습)'!$H$275</c:f>
              <c:strCache>
                <c:ptCount val="1"/>
                <c:pt idx="0">
                  <c:v>West (피합병)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'Research 오류 해결 후 (실습)'!$I$154:$N$154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'Research 오류 해결 후 (실습)'!$I$275:$N$275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62BF-4AA0-8031-E7963D2F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97231"/>
        <c:axId val="580587663"/>
      </c:barChart>
      <c:catAx>
        <c:axId val="5805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87663"/>
        <c:crosses val="autoZero"/>
        <c:auto val="1"/>
        <c:lblAlgn val="ctr"/>
        <c:lblOffset val="100"/>
        <c:noMultiLvlLbl val="0"/>
      </c:catAx>
      <c:valAx>
        <c:axId val="5805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295275</xdr:colOff>
      <xdr:row>23</xdr:row>
      <xdr:rowOff>166946</xdr:rowOff>
    </xdr:from>
    <xdr:to>
      <xdr:col>12</xdr:col>
      <xdr:colOff>133350</xdr:colOff>
      <xdr:row>25</xdr:row>
      <xdr:rowOff>201056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0753B37-C346-4E91-ADDF-F19E315AD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03795" y="5249486"/>
          <a:ext cx="1560195" cy="476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130</xdr:row>
      <xdr:rowOff>0</xdr:rowOff>
    </xdr:from>
    <xdr:to>
      <xdr:col>17</xdr:col>
      <xdr:colOff>1905</xdr:colOff>
      <xdr:row>145</xdr:row>
      <xdr:rowOff>15241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F2A16C9-CA29-425E-BAC6-5D4431683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108</xdr:row>
      <xdr:rowOff>0</xdr:rowOff>
    </xdr:from>
    <xdr:to>
      <xdr:col>17</xdr:col>
      <xdr:colOff>142875</xdr:colOff>
      <xdr:row>123</xdr:row>
      <xdr:rowOff>24765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02DED2A-3EAD-4808-B565-F24446EB7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130</xdr:row>
      <xdr:rowOff>0</xdr:rowOff>
    </xdr:from>
    <xdr:to>
      <xdr:col>17</xdr:col>
      <xdr:colOff>1905</xdr:colOff>
      <xdr:row>145</xdr:row>
      <xdr:rowOff>15241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AA5280A3-8CDB-4111-868A-0D95C929D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108</xdr:row>
      <xdr:rowOff>0</xdr:rowOff>
    </xdr:from>
    <xdr:to>
      <xdr:col>17</xdr:col>
      <xdr:colOff>142875</xdr:colOff>
      <xdr:row>123</xdr:row>
      <xdr:rowOff>24765</xdr:rowOff>
    </xdr:to>
    <xdr:graphicFrame macro="">
      <xdr:nvGraphicFramePr>
        <xdr:cNvPr id="42" name="차트 41">
          <a:extLst>
            <a:ext uri="{FF2B5EF4-FFF2-40B4-BE49-F238E27FC236}">
              <a16:creationId xmlns:a16="http://schemas.microsoft.com/office/drawing/2014/main" id="{B5CA69DC-5A87-4A46-8BBA-1F7C1569A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971549</xdr:colOff>
      <xdr:row>108</xdr:row>
      <xdr:rowOff>0</xdr:rowOff>
    </xdr:from>
    <xdr:to>
      <xdr:col>16</xdr:col>
      <xdr:colOff>809624</xdr:colOff>
      <xdr:row>123</xdr:row>
      <xdr:rowOff>24765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4192514-F673-444E-B4F3-B185B607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233</xdr:row>
      <xdr:rowOff>0</xdr:rowOff>
    </xdr:from>
    <xdr:to>
      <xdr:col>23</xdr:col>
      <xdr:colOff>606545</xdr:colOff>
      <xdr:row>247</xdr:row>
      <xdr:rowOff>164509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A52404B-8146-4808-AC27-D05F83F30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266</xdr:row>
      <xdr:rowOff>180108</xdr:rowOff>
    </xdr:from>
    <xdr:to>
      <xdr:col>23</xdr:col>
      <xdr:colOff>606545</xdr:colOff>
      <xdr:row>282</xdr:row>
      <xdr:rowOff>95235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3F9852E-8E0C-4D58-B447-E594CC6D3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248</xdr:row>
      <xdr:rowOff>180108</xdr:rowOff>
    </xdr:from>
    <xdr:to>
      <xdr:col>29</xdr:col>
      <xdr:colOff>606546</xdr:colOff>
      <xdr:row>264</xdr:row>
      <xdr:rowOff>122944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8064E30-5B12-4D3A-BA30-5A5B16CDE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267</xdr:row>
      <xdr:rowOff>0</xdr:rowOff>
    </xdr:from>
    <xdr:to>
      <xdr:col>29</xdr:col>
      <xdr:colOff>606546</xdr:colOff>
      <xdr:row>282</xdr:row>
      <xdr:rowOff>95236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88A97DE-46AC-496B-BDAB-4FD3FD1B0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248</xdr:row>
      <xdr:rowOff>180108</xdr:rowOff>
    </xdr:from>
    <xdr:to>
      <xdr:col>23</xdr:col>
      <xdr:colOff>606545</xdr:colOff>
      <xdr:row>264</xdr:row>
      <xdr:rowOff>122944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1BE898F-1E12-48EC-8CBD-C09B95F00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971549</xdr:colOff>
      <xdr:row>108</xdr:row>
      <xdr:rowOff>0</xdr:rowOff>
    </xdr:from>
    <xdr:to>
      <xdr:col>16</xdr:col>
      <xdr:colOff>809624</xdr:colOff>
      <xdr:row>123</xdr:row>
      <xdr:rowOff>24765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8111F1-96B9-4B2B-A2E4-05643663E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233</xdr:row>
      <xdr:rowOff>0</xdr:rowOff>
    </xdr:from>
    <xdr:to>
      <xdr:col>23</xdr:col>
      <xdr:colOff>576858</xdr:colOff>
      <xdr:row>247</xdr:row>
      <xdr:rowOff>136800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497419E-3DD9-4691-BA6B-89FF684E3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266</xdr:row>
      <xdr:rowOff>185056</xdr:rowOff>
    </xdr:from>
    <xdr:to>
      <xdr:col>23</xdr:col>
      <xdr:colOff>576858</xdr:colOff>
      <xdr:row>282</xdr:row>
      <xdr:rowOff>93256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A8C8729-7A7A-4148-A656-673589693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892628</xdr:colOff>
      <xdr:row>249</xdr:row>
      <xdr:rowOff>-1</xdr:rowOff>
    </xdr:from>
    <xdr:to>
      <xdr:col>29</xdr:col>
      <xdr:colOff>576856</xdr:colOff>
      <xdr:row>264</xdr:row>
      <xdr:rowOff>125914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7E6FEBB-4823-4D20-8CEF-72BFE445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892628</xdr:colOff>
      <xdr:row>267</xdr:row>
      <xdr:rowOff>0</xdr:rowOff>
    </xdr:from>
    <xdr:to>
      <xdr:col>29</xdr:col>
      <xdr:colOff>576856</xdr:colOff>
      <xdr:row>282</xdr:row>
      <xdr:rowOff>93257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BF72F56-EADE-4550-A7AF-1FE93F6A4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-1</xdr:colOff>
      <xdr:row>249</xdr:row>
      <xdr:rowOff>-1</xdr:rowOff>
    </xdr:from>
    <xdr:to>
      <xdr:col>23</xdr:col>
      <xdr:colOff>576857</xdr:colOff>
      <xdr:row>264</xdr:row>
      <xdr:rowOff>125914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8C7B407-992D-4E4B-B6C7-46DD3B762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nse/Desktop/Wall%20Street%20Training%20Asia/Online/WST_SHAK%20&#47784;&#45944;_&#49884;&#510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_IBPE_2&#52264;_&#51452;&#50836;&#50641;&#49472;&#54632;&#49688;_AT&amp;T_&#52572;&#5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CIQHiddenCacheSheet"/>
      <sheetName val="Cover"/>
      <sheetName val="Operations"/>
      <sheetName val="Income Statement"/>
      <sheetName val="Balance Sheet"/>
      <sheetName val="Cash Flow"/>
      <sheetName val="Working Capital"/>
      <sheetName val="PP&amp;E"/>
      <sheetName val="Other LT Items"/>
      <sheetName val="Equity"/>
      <sheetName val="Shares"/>
      <sheetName val="Debt&amp;Interest"/>
      <sheetName val="DCF"/>
      <sheetName val="SHAK_10K"/>
      <sheetName val="Capital IQ&gt;&gt;&gt;&gt;&gt;"/>
      <sheetName val="Key Stats"/>
      <sheetName val="IS"/>
      <sheetName val="BS"/>
      <sheetName val="SCF"/>
      <sheetName val="Multiples"/>
      <sheetName val="Historical Capitalization"/>
      <sheetName val="Capital Structure Summary"/>
      <sheetName val="Capital Structure Details"/>
      <sheetName val="Ratios"/>
      <sheetName val="Supplemental"/>
      <sheetName val="Segments"/>
      <sheetName val="WACC"/>
      <sheetName val="Input Tab"/>
      <sheetName val="Trading Multiples"/>
      <sheetName val="Valuation Chart"/>
      <sheetName val="Comparable M&amp;A Transactions"/>
      <sheetName val="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H1">
            <v>43291</v>
          </cell>
        </row>
      </sheetData>
      <sheetData sheetId="27">
        <row r="15">
          <cell r="AD15" t="str">
            <v>Public Peer List</v>
          </cell>
        </row>
        <row r="16">
          <cell r="AD16" t="str">
            <v>Private Peer List</v>
          </cell>
        </row>
        <row r="17">
          <cell r="AD17" t="str">
            <v>Mixed Peer List</v>
          </cell>
        </row>
        <row r="18">
          <cell r="AD18" t="str">
            <v>Quick Comps</v>
          </cell>
        </row>
        <row r="19">
          <cell r="AD19" t="str">
            <v>CompSet / Watchlist</v>
          </cell>
        </row>
      </sheetData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 Stats"/>
      <sheetName val="Income Statement"/>
      <sheetName val="Balance Sheet"/>
      <sheetName val="Cash Flow"/>
      <sheetName val="Multiples"/>
      <sheetName val="Historical Capitalization"/>
      <sheetName val="Capital Structure Summary"/>
      <sheetName val="Capital Structure Details"/>
      <sheetName val="Ratios"/>
      <sheetName val="Supplemental"/>
      <sheetName val="Industry Specific"/>
      <sheetName val="Pension OPEB"/>
      <sheetName val="Segments"/>
      <sheetName val="Cover"/>
      <sheetName val="OB맥주_Research"/>
      <sheetName val="DCF&gt;&gt;&gt;"/>
      <sheetName val="Statement of Cash Flow"/>
      <sheetName val="Assets Schedule"/>
      <sheetName val="Non-debt Liabilities Schedule"/>
      <sheetName val="Debt Schedule"/>
      <sheetName val="Equity Schedule"/>
      <sheetName val="DCF Valuation"/>
      <sheetName val="WACC"/>
      <sheetName val="Football"/>
      <sheetName val="LBO&gt;&gt;&gt;"/>
      <sheetName val="LBO_Analysis"/>
      <sheetName val="LBO Financing Structure"/>
      <sheetName val="LBO Graph"/>
      <sheetName val="Trading Comps &gt;&gt;&gt;"/>
      <sheetName val="Trading Comps_Input"/>
      <sheetName val="Trading Comps_Output"/>
      <sheetName val="Precedent Transactions&gt;&gt;&gt;"/>
      <sheetName val="Precedent Transactions_Input"/>
      <sheetName val="Precedent Transactions_Output"/>
      <sheetName val="Actual Financial Statements&gt;&gt;&gt;"/>
      <sheetName val="OB_IS"/>
      <sheetName val="OB_BS"/>
      <sheetName val="OB_SCF"/>
      <sheetName val="OB맥주_DART"/>
      <sheetName val="하이트진로_DART"/>
      <sheetName val="IS"/>
      <sheetName val="BS"/>
      <sheetName val="SCF"/>
      <sheetName val="Working Capital"/>
      <sheetName val="PP&amp;E"/>
      <sheetName val="Intangibles"/>
      <sheetName val="Other LT Items"/>
      <sheetName val="Equity"/>
      <sheetName val="Share"/>
      <sheetName val="Debt&amp;Interest"/>
      <sheetName val="DCF Analysis"/>
      <sheetName val="CR"/>
      <sheetName val="LBO_Summary"/>
      <sheetName val="Wall Street Training"/>
      <sheetName val="투자은행과 사모펀드"/>
    </sheetNames>
    <sheetDataSet>
      <sheetData sheetId="0" refreshError="1"/>
      <sheetData sheetId="1">
        <row r="12">
          <cell r="AJ12" t="str">
            <v>Net Sales</v>
          </cell>
          <cell r="AP12">
            <v>0</v>
          </cell>
        </row>
      </sheetData>
      <sheetData sheetId="2"/>
      <sheetData sheetId="3">
        <row r="80">
          <cell r="P80">
            <v>2010</v>
          </cell>
        </row>
      </sheetData>
      <sheetData sheetId="4" refreshError="1"/>
      <sheetData sheetId="5" refreshError="1"/>
      <sheetData sheetId="6" refreshError="1"/>
      <sheetData sheetId="7" refreshError="1">
        <row r="14">
          <cell r="V14" t="str">
            <v>IQDCS917863134</v>
          </cell>
        </row>
        <row r="15">
          <cell r="V15" t="str">
            <v>IQDCS923207510</v>
          </cell>
        </row>
        <row r="16">
          <cell r="V16" t="str">
            <v>IQDCS923207569</v>
          </cell>
        </row>
        <row r="17">
          <cell r="V17" t="str">
            <v>IQDCS923207570</v>
          </cell>
        </row>
        <row r="18">
          <cell r="V18" t="str">
            <v>IQDCS923207571</v>
          </cell>
        </row>
        <row r="19">
          <cell r="V19" t="str">
            <v>IQDCS923207572</v>
          </cell>
        </row>
        <row r="20">
          <cell r="V20" t="str">
            <v>IQDCS923207573</v>
          </cell>
        </row>
        <row r="21">
          <cell r="V21" t="str">
            <v>IQDCS923207574</v>
          </cell>
        </row>
        <row r="22">
          <cell r="V22" t="str">
            <v>IQDCS923207575</v>
          </cell>
        </row>
        <row r="23">
          <cell r="V23" t="str">
            <v>IQDCS923207576</v>
          </cell>
        </row>
        <row r="24">
          <cell r="V24" t="str">
            <v>IQDCS923212114</v>
          </cell>
        </row>
        <row r="25">
          <cell r="V25" t="str">
            <v>IQDCS923207577</v>
          </cell>
        </row>
        <row r="32">
          <cell r="V32" t="str">
            <v>IQDCS917863134</v>
          </cell>
        </row>
        <row r="33">
          <cell r="V33" t="str">
            <v>IQDCS921082138</v>
          </cell>
        </row>
        <row r="34">
          <cell r="V34" t="str">
            <v>IQDCS920788839</v>
          </cell>
        </row>
        <row r="35">
          <cell r="V35" t="str">
            <v>IQDCS920009847</v>
          </cell>
        </row>
        <row r="36">
          <cell r="V36" t="str">
            <v>IQDCS920009846</v>
          </cell>
        </row>
        <row r="37">
          <cell r="V37" t="str">
            <v>IQDCS919287754</v>
          </cell>
        </row>
        <row r="38">
          <cell r="V38" t="str">
            <v>IQDCS918915118</v>
          </cell>
        </row>
        <row r="39">
          <cell r="V39" t="str">
            <v>IQDCS918501939</v>
          </cell>
        </row>
        <row r="40">
          <cell r="V40" t="str">
            <v>IQDCS917466995</v>
          </cell>
        </row>
        <row r="41">
          <cell r="V41" t="str">
            <v>IQDCS917182729</v>
          </cell>
        </row>
        <row r="42">
          <cell r="V42" t="str">
            <v>IQDCS916202998</v>
          </cell>
        </row>
        <row r="43">
          <cell r="V43" t="str">
            <v>IQDCS915018595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K6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0">
          <cell r="Q20">
            <v>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CIQHiddenCacheSheet"/>
      <sheetName val="Cover"/>
      <sheetName val="현황판"/>
      <sheetName val="IBPE_배당 수익률 계산기 (교재)"/>
      <sheetName val="IBPE_배당 수익률 계산기 (정답)"/>
      <sheetName val="Data_ AT&amp;T 데이터"/>
      <sheetName val="Data_CIQ 다운로드"/>
      <sheetName val="C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4">
          <cell r="D4" t="str">
            <v>AT&amp;T Inc. (NYSE:T)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1A9C-F7C3-4C4E-A028-3A1A50FCD0FA}">
  <sheetPr>
    <tabColor rgb="FF000000"/>
  </sheetPr>
  <dimension ref="A1:M36"/>
  <sheetViews>
    <sheetView showGridLines="0" tabSelected="1" view="pageBreakPreview" zoomScaleNormal="100" zoomScaleSheetLayoutView="100" workbookViewId="0">
      <selection activeCell="D7" sqref="D7"/>
    </sheetView>
  </sheetViews>
  <sheetFormatPr defaultColWidth="9" defaultRowHeight="17.399999999999999" x14ac:dyDescent="0.4"/>
  <cols>
    <col min="1" max="3" width="2.69921875" style="55" customWidth="1"/>
    <col min="4" max="4" width="15.296875" style="55" bestFit="1" customWidth="1"/>
    <col min="5" max="5" width="7.69921875" style="55" customWidth="1"/>
    <col min="6" max="6" width="18.69921875" style="55" customWidth="1"/>
    <col min="7" max="7" width="9.09765625" style="55" customWidth="1"/>
    <col min="8" max="8" width="12.69921875" style="55" customWidth="1"/>
    <col min="9" max="9" width="15.296875" style="55" bestFit="1" customWidth="1"/>
    <col min="10" max="10" width="7.69921875" style="55" customWidth="1"/>
    <col min="11" max="11" width="13.59765625" style="55" customWidth="1"/>
    <col min="12" max="12" width="9" style="55"/>
    <col min="13" max="13" width="2.19921875" style="55" customWidth="1"/>
    <col min="14" max="14" width="2.69921875" style="55" customWidth="1"/>
    <col min="15" max="16384" width="9" style="55"/>
  </cols>
  <sheetData>
    <row r="1" spans="1:13" ht="21.6" thickBot="1" x14ac:dyDescent="0.45">
      <c r="A1" s="51"/>
      <c r="B1" s="52"/>
      <c r="C1" s="53"/>
      <c r="D1" s="53"/>
      <c r="E1" s="53"/>
      <c r="F1" s="53"/>
      <c r="G1" s="53"/>
      <c r="H1" s="53"/>
      <c r="I1" s="53"/>
      <c r="J1" s="53"/>
      <c r="K1" s="52"/>
      <c r="L1" s="53"/>
      <c r="M1" s="54"/>
    </row>
    <row r="2" spans="1:13" ht="24" customHeight="1" x14ac:dyDescent="0.4">
      <c r="A2" s="56"/>
      <c r="B2" s="57" t="s">
        <v>211</v>
      </c>
      <c r="C2" s="56"/>
      <c r="D2" s="56"/>
      <c r="E2" s="56"/>
      <c r="F2" s="56"/>
      <c r="G2" s="56"/>
      <c r="H2" s="56"/>
      <c r="I2" s="56"/>
      <c r="J2" s="56"/>
      <c r="K2" s="58"/>
      <c r="L2" s="56"/>
    </row>
    <row r="3" spans="1:13" ht="6.75" customHeight="1" thickBot="1" x14ac:dyDescent="0.45">
      <c r="A3" s="56"/>
      <c r="B3" s="52"/>
      <c r="C3" s="53"/>
      <c r="D3" s="53"/>
      <c r="E3" s="53"/>
      <c r="F3" s="53"/>
      <c r="G3" s="53"/>
      <c r="H3" s="53"/>
      <c r="I3" s="53"/>
      <c r="J3" s="53"/>
      <c r="K3" s="52"/>
      <c r="L3" s="53"/>
      <c r="M3" s="54"/>
    </row>
    <row r="4" spans="1:13" x14ac:dyDescent="0.4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3" x14ac:dyDescent="0.4">
      <c r="A5" s="56"/>
      <c r="B5" s="56"/>
      <c r="C5" s="56"/>
      <c r="D5" s="56" t="s">
        <v>203</v>
      </c>
      <c r="E5" s="56"/>
      <c r="F5" s="59">
        <f ca="1">TODAY()</f>
        <v>44408</v>
      </c>
      <c r="G5" s="56"/>
      <c r="H5" s="56"/>
      <c r="I5" s="56"/>
      <c r="J5" s="56"/>
      <c r="K5" s="56"/>
      <c r="L5" s="56"/>
    </row>
    <row r="6" spans="1:13" x14ac:dyDescent="0.4">
      <c r="A6" s="56"/>
      <c r="B6" s="56"/>
      <c r="C6" s="56"/>
      <c r="G6" s="56"/>
      <c r="H6" s="56"/>
      <c r="I6" s="56"/>
      <c r="J6" s="56"/>
      <c r="K6" s="56"/>
      <c r="L6" s="56"/>
    </row>
    <row r="7" spans="1:13" x14ac:dyDescent="0.4">
      <c r="A7" s="56"/>
      <c r="B7" s="56"/>
      <c r="C7" s="56"/>
      <c r="D7" s="82" t="s">
        <v>220</v>
      </c>
      <c r="E7" s="56"/>
      <c r="F7" s="56"/>
      <c r="G7" s="56"/>
      <c r="H7" s="56"/>
      <c r="I7" s="56"/>
      <c r="J7" s="56"/>
      <c r="K7" s="56"/>
      <c r="L7" s="56"/>
    </row>
    <row r="8" spans="1:13" x14ac:dyDescent="0.4">
      <c r="A8" s="56"/>
      <c r="B8" s="56"/>
      <c r="C8" s="56"/>
      <c r="D8" s="81" t="str">
        <f>+'Research 오류 해결 전 (실습)'!H5</f>
        <v>CONCATENATE</v>
      </c>
      <c r="E8" s="56"/>
      <c r="F8" s="56"/>
      <c r="G8" s="56"/>
      <c r="H8" s="56"/>
      <c r="I8" s="56"/>
      <c r="J8" s="56"/>
      <c r="K8" s="56"/>
      <c r="L8" s="56"/>
    </row>
    <row r="9" spans="1:13" x14ac:dyDescent="0.4">
      <c r="A9" s="56"/>
      <c r="B9" s="56"/>
      <c r="C9" s="56"/>
      <c r="D9" s="81" t="str">
        <f>+'Research 오류 해결 전 (실습)'!D107</f>
        <v>SUM</v>
      </c>
      <c r="E9" s="56"/>
      <c r="F9" s="56"/>
      <c r="G9" s="56"/>
      <c r="H9" s="56"/>
      <c r="I9" s="56"/>
      <c r="J9" s="56"/>
      <c r="K9" s="56"/>
      <c r="L9" s="56"/>
    </row>
    <row r="10" spans="1:13" x14ac:dyDescent="0.4">
      <c r="A10" s="56"/>
      <c r="B10" s="56"/>
      <c r="C10" s="56"/>
      <c r="D10" s="81" t="str">
        <f>+'Research 오류 해결 전 (실습)'!D126</f>
        <v>IF</v>
      </c>
      <c r="E10" s="56"/>
      <c r="F10" s="56"/>
      <c r="G10" s="56"/>
      <c r="H10" s="56"/>
      <c r="I10" s="56"/>
      <c r="J10" s="56"/>
      <c r="K10" s="56"/>
      <c r="L10" s="56"/>
    </row>
    <row r="11" spans="1:13" x14ac:dyDescent="0.4">
      <c r="A11" s="56"/>
      <c r="B11" s="56"/>
      <c r="C11" s="56"/>
      <c r="D11" s="81" t="str">
        <f>+'함수 (실습)'!C9</f>
        <v>OR</v>
      </c>
      <c r="E11" s="56"/>
      <c r="F11" s="56"/>
      <c r="G11" s="56"/>
      <c r="H11" s="56"/>
      <c r="I11" s="56"/>
      <c r="J11" s="56"/>
      <c r="K11" s="56"/>
      <c r="L11" s="56"/>
    </row>
    <row r="12" spans="1:13" x14ac:dyDescent="0.4">
      <c r="A12" s="56"/>
      <c r="B12" s="56"/>
      <c r="C12" s="56"/>
      <c r="D12" s="81" t="str">
        <f>+'함수 (실습)'!C10</f>
        <v>AND</v>
      </c>
      <c r="E12" s="56"/>
      <c r="F12" s="56"/>
      <c r="G12" s="56"/>
      <c r="H12" s="56"/>
      <c r="I12" s="56"/>
      <c r="J12" s="56"/>
      <c r="K12" s="56"/>
      <c r="L12" s="56"/>
    </row>
    <row r="13" spans="1:13" x14ac:dyDescent="0.4">
      <c r="A13" s="56"/>
      <c r="B13" s="56"/>
      <c r="C13" s="56"/>
      <c r="D13" s="81" t="str">
        <f>+'Research 오류 해결 후 (실습)'!D251</f>
        <v>SUMIF</v>
      </c>
      <c r="E13" s="56"/>
      <c r="F13" s="56"/>
      <c r="G13" s="56"/>
      <c r="H13" s="56"/>
      <c r="I13" s="56"/>
      <c r="J13" s="56"/>
      <c r="K13" s="56"/>
      <c r="L13" s="56"/>
    </row>
    <row r="14" spans="1:13" x14ac:dyDescent="0.4">
      <c r="A14" s="56"/>
      <c r="B14" s="56"/>
      <c r="C14" s="56"/>
      <c r="D14" s="81" t="str">
        <f>+'Research 오류 해결 후 (실습)'!D257</f>
        <v>SUMIFS</v>
      </c>
      <c r="E14" s="56"/>
      <c r="F14" s="56"/>
      <c r="G14" s="56"/>
      <c r="H14" s="56"/>
      <c r="I14" s="56"/>
      <c r="J14" s="56"/>
      <c r="K14" s="56"/>
      <c r="L14" s="56"/>
    </row>
    <row r="15" spans="1:13" x14ac:dyDescent="0.4">
      <c r="D15" s="81" t="str">
        <f>+'Research 오류 해결 후 (실습)'!Q250</f>
        <v>RATE</v>
      </c>
    </row>
    <row r="16" spans="1:13" x14ac:dyDescent="0.4">
      <c r="D16" s="81" t="str">
        <f>+'Research 오류 해결 후 (실습)'!D266</f>
        <v>AVERAGEIF</v>
      </c>
    </row>
    <row r="17" spans="2:4" x14ac:dyDescent="0.4">
      <c r="D17" s="81" t="str">
        <f>+'Research 오류 해결 후 (실습)'!D272</f>
        <v>AVERAGEIFS</v>
      </c>
    </row>
    <row r="18" spans="2:4" x14ac:dyDescent="0.4">
      <c r="D18" s="81" t="str">
        <f>+'Research 오류 해결 후 (실습)'!H277</f>
        <v>ISERROR</v>
      </c>
    </row>
    <row r="19" spans="2:4" x14ac:dyDescent="0.4">
      <c r="D19" s="81" t="str">
        <f>+'Research 오류 해결 후 (실습)'!H278</f>
        <v>ISNUMBER</v>
      </c>
    </row>
    <row r="20" spans="2:4" x14ac:dyDescent="0.4">
      <c r="D20" s="81" t="str">
        <f>+'Research 오류 해결 후 (실습)'!D293</f>
        <v>COUNT</v>
      </c>
    </row>
    <row r="21" spans="2:4" x14ac:dyDescent="0.4">
      <c r="B21" s="60"/>
      <c r="D21" s="81" t="str">
        <f>+'Research 오류 해결 후 (실습)'!D294</f>
        <v>COUNTIF</v>
      </c>
    </row>
    <row r="22" spans="2:4" x14ac:dyDescent="0.4">
      <c r="D22" s="81" t="str">
        <f>+'Research 오류 해결 후 (실습)'!D295</f>
        <v>COUNTIFS</v>
      </c>
    </row>
    <row r="23" spans="2:4" x14ac:dyDescent="0.4">
      <c r="D23" s="81" t="str">
        <f>+'Research 오류 해결 후 (실습)'!D306</f>
        <v>ABS</v>
      </c>
    </row>
    <row r="24" spans="2:4" x14ac:dyDescent="0.4">
      <c r="D24" s="81" t="str">
        <f>+'Research 오류 해결 후 (실습)'!CC105</f>
        <v>EOMONTH</v>
      </c>
    </row>
    <row r="25" spans="2:4" x14ac:dyDescent="0.4">
      <c r="D25" s="81" t="str">
        <f>+'함수 (실습)'!C15</f>
        <v>DATE</v>
      </c>
    </row>
    <row r="26" spans="2:4" x14ac:dyDescent="0.4">
      <c r="D26" s="81" t="str">
        <f>+'Research 오류 해결 후 (실습)'!D335</f>
        <v>SUMSQ</v>
      </c>
    </row>
    <row r="29" spans="2:4" x14ac:dyDescent="0.4">
      <c r="C29" s="61" t="s">
        <v>204</v>
      </c>
    </row>
    <row r="30" spans="2:4" x14ac:dyDescent="0.4">
      <c r="C30" s="61" t="s">
        <v>205</v>
      </c>
    </row>
    <row r="31" spans="2:4" x14ac:dyDescent="0.4">
      <c r="C31" s="61" t="s">
        <v>206</v>
      </c>
    </row>
    <row r="32" spans="2:4" x14ac:dyDescent="0.4">
      <c r="C32" s="61"/>
    </row>
    <row r="33" spans="3:3" x14ac:dyDescent="0.4">
      <c r="C33" s="61" t="s">
        <v>207</v>
      </c>
    </row>
    <row r="34" spans="3:3" x14ac:dyDescent="0.4">
      <c r="C34" s="61" t="s">
        <v>208</v>
      </c>
    </row>
    <row r="35" spans="3:3" x14ac:dyDescent="0.4">
      <c r="C35" s="61" t="s">
        <v>209</v>
      </c>
    </row>
    <row r="36" spans="3:3" x14ac:dyDescent="0.4">
      <c r="C36" s="61" t="s">
        <v>210</v>
      </c>
    </row>
  </sheetData>
  <phoneticPr fontId="2" type="noConversion"/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2EA1-0EA1-4981-9CCD-5531CA94DB01}">
  <sheetPr>
    <tabColor rgb="FF008000"/>
  </sheetPr>
  <dimension ref="A5:N17"/>
  <sheetViews>
    <sheetView workbookViewId="0">
      <selection activeCell="B15" sqref="B15"/>
    </sheetView>
  </sheetViews>
  <sheetFormatPr defaultRowHeight="17.399999999999999" outlineLevelRow="1" x14ac:dyDescent="0.4"/>
  <cols>
    <col min="4" max="4" width="10.8984375" bestFit="1" customWidth="1"/>
    <col min="9" max="14" width="10.8984375" bestFit="1" customWidth="1"/>
  </cols>
  <sheetData>
    <row r="5" spans="1:14" x14ac:dyDescent="0.4">
      <c r="C5" t="s">
        <v>189</v>
      </c>
      <c r="D5">
        <v>110</v>
      </c>
    </row>
    <row r="6" spans="1:14" x14ac:dyDescent="0.4">
      <c r="C6" t="s">
        <v>190</v>
      </c>
      <c r="D6">
        <v>140</v>
      </c>
    </row>
    <row r="8" spans="1:14" x14ac:dyDescent="0.4">
      <c r="D8">
        <v>100</v>
      </c>
      <c r="E8">
        <f>+D8+10</f>
        <v>110</v>
      </c>
      <c r="F8">
        <f t="shared" ref="F8:J8" si="0">+E8+10</f>
        <v>120</v>
      </c>
      <c r="G8">
        <f t="shared" si="0"/>
        <v>130</v>
      </c>
      <c r="H8">
        <f t="shared" si="0"/>
        <v>140</v>
      </c>
      <c r="I8">
        <f t="shared" si="0"/>
        <v>150</v>
      </c>
    </row>
    <row r="9" spans="1:14" outlineLevel="1" x14ac:dyDescent="0.4">
      <c r="C9" s="80" t="s">
        <v>5</v>
      </c>
      <c r="D9" s="69"/>
      <c r="E9" s="69"/>
      <c r="F9" s="69"/>
      <c r="G9" s="69"/>
      <c r="H9" s="69"/>
      <c r="I9" s="69"/>
    </row>
    <row r="10" spans="1:14" x14ac:dyDescent="0.4">
      <c r="C10" s="80" t="s">
        <v>4</v>
      </c>
      <c r="D10" s="69"/>
      <c r="E10" s="69"/>
      <c r="F10" s="69"/>
      <c r="G10" s="69"/>
      <c r="H10" s="69"/>
      <c r="I10" s="69"/>
    </row>
    <row r="14" spans="1:14" x14ac:dyDescent="0.4">
      <c r="A14" s="77"/>
    </row>
    <row r="15" spans="1:14" x14ac:dyDescent="0.4">
      <c r="C15" s="80" t="s">
        <v>181</v>
      </c>
      <c r="I15" s="76">
        <v>44211</v>
      </c>
      <c r="J15" s="78">
        <f>DATE(YEAR(I15),MONTH(I15)+1,DAY(I15))</f>
        <v>44242</v>
      </c>
      <c r="K15" s="78">
        <f t="shared" ref="K15:N15" si="1">DATE(YEAR(J15),MONTH(J15)+1,DAY(J15))</f>
        <v>44270</v>
      </c>
      <c r="L15" s="78">
        <f t="shared" si="1"/>
        <v>44301</v>
      </c>
      <c r="M15" s="78">
        <f t="shared" si="1"/>
        <v>44331</v>
      </c>
      <c r="N15" s="78">
        <f t="shared" si="1"/>
        <v>44362</v>
      </c>
    </row>
    <row r="16" spans="1:14" x14ac:dyDescent="0.4">
      <c r="C16" s="75">
        <v>44273</v>
      </c>
      <c r="D16" s="76">
        <v>44273</v>
      </c>
      <c r="F16" s="69" t="b">
        <f>C16=D16</f>
        <v>1</v>
      </c>
    </row>
    <row r="17" spans="3:6" x14ac:dyDescent="0.4">
      <c r="C17" s="75">
        <v>44272</v>
      </c>
      <c r="D17" s="76">
        <v>44272</v>
      </c>
      <c r="F17" s="69" t="b">
        <f>C17=D17</f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2A7A-4FC9-40C9-AEDD-E4FDA263C327}">
  <sheetPr>
    <tabColor rgb="FFFF0000"/>
  </sheetPr>
  <dimension ref="A5:N17"/>
  <sheetViews>
    <sheetView workbookViewId="0">
      <selection activeCell="A9" sqref="A9"/>
    </sheetView>
  </sheetViews>
  <sheetFormatPr defaultRowHeight="17.399999999999999" outlineLevelRow="1" x14ac:dyDescent="0.4"/>
  <cols>
    <col min="3" max="14" width="12.69921875" customWidth="1"/>
  </cols>
  <sheetData>
    <row r="5" spans="1:14" x14ac:dyDescent="0.4">
      <c r="C5" t="s">
        <v>189</v>
      </c>
      <c r="D5">
        <v>110</v>
      </c>
    </row>
    <row r="6" spans="1:14" x14ac:dyDescent="0.4">
      <c r="C6" t="s">
        <v>190</v>
      </c>
      <c r="D6">
        <v>140</v>
      </c>
    </row>
    <row r="8" spans="1:14" x14ac:dyDescent="0.4">
      <c r="D8">
        <v>100</v>
      </c>
      <c r="E8">
        <f>+D8+10</f>
        <v>110</v>
      </c>
      <c r="F8">
        <f t="shared" ref="F8:J8" si="0">+E8+10</f>
        <v>120</v>
      </c>
      <c r="G8">
        <f t="shared" si="0"/>
        <v>130</v>
      </c>
      <c r="H8">
        <f t="shared" si="0"/>
        <v>140</v>
      </c>
      <c r="I8">
        <f t="shared" si="0"/>
        <v>150</v>
      </c>
    </row>
    <row r="9" spans="1:14" outlineLevel="1" x14ac:dyDescent="0.4">
      <c r="C9" s="80" t="s">
        <v>5</v>
      </c>
      <c r="D9" t="b">
        <f>OR(D8&gt;$D$5,D8&lt;$D$6)</f>
        <v>1</v>
      </c>
      <c r="E9" t="b">
        <f t="shared" ref="E9:I9" si="1">OR(E8&gt;$D$5,E8&lt;$D$6)</f>
        <v>1</v>
      </c>
      <c r="F9" t="b">
        <f t="shared" si="1"/>
        <v>1</v>
      </c>
      <c r="G9" t="b">
        <f t="shared" si="1"/>
        <v>1</v>
      </c>
      <c r="H9" t="b">
        <f t="shared" si="1"/>
        <v>1</v>
      </c>
      <c r="I9" t="b">
        <f t="shared" si="1"/>
        <v>1</v>
      </c>
    </row>
    <row r="10" spans="1:14" x14ac:dyDescent="0.4">
      <c r="C10" s="80" t="s">
        <v>4</v>
      </c>
      <c r="D10" t="b">
        <f>AND(D8&gt;$D$5,D8&lt;$D$6)</f>
        <v>0</v>
      </c>
      <c r="E10" t="b">
        <f t="shared" ref="E10:I10" si="2">AND(E8&gt;$D$5,E8&lt;$D$6)</f>
        <v>0</v>
      </c>
      <c r="F10" t="b">
        <f t="shared" si="2"/>
        <v>1</v>
      </c>
      <c r="G10" t="b">
        <f t="shared" si="2"/>
        <v>1</v>
      </c>
      <c r="H10" t="b">
        <f t="shared" si="2"/>
        <v>0</v>
      </c>
      <c r="I10" t="b">
        <f t="shared" si="2"/>
        <v>0</v>
      </c>
    </row>
    <row r="14" spans="1:14" x14ac:dyDescent="0.4">
      <c r="A14" s="77"/>
    </row>
    <row r="15" spans="1:14" x14ac:dyDescent="0.4">
      <c r="C15" s="80" t="s">
        <v>181</v>
      </c>
      <c r="I15" s="76">
        <v>44211</v>
      </c>
      <c r="J15" s="78">
        <f>DATE(YEAR(I15),MONTH(I15)+1,DAY(I15))</f>
        <v>44242</v>
      </c>
      <c r="K15" s="78">
        <f t="shared" ref="K15:N15" si="3">DATE(YEAR(J15),MONTH(J15)+1,DAY(J15))</f>
        <v>44270</v>
      </c>
      <c r="L15" s="78">
        <f t="shared" si="3"/>
        <v>44301</v>
      </c>
      <c r="M15" s="78">
        <f t="shared" si="3"/>
        <v>44331</v>
      </c>
      <c r="N15" s="78">
        <f t="shared" si="3"/>
        <v>44362</v>
      </c>
    </row>
    <row r="16" spans="1:14" x14ac:dyDescent="0.4">
      <c r="C16" s="75">
        <v>44273</v>
      </c>
      <c r="D16" s="76">
        <v>44273</v>
      </c>
      <c r="F16" s="69" t="b">
        <f>C16=D16</f>
        <v>1</v>
      </c>
    </row>
    <row r="17" spans="3:6" x14ac:dyDescent="0.4">
      <c r="C17" s="75">
        <v>44272</v>
      </c>
      <c r="D17" s="76">
        <v>44272</v>
      </c>
      <c r="F17" s="69" t="b">
        <f>C17=D17</f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9C54-FCB0-43A6-BDAD-31B62B902547}">
  <sheetPr>
    <tabColor rgb="FF008000"/>
    <pageSetUpPr autoPageBreaks="0"/>
  </sheetPr>
  <dimension ref="A1:DN151"/>
  <sheetViews>
    <sheetView topLeftCell="A138" zoomScale="85" zoomScaleNormal="85" workbookViewId="0">
      <selection activeCell="D172" sqref="D172"/>
    </sheetView>
  </sheetViews>
  <sheetFormatPr defaultColWidth="11.69921875" defaultRowHeight="13.8" outlineLevelRow="1" x14ac:dyDescent="0.25"/>
  <cols>
    <col min="1" max="3" width="1.69921875" style="3" customWidth="1"/>
    <col min="4" max="4" width="25.69921875" style="3" customWidth="1"/>
    <col min="5" max="5" width="5.69921875" style="3" customWidth="1"/>
    <col min="6" max="6" width="8.59765625" style="3" bestFit="1" customWidth="1"/>
    <col min="7" max="7" width="10.69921875" style="3" customWidth="1"/>
    <col min="8" max="8" width="15.69921875" style="3" customWidth="1"/>
    <col min="9" max="9" width="13.09765625" style="3" bestFit="1" customWidth="1"/>
    <col min="10" max="10" width="12.796875" style="3" bestFit="1" customWidth="1"/>
    <col min="11" max="11" width="13.19921875" style="3" bestFit="1" customWidth="1"/>
    <col min="12" max="12" width="12.69921875" style="3" bestFit="1" customWidth="1"/>
    <col min="13" max="19" width="11.69921875" style="3"/>
    <col min="20" max="75" width="11.69921875" style="3" customWidth="1"/>
    <col min="76" max="16384" width="11.69921875" style="3"/>
  </cols>
  <sheetData>
    <row r="1" spans="1:118" s="41" customFormat="1" ht="24.6" x14ac:dyDescent="0.4">
      <c r="A1" s="42" t="s">
        <v>187</v>
      </c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3" spans="1:118" ht="14.4" x14ac:dyDescent="0.3">
      <c r="D3" s="38" t="s">
        <v>186</v>
      </c>
    </row>
    <row r="5" spans="1:118" x14ac:dyDescent="0.25">
      <c r="D5" s="6" t="s">
        <v>141</v>
      </c>
      <c r="H5" s="6" t="s">
        <v>216</v>
      </c>
      <c r="I5" s="3">
        <f t="shared" ref="I5:BT5" si="0">YEAR(I6)</f>
        <v>2015</v>
      </c>
      <c r="J5" s="3">
        <f t="shared" si="0"/>
        <v>2015</v>
      </c>
      <c r="K5" s="3">
        <f t="shared" si="0"/>
        <v>2015</v>
      </c>
      <c r="L5" s="3">
        <f t="shared" si="0"/>
        <v>2015</v>
      </c>
      <c r="M5" s="3">
        <f t="shared" si="0"/>
        <v>2015</v>
      </c>
      <c r="N5" s="3">
        <f t="shared" si="0"/>
        <v>2015</v>
      </c>
      <c r="O5" s="3">
        <f t="shared" si="0"/>
        <v>2015</v>
      </c>
      <c r="P5" s="3">
        <f t="shared" si="0"/>
        <v>2015</v>
      </c>
      <c r="Q5" s="3">
        <f t="shared" si="0"/>
        <v>2015</v>
      </c>
      <c r="R5" s="3">
        <f t="shared" si="0"/>
        <v>2015</v>
      </c>
      <c r="S5" s="3">
        <f t="shared" si="0"/>
        <v>2015</v>
      </c>
      <c r="T5" s="3">
        <f t="shared" si="0"/>
        <v>2015</v>
      </c>
      <c r="U5" s="3">
        <f t="shared" si="0"/>
        <v>2016</v>
      </c>
      <c r="V5" s="3">
        <f t="shared" si="0"/>
        <v>2016</v>
      </c>
      <c r="W5" s="3">
        <f t="shared" si="0"/>
        <v>2016</v>
      </c>
      <c r="X5" s="3">
        <f t="shared" si="0"/>
        <v>2016</v>
      </c>
      <c r="Y5" s="3">
        <f t="shared" si="0"/>
        <v>2016</v>
      </c>
      <c r="Z5" s="3">
        <f t="shared" si="0"/>
        <v>2016</v>
      </c>
      <c r="AA5" s="3">
        <f t="shared" si="0"/>
        <v>2016</v>
      </c>
      <c r="AB5" s="3">
        <f t="shared" si="0"/>
        <v>2016</v>
      </c>
      <c r="AC5" s="3">
        <f t="shared" si="0"/>
        <v>2016</v>
      </c>
      <c r="AD5" s="3">
        <f t="shared" si="0"/>
        <v>2016</v>
      </c>
      <c r="AE5" s="3">
        <f t="shared" si="0"/>
        <v>2016</v>
      </c>
      <c r="AF5" s="3">
        <f t="shared" si="0"/>
        <v>2016</v>
      </c>
      <c r="AG5" s="3">
        <f t="shared" si="0"/>
        <v>2017</v>
      </c>
      <c r="AH5" s="3">
        <f t="shared" si="0"/>
        <v>2017</v>
      </c>
      <c r="AI5" s="3">
        <f t="shared" si="0"/>
        <v>2017</v>
      </c>
      <c r="AJ5" s="3">
        <f t="shared" si="0"/>
        <v>2017</v>
      </c>
      <c r="AK5" s="3">
        <f t="shared" si="0"/>
        <v>2017</v>
      </c>
      <c r="AL5" s="3">
        <f t="shared" si="0"/>
        <v>2017</v>
      </c>
      <c r="AM5" s="3">
        <f t="shared" si="0"/>
        <v>2017</v>
      </c>
      <c r="AN5" s="3">
        <f t="shared" si="0"/>
        <v>2017</v>
      </c>
      <c r="AO5" s="3">
        <f t="shared" si="0"/>
        <v>2017</v>
      </c>
      <c r="AP5" s="3">
        <f t="shared" si="0"/>
        <v>2017</v>
      </c>
      <c r="AQ5" s="3">
        <f t="shared" si="0"/>
        <v>2017</v>
      </c>
      <c r="AR5" s="3">
        <f t="shared" si="0"/>
        <v>2017</v>
      </c>
      <c r="AS5" s="3">
        <f t="shared" si="0"/>
        <v>2018</v>
      </c>
      <c r="AT5" s="3">
        <f t="shared" si="0"/>
        <v>2018</v>
      </c>
      <c r="AU5" s="3">
        <f t="shared" si="0"/>
        <v>2018</v>
      </c>
      <c r="AV5" s="3">
        <f t="shared" si="0"/>
        <v>2018</v>
      </c>
      <c r="AW5" s="3">
        <f t="shared" si="0"/>
        <v>2018</v>
      </c>
      <c r="AX5" s="3">
        <f t="shared" si="0"/>
        <v>2018</v>
      </c>
      <c r="AY5" s="3">
        <f t="shared" si="0"/>
        <v>2018</v>
      </c>
      <c r="AZ5" s="3">
        <f t="shared" si="0"/>
        <v>2018</v>
      </c>
      <c r="BA5" s="3">
        <f t="shared" si="0"/>
        <v>2018</v>
      </c>
      <c r="BB5" s="3">
        <f t="shared" si="0"/>
        <v>2018</v>
      </c>
      <c r="BC5" s="3">
        <f t="shared" si="0"/>
        <v>2018</v>
      </c>
      <c r="BD5" s="3">
        <f t="shared" si="0"/>
        <v>2018</v>
      </c>
      <c r="BE5" s="3">
        <f t="shared" si="0"/>
        <v>2019</v>
      </c>
      <c r="BF5" s="3">
        <f t="shared" si="0"/>
        <v>2019</v>
      </c>
      <c r="BG5" s="3">
        <f t="shared" si="0"/>
        <v>2019</v>
      </c>
      <c r="BH5" s="3">
        <f t="shared" si="0"/>
        <v>2019</v>
      </c>
      <c r="BI5" s="3">
        <f t="shared" si="0"/>
        <v>2019</v>
      </c>
      <c r="BJ5" s="3">
        <f t="shared" si="0"/>
        <v>2019</v>
      </c>
      <c r="BK5" s="3">
        <f t="shared" si="0"/>
        <v>2019</v>
      </c>
      <c r="BL5" s="3">
        <f t="shared" si="0"/>
        <v>2019</v>
      </c>
      <c r="BM5" s="3">
        <f t="shared" si="0"/>
        <v>2019</v>
      </c>
      <c r="BN5" s="3">
        <f t="shared" si="0"/>
        <v>2019</v>
      </c>
      <c r="BO5" s="3">
        <f t="shared" si="0"/>
        <v>2019</v>
      </c>
      <c r="BP5" s="3">
        <f t="shared" si="0"/>
        <v>2019</v>
      </c>
      <c r="BQ5" s="3">
        <f t="shared" si="0"/>
        <v>2020</v>
      </c>
      <c r="BR5" s="3">
        <f t="shared" si="0"/>
        <v>2020</v>
      </c>
      <c r="BS5" s="3">
        <f t="shared" si="0"/>
        <v>2020</v>
      </c>
      <c r="BT5" s="3">
        <f t="shared" si="0"/>
        <v>2020</v>
      </c>
      <c r="BU5" s="3">
        <f t="shared" ref="BU5:CB5" si="1">YEAR(BU6)</f>
        <v>2020</v>
      </c>
      <c r="BV5" s="3">
        <f t="shared" si="1"/>
        <v>2020</v>
      </c>
      <c r="BW5" s="3">
        <f t="shared" si="1"/>
        <v>2020</v>
      </c>
      <c r="BX5" s="3">
        <f t="shared" si="1"/>
        <v>2020</v>
      </c>
      <c r="BY5" s="3">
        <f t="shared" si="1"/>
        <v>2020</v>
      </c>
      <c r="BZ5" s="3">
        <f t="shared" si="1"/>
        <v>2020</v>
      </c>
      <c r="CA5" s="3">
        <f t="shared" si="1"/>
        <v>2020</v>
      </c>
      <c r="CB5" s="3">
        <f t="shared" si="1"/>
        <v>2020</v>
      </c>
      <c r="CZ5" s="4" t="s">
        <v>158</v>
      </c>
      <c r="DG5" s="4" t="s">
        <v>159</v>
      </c>
    </row>
    <row r="6" spans="1:118" ht="15.6" x14ac:dyDescent="0.35">
      <c r="D6" s="7" t="s">
        <v>0</v>
      </c>
      <c r="E6" s="7" t="s">
        <v>1</v>
      </c>
      <c r="F6" s="8" t="s">
        <v>140</v>
      </c>
      <c r="G6" s="7" t="s">
        <v>170</v>
      </c>
      <c r="H6" s="7" t="s">
        <v>171</v>
      </c>
      <c r="I6" s="9">
        <v>42035</v>
      </c>
      <c r="J6" s="9">
        <v>42063</v>
      </c>
      <c r="K6" s="9">
        <v>42094</v>
      </c>
      <c r="L6" s="9">
        <v>42124</v>
      </c>
      <c r="M6" s="9">
        <v>42155</v>
      </c>
      <c r="N6" s="9">
        <v>42185</v>
      </c>
      <c r="O6" s="9">
        <v>42216</v>
      </c>
      <c r="P6" s="9">
        <v>42247</v>
      </c>
      <c r="Q6" s="9">
        <v>42277</v>
      </c>
      <c r="R6" s="9">
        <v>42308</v>
      </c>
      <c r="S6" s="9">
        <v>42338</v>
      </c>
      <c r="T6" s="9">
        <v>42369</v>
      </c>
      <c r="U6" s="9">
        <v>42400</v>
      </c>
      <c r="V6" s="9">
        <v>42429</v>
      </c>
      <c r="W6" s="9">
        <v>42460</v>
      </c>
      <c r="X6" s="9">
        <v>42490</v>
      </c>
      <c r="Y6" s="9">
        <v>42521</v>
      </c>
      <c r="Z6" s="9">
        <v>42551</v>
      </c>
      <c r="AA6" s="9">
        <v>42582</v>
      </c>
      <c r="AB6" s="9">
        <v>42613</v>
      </c>
      <c r="AC6" s="9">
        <v>42643</v>
      </c>
      <c r="AD6" s="9">
        <v>42674</v>
      </c>
      <c r="AE6" s="9">
        <v>42704</v>
      </c>
      <c r="AF6" s="9">
        <v>42735</v>
      </c>
      <c r="AG6" s="9">
        <v>42766</v>
      </c>
      <c r="AH6" s="9">
        <v>42794</v>
      </c>
      <c r="AI6" s="9">
        <v>42825</v>
      </c>
      <c r="AJ6" s="9">
        <v>42855</v>
      </c>
      <c r="AK6" s="9">
        <v>42886</v>
      </c>
      <c r="AL6" s="9">
        <v>42916</v>
      </c>
      <c r="AM6" s="9">
        <v>42947</v>
      </c>
      <c r="AN6" s="9">
        <v>42978</v>
      </c>
      <c r="AO6" s="9">
        <v>43008</v>
      </c>
      <c r="AP6" s="9">
        <v>43039</v>
      </c>
      <c r="AQ6" s="9">
        <v>43069</v>
      </c>
      <c r="AR6" s="9">
        <v>43100</v>
      </c>
      <c r="AS6" s="9">
        <v>43131</v>
      </c>
      <c r="AT6" s="9">
        <v>43159</v>
      </c>
      <c r="AU6" s="9">
        <v>43190</v>
      </c>
      <c r="AV6" s="9">
        <v>43220</v>
      </c>
      <c r="AW6" s="9">
        <v>43251</v>
      </c>
      <c r="AX6" s="9">
        <v>43281</v>
      </c>
      <c r="AY6" s="9">
        <v>43312</v>
      </c>
      <c r="AZ6" s="9">
        <v>43343</v>
      </c>
      <c r="BA6" s="9">
        <v>43373</v>
      </c>
      <c r="BB6" s="9">
        <v>43404</v>
      </c>
      <c r="BC6" s="9">
        <v>43434</v>
      </c>
      <c r="BD6" s="9">
        <v>43465</v>
      </c>
      <c r="BE6" s="9">
        <v>43496</v>
      </c>
      <c r="BF6" s="9">
        <v>43524</v>
      </c>
      <c r="BG6" s="9">
        <v>43555</v>
      </c>
      <c r="BH6" s="9">
        <v>43585</v>
      </c>
      <c r="BI6" s="9">
        <v>43616</v>
      </c>
      <c r="BJ6" s="9">
        <v>43646</v>
      </c>
      <c r="BK6" s="9">
        <v>43677</v>
      </c>
      <c r="BL6" s="9">
        <v>43708</v>
      </c>
      <c r="BM6" s="9">
        <v>43738</v>
      </c>
      <c r="BN6" s="9">
        <v>43769</v>
      </c>
      <c r="BO6" s="9">
        <v>43799</v>
      </c>
      <c r="BP6" s="9">
        <v>43830</v>
      </c>
      <c r="BQ6" s="9">
        <v>43861</v>
      </c>
      <c r="BR6" s="9">
        <v>43890</v>
      </c>
      <c r="BS6" s="9">
        <v>43921</v>
      </c>
      <c r="BT6" s="9">
        <v>43951</v>
      </c>
      <c r="BU6" s="9">
        <v>43982</v>
      </c>
      <c r="BV6" s="9">
        <v>44012</v>
      </c>
      <c r="BW6" s="9">
        <v>44043</v>
      </c>
      <c r="BX6" s="9">
        <v>44074</v>
      </c>
      <c r="BY6" s="9">
        <v>44104</v>
      </c>
      <c r="BZ6" s="9">
        <v>44135</v>
      </c>
      <c r="CA6" s="9">
        <v>44165</v>
      </c>
      <c r="CB6" s="9">
        <v>44196</v>
      </c>
      <c r="CZ6" s="9">
        <f>+Q6</f>
        <v>42277</v>
      </c>
      <c r="DA6" s="9">
        <f>+AC6</f>
        <v>42643</v>
      </c>
      <c r="DB6" s="9">
        <f>+AO6</f>
        <v>43008</v>
      </c>
      <c r="DC6" s="9">
        <f>+BA6</f>
        <v>43373</v>
      </c>
      <c r="DD6" s="9">
        <f>+BM6</f>
        <v>43738</v>
      </c>
      <c r="DE6" s="9">
        <f>+BY6</f>
        <v>44104</v>
      </c>
      <c r="DG6" s="9">
        <f>+K6</f>
        <v>42094</v>
      </c>
      <c r="DH6" s="9">
        <f>+W6</f>
        <v>42460</v>
      </c>
      <c r="DI6" s="9">
        <f>+AI6</f>
        <v>42825</v>
      </c>
      <c r="DJ6" s="9">
        <f>+AU6</f>
        <v>43190</v>
      </c>
      <c r="DK6" s="9">
        <f>+BG6</f>
        <v>43555</v>
      </c>
      <c r="DL6" s="9">
        <f>+BS6</f>
        <v>43921</v>
      </c>
    </row>
    <row r="7" spans="1:118" x14ac:dyDescent="0.25">
      <c r="D7" s="10" t="s">
        <v>78</v>
      </c>
      <c r="E7" s="10" t="s">
        <v>48</v>
      </c>
      <c r="F7" s="10" t="s">
        <v>180</v>
      </c>
      <c r="G7" s="10"/>
      <c r="H7" s="62"/>
      <c r="I7" s="11">
        <v>887.03200000000004</v>
      </c>
      <c r="J7" s="11">
        <v>878.70940491318822</v>
      </c>
      <c r="K7" s="11">
        <v>87176.166383322081</v>
      </c>
      <c r="L7" s="11">
        <v>883.88016885409286</v>
      </c>
      <c r="M7" s="11">
        <v>904.67516772847705</v>
      </c>
      <c r="N7" s="11">
        <v>939.18268383907673</v>
      </c>
      <c r="O7" s="11">
        <v>984.07937095964758</v>
      </c>
      <c r="P7" s="11">
        <v>1028.682715135933</v>
      </c>
      <c r="Q7" s="11">
        <v>10.480056670323103</v>
      </c>
      <c r="R7" s="11">
        <v>1058.819770830901</v>
      </c>
      <c r="S7" s="11">
        <v>1023.7753967050077</v>
      </c>
      <c r="T7" s="11">
        <v>1019.3133608156986</v>
      </c>
      <c r="U7" s="11">
        <v>997.40491783570747</v>
      </c>
      <c r="V7" s="11">
        <v>976.43509847851601</v>
      </c>
      <c r="W7" s="11">
        <v>98050.541233956828</v>
      </c>
      <c r="X7" s="11">
        <v>985.01033407098521</v>
      </c>
      <c r="Y7" s="11">
        <v>1014.8513012179661</v>
      </c>
      <c r="Z7" s="11">
        <v>1061.4081769738173</v>
      </c>
      <c r="AA7" s="11">
        <v>1077.361343276639</v>
      </c>
      <c r="AB7" s="11">
        <v>1112.9529540654405</v>
      </c>
      <c r="AC7" s="11">
        <v>11.356782738439833</v>
      </c>
      <c r="AD7" s="11">
        <v>1109.2608822692869</v>
      </c>
      <c r="AE7" s="11">
        <v>1044.7170247478161</v>
      </c>
      <c r="AF7" s="11">
        <v>1005.2723922228846</v>
      </c>
      <c r="AG7" s="11">
        <v>981.62518298714133</v>
      </c>
      <c r="AH7" s="11">
        <v>995.71402121523693</v>
      </c>
      <c r="AI7" s="11">
        <v>99025.358732038949</v>
      </c>
      <c r="AJ7" s="11">
        <v>1003.159618219987</v>
      </c>
      <c r="AK7" s="11">
        <v>1020.3814983884947</v>
      </c>
      <c r="AL7" s="11">
        <v>1049.1596133595131</v>
      </c>
      <c r="AM7" s="11">
        <v>1080.4714711030094</v>
      </c>
      <c r="AN7" s="11">
        <v>1088.5165526229093</v>
      </c>
      <c r="AO7" s="11">
        <v>10.92060157007216</v>
      </c>
      <c r="AP7" s="11">
        <v>1125.646051666824</v>
      </c>
      <c r="AQ7" s="11">
        <v>1080.4835853842721</v>
      </c>
      <c r="AR7" s="11">
        <v>1042.2613590087687</v>
      </c>
      <c r="AS7" s="11">
        <v>1032.7010468071785</v>
      </c>
      <c r="AT7" s="11">
        <v>1043.3857573639507</v>
      </c>
      <c r="AU7" s="11">
        <v>107342.79339592322</v>
      </c>
      <c r="AV7" s="11">
        <v>1082.2783000966635</v>
      </c>
      <c r="AW7" s="11">
        <v>1094.0162551860587</v>
      </c>
      <c r="AX7" s="11">
        <v>1153.3239775602608</v>
      </c>
      <c r="AY7" s="11">
        <v>1171.0214804544839</v>
      </c>
      <c r="AZ7" s="11">
        <v>1199.5868320211605</v>
      </c>
      <c r="BA7" s="11">
        <v>12.457538620999372</v>
      </c>
      <c r="BB7" s="11">
        <v>1301.9947305628425</v>
      </c>
      <c r="BC7" s="11">
        <v>1211.1646727697446</v>
      </c>
      <c r="BD7" s="11">
        <v>1199.1804790986068</v>
      </c>
      <c r="BE7" s="11">
        <v>1163.3856291354305</v>
      </c>
      <c r="BF7" s="11">
        <v>1202.0071246864793</v>
      </c>
      <c r="BG7" s="11">
        <v>116766.2449215356</v>
      </c>
      <c r="BH7" s="11">
        <v>1155.325634382084</v>
      </c>
      <c r="BI7" s="11">
        <v>1208.8496961502763</v>
      </c>
      <c r="BJ7" s="11">
        <v>1295.8807794258444</v>
      </c>
      <c r="BK7" s="11">
        <v>1352.0101636913139</v>
      </c>
      <c r="BL7" s="11">
        <v>1394.5391220013992</v>
      </c>
      <c r="BM7" s="11">
        <v>14.316574613262661</v>
      </c>
      <c r="BN7" s="11">
        <v>1470.6327487512838</v>
      </c>
      <c r="BO7" s="11">
        <v>1375.9228894061926</v>
      </c>
      <c r="BP7" s="11">
        <v>1314.4977918313923</v>
      </c>
      <c r="BQ7" s="11">
        <v>1279.242417231025</v>
      </c>
      <c r="BR7" s="11">
        <v>1278.0249457440759</v>
      </c>
      <c r="BS7" s="11">
        <v>132683.08029531728</v>
      </c>
      <c r="BT7" s="11">
        <v>1367.0883353184656</v>
      </c>
      <c r="BU7" s="11">
        <v>1426.3456579735609</v>
      </c>
      <c r="BV7" s="11">
        <v>1556.6233656948332</v>
      </c>
      <c r="BW7" s="11">
        <v>1614.6508993415143</v>
      </c>
      <c r="BX7" s="11">
        <v>1622.8999333654237</v>
      </c>
      <c r="BY7" s="11">
        <v>16.707707436534452</v>
      </c>
      <c r="BZ7" s="11">
        <v>1669.1190943792665</v>
      </c>
      <c r="CA7" s="11">
        <v>1542.4057697099609</v>
      </c>
      <c r="CB7" s="11">
        <v>1519.5643953143763</v>
      </c>
      <c r="CC7" s="12"/>
      <c r="CZ7" s="11">
        <v>1048.0056670323104</v>
      </c>
      <c r="DA7" s="11">
        <v>1135.6782738439833</v>
      </c>
      <c r="DB7" s="11">
        <v>1092.060157007216</v>
      </c>
      <c r="DC7" s="11">
        <v>1245.7538620999371</v>
      </c>
      <c r="DD7" s="11">
        <v>1431.6574613262662</v>
      </c>
      <c r="DE7" s="11">
        <v>1670.7707436534454</v>
      </c>
      <c r="DG7" s="11">
        <v>871.76166383322072</v>
      </c>
      <c r="DH7" s="11">
        <v>980.50541233956824</v>
      </c>
      <c r="DI7" s="11">
        <v>990.25358732038944</v>
      </c>
      <c r="DJ7" s="11">
        <v>1073.4279339592322</v>
      </c>
      <c r="DK7" s="11">
        <v>1167.662449215356</v>
      </c>
      <c r="DL7" s="11">
        <v>1326.8308029531729</v>
      </c>
      <c r="DN7" s="11"/>
    </row>
    <row r="8" spans="1:118" x14ac:dyDescent="0.25">
      <c r="D8" s="10" t="s">
        <v>79</v>
      </c>
      <c r="E8" s="10" t="s">
        <v>48</v>
      </c>
      <c r="F8" s="10" t="s">
        <v>180</v>
      </c>
      <c r="G8" s="10"/>
      <c r="H8" s="62"/>
      <c r="I8" s="11">
        <f>746917/(10^3)</f>
        <v>746.91700000000003</v>
      </c>
      <c r="J8" s="11">
        <f>779956.183377035/(10^3)</f>
        <v>779.95618337703502</v>
      </c>
      <c r="K8" s="11">
        <f>75683152.7011917/(10^3)</f>
        <v>75683.152701191691</v>
      </c>
      <c r="L8" s="11">
        <f>781529.516462763/(10^3)</f>
        <v>781.52951646276301</v>
      </c>
      <c r="M8" s="11">
        <f>764907.519071423/(10^3)</f>
        <v>764.90751907142294</v>
      </c>
      <c r="N8" s="11">
        <f>800695.117439494/(10^3)</f>
        <v>800.69511743949397</v>
      </c>
      <c r="O8" s="11">
        <f>816497.365209805/(10^3)</f>
        <v>816.49736520980491</v>
      </c>
      <c r="P8" s="11">
        <f>846794.329567683/(10^3)</f>
        <v>846.79432956768301</v>
      </c>
      <c r="Q8" s="11">
        <f>8751.88328621656/(10^3)</f>
        <v>8.7518832862165592</v>
      </c>
      <c r="R8" s="11">
        <f>871240.217552805/(10^3)</f>
        <v>871.24021755280501</v>
      </c>
      <c r="S8" s="11">
        <f>850080.283107634/(10^3)</f>
        <v>850.08028310763405</v>
      </c>
      <c r="T8" s="11">
        <f>826284.971749687/(10^3)</f>
        <v>826.28497174968697</v>
      </c>
      <c r="U8" s="11">
        <f>809959.641978705/(10^3)</f>
        <v>809.95964197870501</v>
      </c>
      <c r="V8" s="11">
        <f>797052.328998936/(10^3)</f>
        <v>797.05232899893599</v>
      </c>
      <c r="W8" s="11">
        <f>77598226.6795822/(10^3)</f>
        <v>77598.226679582192</v>
      </c>
      <c r="X8" s="11">
        <f>768653.082624127/(10^3)</f>
        <v>768.65308262412702</v>
      </c>
      <c r="Y8" s="11">
        <f>781519.724206368/(10^3)</f>
        <v>781.51972420636798</v>
      </c>
      <c r="Z8" s="11">
        <f>811763.572260812/(10^3)</f>
        <v>811.763572260812</v>
      </c>
      <c r="AA8" s="11">
        <f>819657.973070503/(10^3)</f>
        <v>819.65797307050298</v>
      </c>
      <c r="AB8" s="11">
        <f>842553.40597956/(10^3)</f>
        <v>842.55340597956001</v>
      </c>
      <c r="AC8" s="11">
        <f>8463.8504753644/(10^3)</f>
        <v>8.4638504753643993</v>
      </c>
      <c r="AD8" s="11">
        <f>880223.551111981/(10^3)</f>
        <v>880.22355111198101</v>
      </c>
      <c r="AE8" s="11">
        <f>819512.179998056/(10^3)</f>
        <v>819.51217999805601</v>
      </c>
      <c r="AF8" s="11">
        <f>786640.212283744/(10^3)</f>
        <v>786.64021228374406</v>
      </c>
      <c r="AG8" s="11">
        <f>775216.00811935/(10^3)</f>
        <v>775.21600811934991</v>
      </c>
      <c r="AH8" s="11">
        <f>796093.052056162/(10^3)</f>
        <v>796.09305205616204</v>
      </c>
      <c r="AI8" s="11">
        <f>81152555.2634561/(10^3)</f>
        <v>81152.555263456103</v>
      </c>
      <c r="AJ8" s="11">
        <f>789382.926812032/(10^3)</f>
        <v>789.382926812032</v>
      </c>
      <c r="AK8" s="11">
        <f>798352.590372488/(10^3)</f>
        <v>798.35259037248807</v>
      </c>
      <c r="AL8" s="11">
        <f>844768.327946392/(10^3)</f>
        <v>844.76832794639199</v>
      </c>
      <c r="AM8" s="11">
        <f>854072.472425844/(10^3)</f>
        <v>854.07247242584401</v>
      </c>
      <c r="AN8" s="11">
        <f>881688.742628926/(10^3)</f>
        <v>881.68874262892598</v>
      </c>
      <c r="AO8" s="11">
        <f>9026.53147197079/(10^3)</f>
        <v>9.0265314719707899</v>
      </c>
      <c r="AP8" s="11">
        <f>931799.24316735/(10^3)</f>
        <v>931.79924316734991</v>
      </c>
      <c r="AQ8" s="11">
        <f>929602.250398509/(10^3)</f>
        <v>929.602250398509</v>
      </c>
      <c r="AR8" s="11">
        <f>901132.465573448/(10^3)</f>
        <v>901.13246557344803</v>
      </c>
      <c r="AS8" s="11">
        <f>882093.976469425/(10^3)</f>
        <v>882.093976469425</v>
      </c>
      <c r="AT8" s="11">
        <f>876388.873095143/(10^3)</f>
        <v>876.38887309514303</v>
      </c>
      <c r="AU8" s="11">
        <f>85490308.8322505/(10^3)</f>
        <v>85490.308832250506</v>
      </c>
      <c r="AV8" s="11">
        <f>830215.727759921/(10^3)</f>
        <v>830.21572775992104</v>
      </c>
      <c r="AW8" s="11">
        <f>813238.948089163/(10^3)</f>
        <v>813.23894808916305</v>
      </c>
      <c r="AX8" s="11">
        <f>856640.400329862/(10^3)</f>
        <v>856.64040032986202</v>
      </c>
      <c r="AY8" s="11">
        <f>876471.126036195/(10^3)</f>
        <v>876.47112603619496</v>
      </c>
      <c r="AZ8" s="11">
        <f>912822.070948397/(10^3)</f>
        <v>912.82207094839703</v>
      </c>
      <c r="BA8" s="11">
        <f>9444.51620511459/(10^3)</f>
        <v>9.4445162051145903</v>
      </c>
      <c r="BB8" s="11">
        <f>946044.878006471/(10^3)</f>
        <v>946.04487800647098</v>
      </c>
      <c r="BC8" s="11">
        <f>928302.868498682/(10^3)</f>
        <v>928.30286849868207</v>
      </c>
      <c r="BD8" s="11">
        <f>902427.616758259/(10^3)</f>
        <v>902.42761675825898</v>
      </c>
      <c r="BE8" s="11">
        <f>892467.846673363/(10^3)</f>
        <v>892.46784667336306</v>
      </c>
      <c r="BF8" s="11">
        <f>898846.125402617/(10^3)</f>
        <v>898.84612540261708</v>
      </c>
      <c r="BG8" s="11">
        <f>92770397.3365149/(10^3)</f>
        <v>92770.3973365149</v>
      </c>
      <c r="BH8" s="11">
        <f>917368.203901459/(10^3)</f>
        <v>917.36820390145897</v>
      </c>
      <c r="BI8" s="11">
        <f>895655.389064729/(10^3)</f>
        <v>895.65538906472898</v>
      </c>
      <c r="BJ8" s="11">
        <f>966939.134556671/(10^3)</f>
        <v>966.93913455667098</v>
      </c>
      <c r="BK8" s="11">
        <f>1004927.08764261/(10^3)</f>
        <v>1004.92708764261</v>
      </c>
      <c r="BL8" s="11">
        <f>1048813.2642191/(10^3)</f>
        <v>1048.8132642190999</v>
      </c>
      <c r="BM8" s="11">
        <f>10959.6850688536/(10^3)</f>
        <v>10.9596850688536</v>
      </c>
      <c r="BN8" s="11">
        <f>1110761.77278425/(10^3)</f>
        <v>1110.7617727842501</v>
      </c>
      <c r="BO8" s="11">
        <f>1058794.56639316/(10^3)</f>
        <v>1058.79456639316</v>
      </c>
      <c r="BP8" s="11">
        <f>1010215.09782201/(10^3)</f>
        <v>1010.2150978220101</v>
      </c>
      <c r="BQ8" s="11">
        <f>1006281.92389592/(10^3)</f>
        <v>1006.28192389592</v>
      </c>
      <c r="BR8" s="11">
        <f>1002706.19049374/(10^3)</f>
        <v>1002.70619049374</v>
      </c>
      <c r="BS8" s="11">
        <f>98686542.1369609/(10^3)</f>
        <v>98686.542136960896</v>
      </c>
      <c r="BT8" s="11">
        <f>1005752.10416556/(10^3)</f>
        <v>1005.75210416556</v>
      </c>
      <c r="BU8" s="11">
        <f>1008373.00154166/(10^3)</f>
        <v>1008.3730015416601</v>
      </c>
      <c r="BV8" s="11">
        <f>1009496.09555676/(10^3)</f>
        <v>1009.49609555676</v>
      </c>
      <c r="BW8" s="11">
        <f>1053359.77838239/(10^3)</f>
        <v>1053.35977838239</v>
      </c>
      <c r="BX8" s="11">
        <f>1094202.70444028/(10^3)</f>
        <v>1094.2027044402801</v>
      </c>
      <c r="BY8" s="11">
        <f>11266.4401591993/(10^3)</f>
        <v>11.266440159199298</v>
      </c>
      <c r="BZ8" s="11">
        <f>1130259.37605451/(10^3)</f>
        <v>1130.2593760545101</v>
      </c>
      <c r="CA8" s="11">
        <f>1102036.7190536/(10^3)</f>
        <v>1102.0367190535999</v>
      </c>
      <c r="CB8" s="11">
        <f>1047601.81515437/(10^3)</f>
        <v>1047.6018151543701</v>
      </c>
      <c r="CC8" s="12"/>
      <c r="CZ8" s="11">
        <v>875.18832862165641</v>
      </c>
      <c r="DA8" s="11">
        <v>846.38504753643974</v>
      </c>
      <c r="DB8" s="11">
        <v>902.65314719707851</v>
      </c>
      <c r="DC8" s="11">
        <v>944.45162051145917</v>
      </c>
      <c r="DD8" s="11">
        <v>1095.9685068853562</v>
      </c>
      <c r="DE8" s="11">
        <v>1126.6440159199335</v>
      </c>
      <c r="DG8" s="11">
        <v>756.83152701191682</v>
      </c>
      <c r="DH8" s="11">
        <v>775.98226679582217</v>
      </c>
      <c r="DI8" s="11">
        <v>811.52555263456111</v>
      </c>
      <c r="DJ8" s="11">
        <v>854.90308832250537</v>
      </c>
      <c r="DK8" s="11">
        <v>927.70397336514873</v>
      </c>
      <c r="DL8" s="11">
        <v>986.86542136960929</v>
      </c>
      <c r="DN8" s="11"/>
    </row>
    <row r="9" spans="1:118" x14ac:dyDescent="0.25">
      <c r="D9" s="10" t="s">
        <v>80</v>
      </c>
      <c r="E9" s="10" t="s">
        <v>49</v>
      </c>
      <c r="F9" s="10" t="s">
        <v>150</v>
      </c>
      <c r="G9" s="10"/>
      <c r="H9" s="62"/>
      <c r="I9" s="11">
        <f>202698/(10^3)</f>
        <v>202.69800000000001</v>
      </c>
      <c r="J9" s="11">
        <f>211926.126832518/(10^3)</f>
        <v>211.92612683251801</v>
      </c>
      <c r="K9" s="11">
        <f>21174834.3024461/(10^3)</f>
        <v>21174.834302446099</v>
      </c>
      <c r="L9" s="11">
        <f>207209.621153056/(10^3)</f>
        <v>207.20962115305602</v>
      </c>
      <c r="M9" s="11">
        <f>217163.409309506/(10^3)</f>
        <v>217.16340930950602</v>
      </c>
      <c r="N9" s="11">
        <f>233922.752967273/(10^3)</f>
        <v>233.922752967273</v>
      </c>
      <c r="O9" s="11">
        <f>235161.563624815/(10^3)</f>
        <v>235.16156362481499</v>
      </c>
      <c r="P9" s="11">
        <f>243921.652657094/(10^3)</f>
        <v>243.921652657094</v>
      </c>
      <c r="Q9" s="11">
        <f>2440.74087739525/(10^3)</f>
        <v>2.4407408773952501</v>
      </c>
      <c r="R9" s="11">
        <f>240797.093229431/(10^3)</f>
        <v>240.797093229431</v>
      </c>
      <c r="S9" s="11">
        <f>236836.688596219/(10^3)</f>
        <v>236.83668859621901</v>
      </c>
      <c r="T9" s="11">
        <f>226886.595163733/(10^3)</f>
        <v>226.88659516373301</v>
      </c>
      <c r="U9" s="11">
        <f>224438.966153926/(10^3)</f>
        <v>224.438966153926</v>
      </c>
      <c r="V9" s="11">
        <f>220342.048975794/(10^3)</f>
        <v>220.342048975794</v>
      </c>
      <c r="W9" s="11">
        <f>22526376.3534776/(10^3)</f>
        <v>22526.376353477601</v>
      </c>
      <c r="X9" s="11">
        <f>227604.580632046/(10^3)</f>
        <v>227.60458063204601</v>
      </c>
      <c r="Y9" s="11">
        <f>224306.27561978/(10^3)</f>
        <v>224.30627561978</v>
      </c>
      <c r="Z9" s="11">
        <f>232053.15409708/(10^3)</f>
        <v>232.05315409708001</v>
      </c>
      <c r="AA9" s="11">
        <f>235617.153075786/(10^3)</f>
        <v>235.61715307578598</v>
      </c>
      <c r="AB9" s="11">
        <f>237109.443679799/(10^3)</f>
        <v>237.109443679799</v>
      </c>
      <c r="AC9" s="11">
        <f>2375.32404760709/(10^3)</f>
        <v>2.3753240476070903</v>
      </c>
      <c r="AD9" s="11">
        <f>246469.904404663/(10^3)</f>
        <v>246.469904404663</v>
      </c>
      <c r="AE9" s="11">
        <f>241718.481288072/(10^3)</f>
        <v>241.71848128807201</v>
      </c>
      <c r="AF9" s="11">
        <f>241663.29375256/(10^3)</f>
        <v>241.66329375256001</v>
      </c>
      <c r="AG9" s="11">
        <f>240968.273398008/(10^3)</f>
        <v>240.96827339800799</v>
      </c>
      <c r="AH9" s="11">
        <f>249464.88180969/(10^3)</f>
        <v>249.46488180969001</v>
      </c>
      <c r="AI9" s="11">
        <f>25728854.7290341/(10^3)</f>
        <v>25728.854729034101</v>
      </c>
      <c r="AJ9" s="11">
        <f>250962.360510597/(10^3)</f>
        <v>250.96236051059699</v>
      </c>
      <c r="AK9" s="11">
        <f>258417.249172678/(10^3)</f>
        <v>258.417249172678</v>
      </c>
      <c r="AL9" s="11">
        <f>269642.084077056/(10^3)</f>
        <v>269.64208407705598</v>
      </c>
      <c r="AM9" s="11">
        <f>281303.160415308/(10^3)</f>
        <v>281.30316041530801</v>
      </c>
      <c r="AN9" s="11">
        <f>291953.567561711/(10^3)</f>
        <v>291.953567561711</v>
      </c>
      <c r="AO9" s="11">
        <f>2988.22279251755/(10^3)</f>
        <v>2.9882227925175497</v>
      </c>
      <c r="AP9" s="11">
        <f>307300.540214099/(10^3)</f>
        <v>307.30054021409899</v>
      </c>
      <c r="AQ9" s="11">
        <f>303872.243669193/(10^3)</f>
        <v>303.87224366919298</v>
      </c>
      <c r="AR9" s="11">
        <f>299744.115465117/(10^3)</f>
        <v>299.74411546511698</v>
      </c>
      <c r="AS9" s="11">
        <f>291149.384268906/(10^3)</f>
        <v>291.14938426890603</v>
      </c>
      <c r="AT9" s="11">
        <f>296855.10398889/(10^3)</f>
        <v>296.85510398888999</v>
      </c>
      <c r="AU9" s="11">
        <f>30995463.0818313/(10^3)</f>
        <v>30995.463081831298</v>
      </c>
      <c r="AV9" s="11">
        <f>323804.198746531/(10^3)</f>
        <v>323.80419874653097</v>
      </c>
      <c r="AW9" s="11">
        <f>326496.212559367/(10^3)</f>
        <v>326.496212559367</v>
      </c>
      <c r="AX9" s="11">
        <f>338247.259220362/(10^3)</f>
        <v>338.24725922036203</v>
      </c>
      <c r="AY9" s="11">
        <f>348311.982369033/(10^3)</f>
        <v>348.31198236903299</v>
      </c>
      <c r="AZ9" s="11">
        <f>349773.922382644/(10^3)</f>
        <v>349.773922382644</v>
      </c>
      <c r="BA9" s="11">
        <f>3643.20774631969/(10^3)</f>
        <v>3.6432077463196904</v>
      </c>
      <c r="BB9" s="11">
        <f>366297.660394133/(10^3)</f>
        <v>366.297660394133</v>
      </c>
      <c r="BC9" s="11">
        <f>365047.170261542/(10^3)</f>
        <v>365.04717026154202</v>
      </c>
      <c r="BD9" s="11">
        <f>353003.291349564/(10^3)</f>
        <v>353.00329134956399</v>
      </c>
      <c r="BE9" s="11">
        <f>345299.656052641/(10^3)</f>
        <v>345.29965605264101</v>
      </c>
      <c r="BF9" s="11">
        <f>345515.933191686/(10^3)</f>
        <v>345.51593319168597</v>
      </c>
      <c r="BG9" s="11">
        <f>36197721.957928/(10^3)</f>
        <v>36197.721957927999</v>
      </c>
      <c r="BH9" s="11">
        <f>351466.724448306/(10^3)</f>
        <v>351.46672444830602</v>
      </c>
      <c r="BI9" s="11">
        <f>352050.137358848/(10^3)</f>
        <v>352.05013735884802</v>
      </c>
      <c r="BJ9" s="11">
        <f>357822.167287486/(10^3)</f>
        <v>357.82216728748602</v>
      </c>
      <c r="BK9" s="11">
        <f>370489.26154545/(10^3)</f>
        <v>370.48926154545001</v>
      </c>
      <c r="BL9" s="11">
        <f>374461.248154484/(10^3)</f>
        <v>374.46124815448405</v>
      </c>
      <c r="BM9" s="11">
        <f>3899.83115792372/(10^3)</f>
        <v>3.8998311579237201</v>
      </c>
      <c r="BN9" s="11">
        <f>393426.065045406/(10^3)</f>
        <v>393.42606504540601</v>
      </c>
      <c r="BO9" s="11">
        <f>376367.700792477/(10^3)</f>
        <v>376.36770079247702</v>
      </c>
      <c r="BP9" s="11">
        <f>373372.959662042/(10^3)</f>
        <v>373.37295966204198</v>
      </c>
      <c r="BQ9" s="11">
        <f>366788.412572907/(10^3)</f>
        <v>366.78841257290702</v>
      </c>
      <c r="BR9" s="11">
        <f>358812.993159145/(10^3)</f>
        <v>358.81299315914498</v>
      </c>
      <c r="BS9" s="11">
        <f>36740092.4771536/(10^3)</f>
        <v>36740.092477153601</v>
      </c>
      <c r="BT9" s="11">
        <f>369796.803652205/(10^3)</f>
        <v>369.79680365220497</v>
      </c>
      <c r="BU9" s="11">
        <f>372979.270038048/(10^3)</f>
        <v>372.97927003804796</v>
      </c>
      <c r="BV9" s="11">
        <f>383320.687084103/(10^3)</f>
        <v>383.32068708410299</v>
      </c>
      <c r="BW9" s="11">
        <f>401217.647211031/(10^3)</f>
        <v>401.21764721103102</v>
      </c>
      <c r="BX9" s="11">
        <f>404779.005730774/(10^3)</f>
        <v>404.77900573077403</v>
      </c>
      <c r="BY9" s="11">
        <f>4179.30559412058/(10^3)</f>
        <v>4.1793055941205806</v>
      </c>
      <c r="BZ9" s="11">
        <f>406152.680108267/(10^3)</f>
        <v>406.15268010826702</v>
      </c>
      <c r="CA9" s="11">
        <f>401767.575726734/(10^3)</f>
        <v>401.76757572673398</v>
      </c>
      <c r="CB9" s="11">
        <f>382663.796758516/(10^3)</f>
        <v>382.66379675851601</v>
      </c>
      <c r="CC9" s="12"/>
      <c r="CZ9" s="11">
        <v>244.07408773952537</v>
      </c>
      <c r="DA9" s="11">
        <v>237.5324047607092</v>
      </c>
      <c r="DB9" s="11">
        <v>298.82227925175533</v>
      </c>
      <c r="DC9" s="11">
        <v>364.32077463196941</v>
      </c>
      <c r="DD9" s="11">
        <v>389.9831157923719</v>
      </c>
      <c r="DE9" s="11">
        <v>417.93055941205824</v>
      </c>
      <c r="DG9" s="11">
        <v>211.74834302446132</v>
      </c>
      <c r="DH9" s="11">
        <v>225.26376353477596</v>
      </c>
      <c r="DI9" s="11">
        <v>257.28854729034123</v>
      </c>
      <c r="DJ9" s="11">
        <v>309.95463081831338</v>
      </c>
      <c r="DK9" s="11">
        <v>361.97721957928047</v>
      </c>
      <c r="DL9" s="11">
        <v>367.40092477153598</v>
      </c>
      <c r="DN9" s="11"/>
    </row>
    <row r="10" spans="1:118" outlineLevel="1" x14ac:dyDescent="0.25">
      <c r="D10" s="10" t="s">
        <v>81</v>
      </c>
      <c r="E10" s="10" t="s">
        <v>49</v>
      </c>
      <c r="F10" s="10" t="s">
        <v>150</v>
      </c>
      <c r="G10" s="10"/>
      <c r="H10" s="62"/>
      <c r="I10" s="11">
        <f>250444/(10^3)</f>
        <v>250.44399999999999</v>
      </c>
      <c r="J10" s="11">
        <f>243355.528412885/(10^3)</f>
        <v>243.35552841288501</v>
      </c>
      <c r="K10" s="11">
        <f>23660491.1374313/(10^3)</f>
        <v>23660.491137431301</v>
      </c>
      <c r="L10" s="11">
        <f>232962.741104965/(10^3)</f>
        <v>232.962741104965</v>
      </c>
      <c r="M10" s="11">
        <f>231590.441495484/(10^3)</f>
        <v>231.59044149548401</v>
      </c>
      <c r="N10" s="11">
        <f>253974.125766348/(10^3)</f>
        <v>253.97412576634801</v>
      </c>
      <c r="O10" s="11">
        <f>258262.346617669/(10^3)</f>
        <v>258.26234661766904</v>
      </c>
      <c r="P10" s="11">
        <f>264155.286507392/(10^3)</f>
        <v>264.15528650739202</v>
      </c>
      <c r="Q10" s="11">
        <f>2706.08217599044/(10^3)</f>
        <v>2.7060821759904403</v>
      </c>
      <c r="R10" s="11">
        <f>268533.956036393/(10^3)</f>
        <v>268.53395603639302</v>
      </c>
      <c r="S10" s="11">
        <f>264082.559482729/(10^3)</f>
        <v>264.08255948272898</v>
      </c>
      <c r="T10" s="11">
        <f>253364.212648643/(10^3)</f>
        <v>253.36421264864302</v>
      </c>
      <c r="U10" s="11">
        <f>251212.480481271/(10^3)</f>
        <v>251.212480481271</v>
      </c>
      <c r="V10" s="11">
        <f>252479.938553098/(10^3)</f>
        <v>252.47993855309801</v>
      </c>
      <c r="W10" s="11">
        <f>24592525.0645534/(10^3)</f>
        <v>24592.5250645534</v>
      </c>
      <c r="X10" s="11">
        <f>243247.323330501/(10^3)</f>
        <v>243.24732333050102</v>
      </c>
      <c r="Y10" s="11">
        <f>238839.663539552/(10^3)</f>
        <v>238.83966353955202</v>
      </c>
      <c r="Z10" s="11">
        <f>238731.961841388/(10^3)</f>
        <v>238.731961841388</v>
      </c>
      <c r="AA10" s="11">
        <f>241984.944197371/(10^3)</f>
        <v>241.98494419737099</v>
      </c>
      <c r="AB10" s="11">
        <f>246143.342282805/(10^3)</f>
        <v>246.14334228280501</v>
      </c>
      <c r="AC10" s="11">
        <f>2485.69197231684/(10^3)</f>
        <v>2.48569197231684</v>
      </c>
      <c r="AD10" s="11">
        <f>243890.629199843/(10^3)</f>
        <v>243.890629199843</v>
      </c>
      <c r="AE10" s="11">
        <f>233036.554045469/(10^3)</f>
        <v>233.03655404546902</v>
      </c>
      <c r="AF10" s="11">
        <f>227948.683031837/(10^3)</f>
        <v>227.94868303183699</v>
      </c>
      <c r="AG10" s="11">
        <f>222307.363344608/(10^3)</f>
        <v>222.30736334460798</v>
      </c>
      <c r="AH10" s="11">
        <f>228065.544483439/(10^3)</f>
        <v>228.065544483439</v>
      </c>
      <c r="AI10" s="11">
        <f>22641126.8255112/(10^3)</f>
        <v>22641.126825511197</v>
      </c>
      <c r="AJ10" s="11">
        <f>227367.945574567/(10^3)</f>
        <v>227.36794557456702</v>
      </c>
      <c r="AK10" s="11">
        <f>233534.812072967/(10^3)</f>
        <v>233.53481207296701</v>
      </c>
      <c r="AL10" s="11">
        <f>242341.219101849/(10^3)</f>
        <v>242.34121910184902</v>
      </c>
      <c r="AM10" s="11">
        <f>249810.225283338/(10^3)</f>
        <v>249.81022528333799</v>
      </c>
      <c r="AN10" s="11">
        <f>255261.233329988/(10^3)</f>
        <v>255.26123332998799</v>
      </c>
      <c r="AO10" s="11">
        <f>2619.26160153552/(10^3)</f>
        <v>2.6192616015355203</v>
      </c>
      <c r="AP10" s="11">
        <f>260046.931842467/(10^3)</f>
        <v>260.04693184246702</v>
      </c>
      <c r="AQ10" s="11">
        <f>255720.679362197/(10^3)</f>
        <v>255.72067936219699</v>
      </c>
      <c r="AR10" s="11">
        <f>248053.249149786/(10^3)</f>
        <v>248.05324914978598</v>
      </c>
      <c r="AS10" s="11">
        <f>242880.449189763/(10^3)</f>
        <v>242.880449189763</v>
      </c>
      <c r="AT10" s="11">
        <f>245473.698539261/(10^3)</f>
        <v>245.47369853926099</v>
      </c>
      <c r="AU10" s="11">
        <f>25362392.4190643/(10^3)</f>
        <v>25362.392419064297</v>
      </c>
      <c r="AV10" s="11">
        <f>263059.003945424/(10^3)</f>
        <v>263.05900394542397</v>
      </c>
      <c r="AW10" s="11">
        <f>268729.501227408/(10^3)</f>
        <v>268.72950122740798</v>
      </c>
      <c r="AX10" s="11">
        <f>282833.503460634/(10^3)</f>
        <v>282.83350346063395</v>
      </c>
      <c r="AY10" s="11">
        <f>294818.608814624/(10^3)</f>
        <v>294.81860881462404</v>
      </c>
      <c r="AZ10" s="11">
        <f>301816.131371101/(10^3)</f>
        <v>301.81613137110099</v>
      </c>
      <c r="BA10" s="11">
        <f>3055.88010359419/(10^3)</f>
        <v>3.0558801035941903</v>
      </c>
      <c r="BB10" s="11">
        <f>315613.120794162/(10^3)</f>
        <v>315.613120794162</v>
      </c>
      <c r="BC10" s="11">
        <f>297915.068596369/(10^3)</f>
        <v>297.915068596369</v>
      </c>
      <c r="BD10" s="11">
        <f>295244.542309337/(10^3)</f>
        <v>295.24454230933702</v>
      </c>
      <c r="BE10" s="11">
        <f>286582.857462722/(10^3)</f>
        <v>286.58285746272202</v>
      </c>
      <c r="BF10" s="11">
        <f>283279.025736984/(10^3)</f>
        <v>283.27902573698395</v>
      </c>
      <c r="BG10" s="11">
        <f>29112312.7143633/(10^3)</f>
        <v>29112.312714363299</v>
      </c>
      <c r="BH10" s="11">
        <f>285958.076953613/(10^3)</f>
        <v>285.95807695361304</v>
      </c>
      <c r="BI10" s="11">
        <f>279002.74314665/(10^3)</f>
        <v>279.00274314665</v>
      </c>
      <c r="BJ10" s="11">
        <f>287616.3548703/(10^3)</f>
        <v>287.61635487029997</v>
      </c>
      <c r="BK10" s="11">
        <f>284512.954239632/(10^3)</f>
        <v>284.51295423963199</v>
      </c>
      <c r="BL10" s="11">
        <f>283182.936131644/(10^3)</f>
        <v>283.182936131644</v>
      </c>
      <c r="BM10" s="11">
        <f>2747.06426113342/(10^3)</f>
        <v>2.7470642611334202</v>
      </c>
      <c r="BN10" s="11">
        <f>280099.828254112/(10^3)</f>
        <v>280.09982825411197</v>
      </c>
      <c r="BO10" s="11">
        <f>257884.661005789/(10^3)</f>
        <v>257.88466100578898</v>
      </c>
      <c r="BP10" s="11">
        <f>245176.592061483/(10^3)</f>
        <v>245.17659206148301</v>
      </c>
      <c r="BQ10" s="11">
        <f>239912.719434428/(10^3)</f>
        <v>239.912719434428</v>
      </c>
      <c r="BR10" s="11">
        <f>244894.326009134/(10^3)</f>
        <v>244.89432600913401</v>
      </c>
      <c r="BS10" s="11">
        <f>24589387.2511576/(10^3)</f>
        <v>24589.387251157601</v>
      </c>
      <c r="BT10" s="11">
        <f>246502.15085431/(10^3)</f>
        <v>246.50215085431</v>
      </c>
      <c r="BU10" s="11">
        <f>246664.302751546/(10^3)</f>
        <v>246.66430275154599</v>
      </c>
      <c r="BV10" s="11">
        <f>260996.999474072/(10^3)</f>
        <v>260.99699947407203</v>
      </c>
      <c r="BW10" s="11">
        <f>263540.926365246/(10^3)</f>
        <v>263.54092636524598</v>
      </c>
      <c r="BX10" s="11">
        <f>273459.706361377/(10^3)</f>
        <v>273.45970636137696</v>
      </c>
      <c r="BY10" s="11">
        <f>2739.09936092978/(10^3)</f>
        <v>2.7390993609297798</v>
      </c>
      <c r="BZ10" s="11">
        <f>279729.558518527/(10^3)</f>
        <v>279.72955851852703</v>
      </c>
      <c r="CA10" s="11">
        <f>253751.408241729/(10^3)</f>
        <v>253.751408241729</v>
      </c>
      <c r="CB10" s="11">
        <f>251816.886847934/(10^3)</f>
        <v>251.816886847934</v>
      </c>
      <c r="CC10" s="12"/>
      <c r="CZ10" s="11">
        <v>270.60821759904422</v>
      </c>
      <c r="DA10" s="11">
        <v>248.56919723168426</v>
      </c>
      <c r="DB10" s="11">
        <v>261.92616015355202</v>
      </c>
      <c r="DC10" s="11">
        <v>305.5880103594186</v>
      </c>
      <c r="DD10" s="11">
        <v>274.70642611334222</v>
      </c>
      <c r="DE10" s="11">
        <v>273.90993609297777</v>
      </c>
      <c r="DG10" s="11">
        <v>236.60491137431293</v>
      </c>
      <c r="DH10" s="11">
        <v>245.92525064553374</v>
      </c>
      <c r="DI10" s="11">
        <v>226.41126825511193</v>
      </c>
      <c r="DJ10" s="11">
        <v>253.62392419064315</v>
      </c>
      <c r="DK10" s="11">
        <v>291.12312714363264</v>
      </c>
      <c r="DL10" s="11">
        <v>245.89387251157609</v>
      </c>
      <c r="DN10" s="11"/>
    </row>
    <row r="11" spans="1:118" outlineLevel="1" x14ac:dyDescent="0.25">
      <c r="D11" s="10" t="s">
        <v>82</v>
      </c>
      <c r="E11" s="10" t="s">
        <v>52</v>
      </c>
      <c r="F11" s="10" t="s">
        <v>180</v>
      </c>
      <c r="G11" s="10"/>
      <c r="H11" s="62"/>
      <c r="I11" s="11">
        <f>418862/(10^3)</f>
        <v>418.86200000000002</v>
      </c>
      <c r="J11" s="11">
        <f>434017.149806292/(10^3)</f>
        <v>434.01714980629203</v>
      </c>
      <c r="K11" s="11">
        <f>42311152.5763687/(10^3)</f>
        <v>42311.152576368695</v>
      </c>
      <c r="L11" s="11">
        <f>431993.189131992/(10^3)</f>
        <v>431.99318913199198</v>
      </c>
      <c r="M11" s="11">
        <f>439238.101927608/(10^3)</f>
        <v>439.238101927608</v>
      </c>
      <c r="N11" s="11">
        <f>457087.752862882/(10^3)</f>
        <v>457.08775286288198</v>
      </c>
      <c r="O11" s="11">
        <f>476853.323807506/(10^3)</f>
        <v>476.853323807506</v>
      </c>
      <c r="P11" s="11">
        <f>482045.005112134/(10^3)</f>
        <v>482.04500511213399</v>
      </c>
      <c r="Q11" s="11">
        <f>4986.96027664647/(10^3)</f>
        <v>4.98696027664647</v>
      </c>
      <c r="R11" s="11">
        <f>520230.964492718/(10^3)</f>
        <v>520.23096449271804</v>
      </c>
      <c r="S11" s="11">
        <f>514707.667424795/(10^3)</f>
        <v>514.70766742479498</v>
      </c>
      <c r="T11" s="11">
        <f>508484.101108304/(10^3)</f>
        <v>508.484101108304</v>
      </c>
      <c r="U11" s="11">
        <f>496647.454767075/(10^3)</f>
        <v>496.64745476707503</v>
      </c>
      <c r="V11" s="11">
        <f>493889.124892549/(10^3)</f>
        <v>493.88912489254903</v>
      </c>
      <c r="W11" s="11">
        <f>50825225.0259152/(10^3)</f>
        <v>50825.225025915199</v>
      </c>
      <c r="X11" s="11">
        <f>509893.278510875/(10^3)</f>
        <v>509.89327851087501</v>
      </c>
      <c r="Y11" s="11">
        <f>506776.556420315/(10^3)</f>
        <v>506.77655642031499</v>
      </c>
      <c r="Z11" s="11">
        <f>494343.240047122/(10^3)</f>
        <v>494.34324004712198</v>
      </c>
      <c r="AA11" s="11">
        <f>512420.450466506/(10^3)</f>
        <v>512.42045046650605</v>
      </c>
      <c r="AB11" s="11">
        <f>535845.177870748/(10^3)</f>
        <v>535.84517787074799</v>
      </c>
      <c r="AC11" s="11">
        <f>5377.90760074651/(10^3)</f>
        <v>5.3779076007465099</v>
      </c>
      <c r="AD11" s="11">
        <f>541132.389616972/(10^3)</f>
        <v>541.13238961697198</v>
      </c>
      <c r="AE11" s="11">
        <f>505655.997446667/(10^3)</f>
        <v>505.65599744666702</v>
      </c>
      <c r="AF11" s="11">
        <f>485581.566722143/(10^3)</f>
        <v>485.58156672214295</v>
      </c>
      <c r="AG11" s="11">
        <f>481265.872077806/(10^3)</f>
        <v>481.26587207780597</v>
      </c>
      <c r="AH11" s="11">
        <f>488410.273891496/(10^3)</f>
        <v>488.41027389149599</v>
      </c>
      <c r="AI11" s="11">
        <f>47789450.9584991/(10^3)</f>
        <v>47789.450958499096</v>
      </c>
      <c r="AJ11" s="11">
        <f>484399.23675448/(10^3)</f>
        <v>484.39923675448</v>
      </c>
      <c r="AK11" s="11">
        <f>506784.983288336/(10^3)</f>
        <v>506.78498328833604</v>
      </c>
      <c r="AL11" s="11">
        <f>546242.328274318/(10^3)</f>
        <v>546.24232827431797</v>
      </c>
      <c r="AM11" s="11">
        <f>568117.572894887/(10^3)</f>
        <v>568.11757289488696</v>
      </c>
      <c r="AN11" s="11">
        <f>583693.662339845/(10^3)</f>
        <v>583.69366233984499</v>
      </c>
      <c r="AO11" s="11">
        <f>5967.9912362806/(10^3)</f>
        <v>5.9679912362806</v>
      </c>
      <c r="AP11" s="11">
        <f>583096.930683837/(10^3)</f>
        <v>583.09693068383706</v>
      </c>
      <c r="AQ11" s="11">
        <f>566175.851201804/(10^3)</f>
        <v>566.17585120180399</v>
      </c>
      <c r="AR11" s="11">
        <f>549342.669559702/(10^3)</f>
        <v>549.34266955970202</v>
      </c>
      <c r="AS11" s="11">
        <f>543035.118150022/(10^3)</f>
        <v>543.03511815002196</v>
      </c>
      <c r="AT11" s="11">
        <f>556492.151023258/(10^3)</f>
        <v>556.49215102325797</v>
      </c>
      <c r="AU11" s="11">
        <f>57913261.3968748/(10^3)</f>
        <v>57913.261396874797</v>
      </c>
      <c r="AV11" s="11">
        <f>577041.565196905/(10^3)</f>
        <v>577.04156519690503</v>
      </c>
      <c r="AW11" s="11">
        <f>591144.464176026/(10^3)</f>
        <v>591.14446417602608</v>
      </c>
      <c r="AX11" s="11">
        <f>637167.257527713/(10^3)</f>
        <v>637.16725752771299</v>
      </c>
      <c r="AY11" s="11">
        <f>666166.922188627/(10^3)</f>
        <v>666.16692218862693</v>
      </c>
      <c r="AZ11" s="11">
        <f>673006.076261089/(10^3)</f>
        <v>673.00607626108899</v>
      </c>
      <c r="BA11" s="11">
        <f>6865.71688061028/(10^3)</f>
        <v>6.8657168806102797</v>
      </c>
      <c r="BB11" s="11">
        <f>719318.496091906/(10^3)</f>
        <v>719.31849609190601</v>
      </c>
      <c r="BC11" s="11">
        <f>655337.6761811/(10^3)</f>
        <v>655.33767618109994</v>
      </c>
      <c r="BD11" s="11">
        <f>635322.134893468/(10^3)</f>
        <v>635.32213489346805</v>
      </c>
      <c r="BE11" s="11">
        <f>626258.090296824/(10^3)</f>
        <v>626.25809029682398</v>
      </c>
      <c r="BF11" s="11">
        <f>643091.962200436/(10^3)</f>
        <v>643.091962200436</v>
      </c>
      <c r="BG11" s="11">
        <f>64061296.2550426/(10^3)</f>
        <v>64061.296255042595</v>
      </c>
      <c r="BH11" s="11">
        <f>661557.599026919/(10^3)</f>
        <v>661.55759902691898</v>
      </c>
      <c r="BI11" s="11">
        <f>680862.799861718/(10^3)</f>
        <v>680.86279986171792</v>
      </c>
      <c r="BJ11" s="11">
        <f>704085.333358943/(10^3)</f>
        <v>704.08533335894299</v>
      </c>
      <c r="BK11" s="11">
        <f>696225.163171438/(10^3)</f>
        <v>696.225163171438</v>
      </c>
      <c r="BL11" s="11">
        <f>725690.6013695/(10^3)</f>
        <v>725.69060136950009</v>
      </c>
      <c r="BM11" s="11">
        <f>7203.9235298908/(10^3)</f>
        <v>7.2039235298907993</v>
      </c>
      <c r="BN11" s="11">
        <f>718479.351844481/(10^3)</f>
        <v>718.47935184448102</v>
      </c>
      <c r="BO11" s="11">
        <f>672553.374552538/(10^3)</f>
        <v>672.553374552538</v>
      </c>
      <c r="BP11" s="11">
        <f>669081.840616465/(10^3)</f>
        <v>669.081840616465</v>
      </c>
      <c r="BQ11" s="11">
        <f>663691.646912497/(10^3)</f>
        <v>663.69164691249705</v>
      </c>
      <c r="BR11" s="11">
        <f>694244.00993735/(10^3)</f>
        <v>694.24400993735003</v>
      </c>
      <c r="BS11" s="11">
        <f>72601816.8244077/(10^3)</f>
        <v>72601.816824407695</v>
      </c>
      <c r="BT11" s="11">
        <f>715824.715439572/(10^3)</f>
        <v>715.82471543957195</v>
      </c>
      <c r="BU11" s="11">
        <f>736904.731538992/(10^3)</f>
        <v>736.904731538992</v>
      </c>
      <c r="BV11" s="11">
        <f>778012.415010361/(10^3)</f>
        <v>778.012415010361</v>
      </c>
      <c r="BW11" s="11">
        <f>803185.525023921/(10^3)</f>
        <v>803.18552502392106</v>
      </c>
      <c r="BX11" s="11">
        <f>805012.762912815/(10^3)</f>
        <v>805.01276291281499</v>
      </c>
      <c r="BY11" s="11">
        <f>8333.38549225339/(10^3)</f>
        <v>8.3333854922533899</v>
      </c>
      <c r="BZ11" s="11">
        <f>822440.290361275/(10^3)</f>
        <v>822.44029036127495</v>
      </c>
      <c r="CA11" s="11">
        <f>800388.435006347/(10^3)</f>
        <v>800.38843500634698</v>
      </c>
      <c r="CB11" s="11">
        <f>787892.203635249/(10^3)</f>
        <v>787.89220363524907</v>
      </c>
      <c r="CC11" s="12"/>
      <c r="CZ11" s="11">
        <v>498.69602766464703</v>
      </c>
      <c r="DA11" s="11">
        <v>537.79076007465073</v>
      </c>
      <c r="DB11" s="11">
        <v>596.79912362806022</v>
      </c>
      <c r="DC11" s="11">
        <v>686.57168806102788</v>
      </c>
      <c r="DD11" s="11">
        <v>720.39235298907954</v>
      </c>
      <c r="DE11" s="11">
        <v>833.33854922533874</v>
      </c>
      <c r="DG11" s="11">
        <v>423.11152576368698</v>
      </c>
      <c r="DH11" s="11">
        <v>508.25225025915233</v>
      </c>
      <c r="DI11" s="11">
        <v>477.89450958499123</v>
      </c>
      <c r="DJ11" s="11">
        <v>579.13261396874816</v>
      </c>
      <c r="DK11" s="11">
        <v>640.61296255042635</v>
      </c>
      <c r="DL11" s="11">
        <v>726.01816824407661</v>
      </c>
      <c r="DN11" s="11"/>
    </row>
    <row r="12" spans="1:118" outlineLevel="1" x14ac:dyDescent="0.25">
      <c r="D12" s="10" t="s">
        <v>84</v>
      </c>
      <c r="E12" s="10" t="s">
        <v>53</v>
      </c>
      <c r="F12" s="10" t="s">
        <v>150</v>
      </c>
      <c r="G12" s="10"/>
      <c r="H12" s="62"/>
      <c r="I12" s="11">
        <f>1037699/(10^3)</f>
        <v>1037.6990000000001</v>
      </c>
      <c r="J12" s="11">
        <f>1067288.78727128/(10^3)</f>
        <v>1067.2887872712802</v>
      </c>
      <c r="K12" s="11">
        <f>103842824.156081/(10^3)</f>
        <v>103842.82415608101</v>
      </c>
      <c r="L12" s="11">
        <f>1020083.74013691/(10^3)</f>
        <v>1020.08374013691</v>
      </c>
      <c r="M12" s="11">
        <f>1007235.28690848/(10^3)</f>
        <v>1007.23528690848</v>
      </c>
      <c r="N12" s="11">
        <f>1024976.32414874/(10^3)</f>
        <v>1024.9763241487401</v>
      </c>
      <c r="O12" s="11">
        <f>1060362.52723919/(10^3)</f>
        <v>1060.3625272391901</v>
      </c>
      <c r="P12" s="11">
        <f>1086452.25970161/(10^3)</f>
        <v>1086.45225970161</v>
      </c>
      <c r="Q12" s="11">
        <f>11310.6875416374/(10^3)</f>
        <v>11.310687541637401</v>
      </c>
      <c r="R12" s="11">
        <f>1182699.03711572/(10^3)</f>
        <v>1182.6990371157201</v>
      </c>
      <c r="S12" s="11">
        <f>1137294.7293361/(10^3)</f>
        <v>1137.2947293360999</v>
      </c>
      <c r="T12" s="11">
        <f>1107595.27782085/(10^3)</f>
        <v>1107.59527782085</v>
      </c>
      <c r="U12" s="11">
        <f>1097044.21294669/(10^3)</f>
        <v>1097.0442129466899</v>
      </c>
      <c r="V12" s="11">
        <f>1090075.32190266/(10^3)</f>
        <v>1090.0753219026599</v>
      </c>
      <c r="W12" s="11">
        <f>106045155.762964/(10^3)</f>
        <v>106045.155762964</v>
      </c>
      <c r="X12" s="11">
        <f>1113163.64644996/(10^3)</f>
        <v>1113.16364644996</v>
      </c>
      <c r="Y12" s="11">
        <f>1086439.71781153/(10^3)</f>
        <v>1086.43971781153</v>
      </c>
      <c r="Z12" s="11">
        <f>1089439.60067833/(10^3)</f>
        <v>1089.43960067833</v>
      </c>
      <c r="AA12" s="11">
        <f>1108904.91872391/(10^3)</f>
        <v>1108.9049187239102</v>
      </c>
      <c r="AB12" s="11">
        <f>1126583.13748724/(10^3)</f>
        <v>1126.5831374872398</v>
      </c>
      <c r="AC12" s="11">
        <f>11765.695084947/(10^3)</f>
        <v>11.765695084947</v>
      </c>
      <c r="AD12" s="11">
        <f>1222171.91880882/(10^3)</f>
        <v>1222.17191880882</v>
      </c>
      <c r="AE12" s="11">
        <f>1175741.87472116/(10^3)</f>
        <v>1175.74187472116</v>
      </c>
      <c r="AF12" s="11">
        <f>1113286.94946036/(10^3)</f>
        <v>1113.2869494603599</v>
      </c>
      <c r="AG12" s="11">
        <f>1090120.98224412/(10^3)</f>
        <v>1090.1209822441199</v>
      </c>
      <c r="AH12" s="11">
        <f>1144214.46887788/(10^3)</f>
        <v>1144.2144688778799</v>
      </c>
      <c r="AI12" s="11">
        <f>117954404.286573/(10^3)</f>
        <v>117954.40428657299</v>
      </c>
      <c r="AJ12" s="11">
        <f>1214987.0499577/(10^3)</f>
        <v>1214.9870499577</v>
      </c>
      <c r="AK12" s="11">
        <f>1188293.59224791/(10^3)</f>
        <v>1188.2935922479101</v>
      </c>
      <c r="AL12" s="11">
        <f>1197190.57949443/(10^3)</f>
        <v>1197.19057949443</v>
      </c>
      <c r="AM12" s="11">
        <f>1249742.07535895/(10^3)</f>
        <v>1249.7420753589502</v>
      </c>
      <c r="AN12" s="11">
        <f>1277456.2650017/(10^3)</f>
        <v>1277.4562650017001</v>
      </c>
      <c r="AO12" s="11">
        <f>12966.1665155359/(10^3)</f>
        <v>12.966166515535901</v>
      </c>
      <c r="AP12" s="11">
        <f>1329516.96751683/(10^3)</f>
        <v>1329.5169675168299</v>
      </c>
      <c r="AQ12" s="11">
        <f>1291881.94063252/(10^3)</f>
        <v>1291.8819406325199</v>
      </c>
      <c r="AR12" s="11">
        <f>1232539.040792/(10^3)</f>
        <v>1232.5390407919999</v>
      </c>
      <c r="AS12" s="11">
        <f>1198765.30041421/(10^3)</f>
        <v>1198.7653004142101</v>
      </c>
      <c r="AT12" s="11">
        <f>1227523.65621341/(10^3)</f>
        <v>1227.52365621341</v>
      </c>
      <c r="AU12" s="11">
        <f>125830856.783906/(10^3)</f>
        <v>125830.856783906</v>
      </c>
      <c r="AV12" s="11">
        <f>1277703.76450858/(10^3)</f>
        <v>1277.70376450858</v>
      </c>
      <c r="AW12" s="11">
        <f>1310183.8288567/(10^3)</f>
        <v>1310.1838288567001</v>
      </c>
      <c r="AX12" s="11">
        <f>1393055.27924096/(10^3)</f>
        <v>1393.0552792409601</v>
      </c>
      <c r="AY12" s="11">
        <f>1431649.48373977/(10^3)</f>
        <v>1431.6494837397699</v>
      </c>
      <c r="AZ12" s="11">
        <f>1444069.9708818/(10^3)</f>
        <v>1444.0699708817999</v>
      </c>
      <c r="BA12" s="11">
        <f>15080.5004454275/(10^3)</f>
        <v>15.0805004454275</v>
      </c>
      <c r="BB12" s="11">
        <f>1567706.54280048/(10^3)</f>
        <v>1567.7065428004801</v>
      </c>
      <c r="BC12" s="11">
        <f>1447276.1596975/(10^3)</f>
        <v>1447.2761596975001</v>
      </c>
      <c r="BD12" s="11">
        <f>1408349.48803951/(10^3)</f>
        <v>1408.3494880395101</v>
      </c>
      <c r="BE12" s="11">
        <f>1402643.19032762/(10^3)</f>
        <v>1402.64319032762</v>
      </c>
      <c r="BF12" s="11">
        <f>1387704.45404233/(10^3)</f>
        <v>1387.7044540423299</v>
      </c>
      <c r="BG12" s="11">
        <f>145487710.70568/(10^3)</f>
        <v>145487.71070568002</v>
      </c>
      <c r="BH12" s="11">
        <f>1497154.25582315/(10^3)</f>
        <v>1497.1542558231502</v>
      </c>
      <c r="BI12" s="11">
        <f>1480352.20102187/(10^3)</f>
        <v>1480.3522010218699</v>
      </c>
      <c r="BJ12" s="11">
        <f>1444669.84290402/(10^3)</f>
        <v>1444.66984290402</v>
      </c>
      <c r="BK12" s="11">
        <f>1504239.13589207/(10^3)</f>
        <v>1504.23913589207</v>
      </c>
      <c r="BL12" s="11">
        <f>1543336.25969364/(10^3)</f>
        <v>1543.3362596936402</v>
      </c>
      <c r="BM12" s="11">
        <f>15979.966147325/(10^3)</f>
        <v>15.979966147324999</v>
      </c>
      <c r="BN12" s="11">
        <f>1654032.87068425/(10^3)</f>
        <v>1654.0328706842499</v>
      </c>
      <c r="BO12" s="11">
        <f>1503833.0152624/(10^3)</f>
        <v>1503.8330152624001</v>
      </c>
      <c r="BP12" s="11">
        <f>1466858.01809382/(10^3)</f>
        <v>1466.85801809382</v>
      </c>
      <c r="BQ12" s="11">
        <f>1440542.46147065/(10^3)</f>
        <v>1440.5424614706501</v>
      </c>
      <c r="BR12" s="11">
        <f>1419535.62321514/(10^3)</f>
        <v>1419.53562321514</v>
      </c>
      <c r="BS12" s="11">
        <f>144376516.423702/(10^3)</f>
        <v>144376.51642370201</v>
      </c>
      <c r="BT12" s="11">
        <f>1438453.31996591/(10^3)</f>
        <v>1438.4533199659099</v>
      </c>
      <c r="BU12" s="11">
        <f>1467358.18576406/(10^3)</f>
        <v>1467.35818576406</v>
      </c>
      <c r="BV12" s="11">
        <f>1605072.09557432/(10^3)</f>
        <v>1605.07209557432</v>
      </c>
      <c r="BW12" s="11">
        <f>1637582.14388631/(10^3)</f>
        <v>1637.58214388631</v>
      </c>
      <c r="BX12" s="11">
        <f>1662401.9141473/(10^3)</f>
        <v>1662.4019141473</v>
      </c>
      <c r="BY12" s="11">
        <f>17381.3313818769/(10^3)</f>
        <v>17.381331381876898</v>
      </c>
      <c r="BZ12" s="11">
        <f>1740148.83699447/(10^3)</f>
        <v>1740.14883699447</v>
      </c>
      <c r="CA12" s="11">
        <f>1623136.04269568/(10^3)</f>
        <v>1623.1360426956799</v>
      </c>
      <c r="CB12" s="11">
        <f>1587829.43700163/(10^3)</f>
        <v>1587.8294370016299</v>
      </c>
      <c r="CC12" s="12"/>
      <c r="CZ12" s="11">
        <v>1131.0687541637378</v>
      </c>
      <c r="DA12" s="11">
        <v>1176.5695084947022</v>
      </c>
      <c r="DB12" s="11">
        <v>1296.6166515535915</v>
      </c>
      <c r="DC12" s="11">
        <v>1508.0500445427515</v>
      </c>
      <c r="DD12" s="11">
        <v>1597.9966147325022</v>
      </c>
      <c r="DE12" s="11">
        <v>1738.1331381876894</v>
      </c>
      <c r="DG12" s="11">
        <v>1038.4282415608138</v>
      </c>
      <c r="DH12" s="11">
        <v>1060.4515576296444</v>
      </c>
      <c r="DI12" s="11">
        <v>1179.5440428657346</v>
      </c>
      <c r="DJ12" s="11">
        <v>1258.3085678390601</v>
      </c>
      <c r="DK12" s="11">
        <v>1454.8771070568039</v>
      </c>
      <c r="DL12" s="11">
        <v>1443.765164237024</v>
      </c>
      <c r="DN12" s="11"/>
    </row>
    <row r="13" spans="1:118" outlineLevel="1" x14ac:dyDescent="0.25">
      <c r="D13" s="10" t="s">
        <v>85</v>
      </c>
      <c r="E13" s="10" t="s">
        <v>53</v>
      </c>
      <c r="F13" s="10" t="s">
        <v>150</v>
      </c>
      <c r="G13" s="10"/>
      <c r="H13" s="62"/>
      <c r="I13" s="11">
        <f>1203964/(10^3)</f>
        <v>1203.9639999999999</v>
      </c>
      <c r="J13" s="11">
        <f>1245168.65129479/(10^3)</f>
        <v>1245.1686512947899</v>
      </c>
      <c r="K13" s="11">
        <f>123766216.269189/(10^3)</f>
        <v>123766.216269189</v>
      </c>
      <c r="L13" s="11">
        <f>1227360.21479529/(10^3)</f>
        <v>1227.3602147952899</v>
      </c>
      <c r="M13" s="11">
        <f>1284189.29222322/(10^3)</f>
        <v>1284.18929222322</v>
      </c>
      <c r="N13" s="11">
        <f>1334447.36209835/(10^3)</f>
        <v>1334.4473620983499</v>
      </c>
      <c r="O13" s="11">
        <f>1343253.07182241/(10^3)</f>
        <v>1343.25307182241</v>
      </c>
      <c r="P13" s="11">
        <f>1347765.61918033/(10^3)</f>
        <v>1347.7656191803301</v>
      </c>
      <c r="Q13" s="11">
        <f>14045.6985930117/(10^3)</f>
        <v>14.0456985930117</v>
      </c>
      <c r="R13" s="11">
        <f>1367081.67816842/(10^3)</f>
        <v>1367.08167816842</v>
      </c>
      <c r="S13" s="11">
        <f>1351815.27653578/(10^3)</f>
        <v>1351.81527653578</v>
      </c>
      <c r="T13" s="11">
        <f>1297769.05982769/(10^3)</f>
        <v>1297.7690598276899</v>
      </c>
      <c r="U13" s="11">
        <f>1272407.34552039/(10^3)</f>
        <v>1272.40734552039</v>
      </c>
      <c r="V13" s="11">
        <f>1250065.80711511/(10^3)</f>
        <v>1250.0658071151101</v>
      </c>
      <c r="W13" s="11">
        <f>127373279.564583/(10^3)</f>
        <v>127373.279564583</v>
      </c>
      <c r="X13" s="11">
        <f>1308965.53966105/(10^3)</f>
        <v>1308.9655396610501</v>
      </c>
      <c r="Y13" s="11">
        <f>1354043.97638047/(10^3)</f>
        <v>1354.04397638047</v>
      </c>
      <c r="Z13" s="11">
        <f>1342535.46840312/(10^3)</f>
        <v>1342.5354684031201</v>
      </c>
      <c r="AA13" s="11">
        <f>1353051.98004166/(10^3)</f>
        <v>1353.0519800416598</v>
      </c>
      <c r="AB13" s="11">
        <f>1404177.65478954/(10^3)</f>
        <v>1404.1776547895399</v>
      </c>
      <c r="AC13" s="11">
        <f>14564.1910377903/(10^3)</f>
        <v>14.5641910377903</v>
      </c>
      <c r="AD13" s="11">
        <f>1481329.15362493/(10^3)</f>
        <v>1481.3291536249299</v>
      </c>
      <c r="AE13" s="11">
        <f>1497029.49467177/(10^3)</f>
        <v>1497.02949467177</v>
      </c>
      <c r="AF13" s="11">
        <f>1498455.90186315/(10^3)</f>
        <v>1498.4559018631501</v>
      </c>
      <c r="AG13" s="11">
        <f>1524447.29317743/(10^3)</f>
        <v>1524.4472931774301</v>
      </c>
      <c r="AH13" s="11">
        <f>1552694.84998568/(10^3)</f>
        <v>1552.6948499856801</v>
      </c>
      <c r="AI13" s="11">
        <f>159261488.074621/(10^3)</f>
        <v>159261.48807462098</v>
      </c>
      <c r="AJ13" s="11">
        <f>1618391.6467044/(10^3)</f>
        <v>1618.3916467044</v>
      </c>
      <c r="AK13" s="11">
        <f>1609244.69139972/(10^3)</f>
        <v>1609.2446913997201</v>
      </c>
      <c r="AL13" s="11">
        <f>1711859.22936898/(10^3)</f>
        <v>1711.8592293689801</v>
      </c>
      <c r="AM13" s="11">
        <f>1720929.90816344/(10^3)</f>
        <v>1720.9299081634399</v>
      </c>
      <c r="AN13" s="11">
        <f>1775455.34893768/(10^3)</f>
        <v>1775.4553489376799</v>
      </c>
      <c r="AO13" s="11">
        <f>18455.0533088055/(10^3)</f>
        <v>18.455053308805503</v>
      </c>
      <c r="AP13" s="11">
        <f>1886961.56996153/(10^3)</f>
        <v>1886.9615699615299</v>
      </c>
      <c r="AQ13" s="11">
        <f>1837380.41546164/(10^3)</f>
        <v>1837.38041546164</v>
      </c>
      <c r="AR13" s="11">
        <f>1797538.39388045/(10^3)</f>
        <v>1797.53839388045</v>
      </c>
      <c r="AS13" s="11">
        <f>1762515.77434533/(10^3)</f>
        <v>1762.5157743453299</v>
      </c>
      <c r="AT13" s="11">
        <f>1710182.07383148/(10^3)</f>
        <v>1710.18207383148</v>
      </c>
      <c r="AU13" s="11">
        <f>167834932.98923/(10^3)</f>
        <v>167834.93298923</v>
      </c>
      <c r="AV13" s="11">
        <f>1733442.04977821/(10^3)</f>
        <v>1733.44204977821</v>
      </c>
      <c r="AW13" s="11">
        <f>1742843.45660091/(10^3)</f>
        <v>1742.84345660091</v>
      </c>
      <c r="AX13" s="11">
        <f>1801111.90594165/(10^3)</f>
        <v>1801.1119059416501</v>
      </c>
      <c r="AY13" s="11">
        <f>1814931.31460785/(10^3)</f>
        <v>1814.93131460785</v>
      </c>
      <c r="AZ13" s="11">
        <f>1879861.96773084/(10^3)</f>
        <v>1879.86196773084</v>
      </c>
      <c r="BA13" s="11">
        <f>18954.534553624/(10^3)</f>
        <v>18.954534553623997</v>
      </c>
      <c r="BB13" s="11">
        <f>1972275.01176655/(10^3)</f>
        <v>1972.2750117665498</v>
      </c>
      <c r="BC13" s="11">
        <f>1965541.85508936/(10^3)</f>
        <v>1965.5418550893598</v>
      </c>
      <c r="BD13" s="11">
        <f>1883789.10184674/(10^3)</f>
        <v>1883.7891018467401</v>
      </c>
      <c r="BE13" s="11">
        <f>1870820.1315072/(10^3)</f>
        <v>1870.8201315071999</v>
      </c>
      <c r="BF13" s="11">
        <f>1899430.68315103/(10^3)</f>
        <v>1899.4306831510301</v>
      </c>
      <c r="BG13" s="11">
        <f>190104026.073299/(10^3)</f>
        <v>190104.026073299</v>
      </c>
      <c r="BH13" s="11">
        <f>1971604.5354082/(10^3)</f>
        <v>1971.6045354082</v>
      </c>
      <c r="BI13" s="11">
        <f>2035932.77619007/(10^3)</f>
        <v>2035.9327761900699</v>
      </c>
      <c r="BJ13" s="11">
        <f>2238326.15235012/(10^3)</f>
        <v>2238.3261523501196</v>
      </c>
      <c r="BK13" s="11">
        <f>2238925.16970613/(10^3)</f>
        <v>2238.92516970613</v>
      </c>
      <c r="BL13" s="11">
        <f>2349124.58040029/(10^3)</f>
        <v>2349.1245804002901</v>
      </c>
      <c r="BM13" s="11">
        <f>24595.1795485713/(10^3)</f>
        <v>24.595179548571302</v>
      </c>
      <c r="BN13" s="11">
        <f>2537062.42331801/(10^3)</f>
        <v>2537.0624233180097</v>
      </c>
      <c r="BO13" s="11">
        <f>2444701.09661492/(10^3)</f>
        <v>2444.7010966149201</v>
      </c>
      <c r="BP13" s="11">
        <f>2435975.15082882/(10^3)</f>
        <v>2435.97515082882</v>
      </c>
      <c r="BQ13" s="11">
        <f>2411976.69494959/(10^3)</f>
        <v>2411.9766949495902</v>
      </c>
      <c r="BR13" s="11">
        <f>2429032.1044294/(10^3)</f>
        <v>2429.0321044294001</v>
      </c>
      <c r="BS13" s="11">
        <f>248833892.577123/(10^3)</f>
        <v>248833.89257712298</v>
      </c>
      <c r="BT13" s="11">
        <f>2573036.00498506/(10^3)</f>
        <v>2573.0360049850601</v>
      </c>
      <c r="BU13" s="11">
        <f>2616533.59505634/(10^3)</f>
        <v>2616.5335950563399</v>
      </c>
      <c r="BV13" s="11">
        <f>2629852.36790555/(10^3)</f>
        <v>2629.8523679055502</v>
      </c>
      <c r="BW13" s="11">
        <f>2632526.8028127/(10^3)</f>
        <v>2632.5268028127002</v>
      </c>
      <c r="BX13" s="11">
        <f>2633951.68938676/(10^3)</f>
        <v>2633.9516893867599</v>
      </c>
      <c r="BY13" s="11">
        <f>26646.1806711543/(10^3)</f>
        <v>26.646180671154301</v>
      </c>
      <c r="BZ13" s="11">
        <f>2615398.17736309/(10^3)</f>
        <v>2615.3981773630903</v>
      </c>
      <c r="CA13" s="11">
        <f>2460449.95198721/(10^3)</f>
        <v>2460.4499519872102</v>
      </c>
      <c r="CB13" s="11">
        <f>2388593.77655435/(10^3)</f>
        <v>2388.5937765543499</v>
      </c>
      <c r="CC13" s="12"/>
      <c r="CZ13" s="11">
        <v>1404.5698593011659</v>
      </c>
      <c r="DA13" s="11">
        <v>1456.4191037790292</v>
      </c>
      <c r="DB13" s="11">
        <v>1845.5053308805534</v>
      </c>
      <c r="DC13" s="11">
        <v>1895.4534553623994</v>
      </c>
      <c r="DD13" s="11">
        <v>2459.5179548571346</v>
      </c>
      <c r="DE13" s="11">
        <v>2664.6180671154279</v>
      </c>
      <c r="DG13" s="11">
        <v>1237.6621626918868</v>
      </c>
      <c r="DH13" s="11">
        <v>1273.7327956458289</v>
      </c>
      <c r="DI13" s="11">
        <v>1592.614880746215</v>
      </c>
      <c r="DJ13" s="11">
        <v>1678.3493298923036</v>
      </c>
      <c r="DK13" s="11">
        <v>1901.0402607329897</v>
      </c>
      <c r="DL13" s="11">
        <v>2488.338925771232</v>
      </c>
      <c r="DN13" s="11"/>
    </row>
    <row r="14" spans="1:118" outlineLevel="1" x14ac:dyDescent="0.25">
      <c r="D14" s="10" t="s">
        <v>87</v>
      </c>
      <c r="E14" s="10" t="s">
        <v>77</v>
      </c>
      <c r="F14" s="10" t="s">
        <v>180</v>
      </c>
      <c r="G14" s="10"/>
      <c r="H14" s="62"/>
      <c r="I14" s="11">
        <f>637760/(10^3)</f>
        <v>637.76</v>
      </c>
      <c r="J14" s="11">
        <f>663849.317822511/(10^3)</f>
        <v>663.84931782251101</v>
      </c>
      <c r="K14" s="11">
        <f>69670376.4060722/(10^3)</f>
        <v>69670.376406072202</v>
      </c>
      <c r="L14" s="11">
        <f>683512.070308572/(10^3)</f>
        <v>683.51207030857199</v>
      </c>
      <c r="M14" s="11">
        <f>700706.538725485/(10^3)</f>
        <v>700.70653872548496</v>
      </c>
      <c r="N14" s="11">
        <f>735474.233772277/(10^3)</f>
        <v>735.47423377227699</v>
      </c>
      <c r="O14" s="11">
        <f>759609.246546103/(10^3)</f>
        <v>759.60924654610301</v>
      </c>
      <c r="P14" s="11">
        <f>785496.531597389/(10^3)</f>
        <v>785.49653159738898</v>
      </c>
      <c r="Q14" s="11">
        <f>8008.06119887054/(10^3)</f>
        <v>8.0080611988705392</v>
      </c>
      <c r="R14" s="11">
        <f>783551.153286511/(10^3)</f>
        <v>783.55115328651095</v>
      </c>
      <c r="S14" s="11">
        <f>718453.031694986/(10^3)</f>
        <v>718.45303169498607</v>
      </c>
      <c r="T14" s="11">
        <f>698609.856559121/(10^3)</f>
        <v>698.609856559121</v>
      </c>
      <c r="U14" s="11">
        <f>695125.86725834/(10^3)</f>
        <v>695.12586725834001</v>
      </c>
      <c r="V14" s="11">
        <f>676698.083848351/(10^3)</f>
        <v>676.69808384835108</v>
      </c>
      <c r="W14" s="11">
        <f>67278872.6038097/(10^3)</f>
        <v>67278.872603809694</v>
      </c>
      <c r="X14" s="11">
        <f>681014.628139075/(10^3)</f>
        <v>681.01462813907506</v>
      </c>
      <c r="Y14" s="11">
        <f>668351.123647431/(10^3)</f>
        <v>668.351123647431</v>
      </c>
      <c r="Z14" s="11">
        <f>680143.427116123/(10^3)</f>
        <v>680.14342711612301</v>
      </c>
      <c r="AA14" s="11">
        <f>699533.386539157/(10^3)</f>
        <v>699.53338653915705</v>
      </c>
      <c r="AB14" s="11">
        <f>724461.483774047/(10^3)</f>
        <v>724.461483774047</v>
      </c>
      <c r="AC14" s="11">
        <f>7276.28730477712/(10^3)</f>
        <v>7.2762873047771199</v>
      </c>
      <c r="AD14" s="11">
        <f>740941.295600499/(10^3)</f>
        <v>740.94129560049907</v>
      </c>
      <c r="AE14" s="11">
        <f>748991.123454758/(10^3)</f>
        <v>748.99112345475794</v>
      </c>
      <c r="AF14" s="11">
        <f>766376.840310529/(10^3)</f>
        <v>766.37684031052902</v>
      </c>
      <c r="AG14" s="11">
        <f>796596.128991998/(10^3)</f>
        <v>796.59612899199806</v>
      </c>
      <c r="AH14" s="11">
        <f>829781.142485467/(10^3)</f>
        <v>829.78114248546706</v>
      </c>
      <c r="AI14" s="11">
        <f>86568633.0007891/(10^3)</f>
        <v>86568.633000789108</v>
      </c>
      <c r="AJ14" s="11">
        <f>895975.74220057/(10^3)</f>
        <v>895.97574220056993</v>
      </c>
      <c r="AK14" s="11">
        <f>892530.60924997/(10^3)</f>
        <v>892.53060924996998</v>
      </c>
      <c r="AL14" s="11">
        <f>936846.978652936/(10^3)</f>
        <v>936.84697865293606</v>
      </c>
      <c r="AM14" s="11">
        <f>942308.771608609/(10^3)</f>
        <v>942.30877160860905</v>
      </c>
      <c r="AN14" s="11">
        <f>978990.477703784/(10^3)</f>
        <v>978.99047770378399</v>
      </c>
      <c r="AO14" s="11">
        <f>10191.9870783037/(10^3)</f>
        <v>10.191987078303701</v>
      </c>
      <c r="AP14" s="11">
        <f>1040732.51396615/(10^3)</f>
        <v>1040.73251396615</v>
      </c>
      <c r="AQ14" s="11">
        <f>959971.162920011/(10^3)</f>
        <v>959.97116292001101</v>
      </c>
      <c r="AR14" s="11">
        <f>920283.592333081/(10^3)</f>
        <v>920.28359233308095</v>
      </c>
      <c r="AS14" s="11">
        <f>894847.642190033/(10^3)</f>
        <v>894.84764219003296</v>
      </c>
      <c r="AT14" s="11">
        <f>870742.69235197/(10^3)</f>
        <v>870.74269235197005</v>
      </c>
      <c r="AU14" s="11">
        <f>85799561.9956817/(10^3)</f>
        <v>85799.56199568171</v>
      </c>
      <c r="AV14" s="11">
        <f>845250.66548662/(10^3)</f>
        <v>845.25066548662005</v>
      </c>
      <c r="AW14" s="11">
        <f>880724.535023717/(10^3)</f>
        <v>880.72453502371695</v>
      </c>
      <c r="AX14" s="11">
        <f>944944.793349811/(10^3)</f>
        <v>944.94479334981099</v>
      </c>
      <c r="AY14" s="11">
        <f>956707.867882474/(10^3)</f>
        <v>956.70786788247392</v>
      </c>
      <c r="AZ14" s="11">
        <f>999341.099772985/(10^3)</f>
        <v>999.34109977298499</v>
      </c>
      <c r="BA14" s="11">
        <f>10352.7313326924/(10^3)</f>
        <v>10.3527313326924</v>
      </c>
      <c r="BB14" s="11">
        <f>1077676.01772529/(10^3)</f>
        <v>1077.67601772529</v>
      </c>
      <c r="BC14" s="11">
        <f>990871.802447302/(10^3)</f>
        <v>990.871802447302</v>
      </c>
      <c r="BD14" s="11">
        <f>959346.269713483/(10^3)</f>
        <v>959.34626971348303</v>
      </c>
      <c r="BE14" s="11">
        <f>935918.251437571/(10^3)</f>
        <v>935.91825143757103</v>
      </c>
      <c r="BF14" s="11">
        <f>971717.305169665/(10^3)</f>
        <v>971.717305169665</v>
      </c>
      <c r="BG14" s="11">
        <f>95800024.7192582/(10^3)</f>
        <v>95800.024719258203</v>
      </c>
      <c r="BH14" s="11">
        <f>982039.234689166/(10^3)</f>
        <v>982.03923468916594</v>
      </c>
      <c r="BI14" s="11">
        <f>1014452.12584998/(10^3)</f>
        <v>1014.45212584998</v>
      </c>
      <c r="BJ14" s="11">
        <f>1058123.05494347/(10^3)</f>
        <v>1058.1230549434702</v>
      </c>
      <c r="BK14" s="11">
        <f>1100192.02107946/(10^3)</f>
        <v>1100.1920210794599</v>
      </c>
      <c r="BL14" s="11">
        <f>1133350.16632358/(10^3)</f>
        <v>1133.35016632358</v>
      </c>
      <c r="BM14" s="11">
        <f>11685.2051625731/(10^3)</f>
        <v>11.6852051625731</v>
      </c>
      <c r="BN14" s="11">
        <f>1148475.10521039/(10^3)</f>
        <v>1148.47510521039</v>
      </c>
      <c r="BO14" s="11">
        <f>1089395.17591181/(10^3)</f>
        <v>1089.3951759118099</v>
      </c>
      <c r="BP14" s="11">
        <f>1064373.06324552/(10^3)</f>
        <v>1064.3730632455199</v>
      </c>
      <c r="BQ14" s="11">
        <f>1062952.48065165/(10^3)</f>
        <v>1062.9524806516501</v>
      </c>
      <c r="BR14" s="11">
        <f>1114954.52628429/(10^3)</f>
        <v>1114.9545262842901</v>
      </c>
      <c r="BS14" s="11">
        <f>113943018.077939/(10^3)</f>
        <v>113943.01807793901</v>
      </c>
      <c r="BT14" s="11">
        <f>1155092.71521596/(10^3)</f>
        <v>1155.09271521596</v>
      </c>
      <c r="BU14" s="11">
        <f>1208647.60582172/(10^3)</f>
        <v>1208.6476058217202</v>
      </c>
      <c r="BV14" s="11">
        <f>1228978.94729975/(10^3)</f>
        <v>1228.97894729975</v>
      </c>
      <c r="BW14" s="11">
        <f>1265571.4885542/(10^3)</f>
        <v>1265.5714885542</v>
      </c>
      <c r="BX14" s="11">
        <f>1287183.48356665/(10^3)</f>
        <v>1287.18348356665</v>
      </c>
      <c r="BY14" s="11">
        <f>13143.5348326206/(10^3)</f>
        <v>13.143534832620601</v>
      </c>
      <c r="BZ14" s="11">
        <f>1372229.72920815/(10^3)</f>
        <v>1372.22972920815</v>
      </c>
      <c r="CA14" s="11">
        <f>1278787.82198858/(10^3)</f>
        <v>1278.7878219885802</v>
      </c>
      <c r="CB14" s="11">
        <f>1240557.10675196/(10^3)</f>
        <v>1240.55710675196</v>
      </c>
      <c r="CC14" s="12"/>
      <c r="CZ14" s="11">
        <v>800.80611988705448</v>
      </c>
      <c r="DA14" s="11">
        <v>727.62873047771166</v>
      </c>
      <c r="DB14" s="11">
        <v>1019.1987078303745</v>
      </c>
      <c r="DC14" s="11">
        <v>1035.2731332692447</v>
      </c>
      <c r="DD14" s="11">
        <v>1168.5205162573088</v>
      </c>
      <c r="DE14" s="11">
        <v>1314.3534832620644</v>
      </c>
      <c r="DG14" s="11">
        <v>696.70376406072239</v>
      </c>
      <c r="DH14" s="11">
        <v>672.78872603809714</v>
      </c>
      <c r="DI14" s="11">
        <v>865.68633000789066</v>
      </c>
      <c r="DJ14" s="11">
        <v>857.99561995681654</v>
      </c>
      <c r="DK14" s="11">
        <v>958.00024719258192</v>
      </c>
      <c r="DL14" s="11">
        <v>1139.430180779387</v>
      </c>
      <c r="DN14" s="11"/>
    </row>
    <row r="15" spans="1:118" outlineLevel="1" x14ac:dyDescent="0.25">
      <c r="D15" s="10" t="s">
        <v>89</v>
      </c>
      <c r="E15" s="10" t="s">
        <v>77</v>
      </c>
      <c r="F15" s="10" t="s">
        <v>180</v>
      </c>
      <c r="G15" s="10"/>
      <c r="H15" s="62"/>
      <c r="I15" s="11">
        <f>384458/(10^3)</f>
        <v>384.45800000000003</v>
      </c>
      <c r="J15" s="11">
        <f>395706.352499704/(10^3)</f>
        <v>395.706352499704</v>
      </c>
      <c r="K15" s="11">
        <f>38707459.4874305/(10^3)</f>
        <v>38707.459487430497</v>
      </c>
      <c r="L15" s="11">
        <f>406267.438221923/(10^3)</f>
        <v>406.26743822192304</v>
      </c>
      <c r="M15" s="11">
        <f>423653.802851817/(10^3)</f>
        <v>423.65380285181698</v>
      </c>
      <c r="N15" s="11">
        <f>459813.039939224/(10^3)</f>
        <v>459.81303993922404</v>
      </c>
      <c r="O15" s="11">
        <f>468385.725125248/(10^3)</f>
        <v>468.38572512524803</v>
      </c>
      <c r="P15" s="11">
        <f>485633.297437247/(10^3)</f>
        <v>485.63329743724699</v>
      </c>
      <c r="Q15" s="11">
        <f>4962.54064333634/(10^3)</f>
        <v>4.9625406433363395</v>
      </c>
      <c r="R15" s="11">
        <f>503171.1431075/(10^3)</f>
        <v>503.17114310749997</v>
      </c>
      <c r="S15" s="11">
        <f>464381.544967198/(10^3)</f>
        <v>464.38154496719801</v>
      </c>
      <c r="T15" s="11">
        <f>456925.030501693/(10^3)</f>
        <v>456.92503050169302</v>
      </c>
      <c r="U15" s="11">
        <f>447915.011996632/(10^3)</f>
        <v>447.91501199663196</v>
      </c>
      <c r="V15" s="11">
        <f>446395.796208526/(10^3)</f>
        <v>446.39579620852601</v>
      </c>
      <c r="W15" s="11">
        <f>45046824.5194668/(10^3)</f>
        <v>45046.824519466805</v>
      </c>
      <c r="X15" s="11">
        <f>461735.306484553/(10^3)</f>
        <v>461.73530648455295</v>
      </c>
      <c r="Y15" s="11">
        <f>468039.014698812/(10^3)</f>
        <v>468.03901469881197</v>
      </c>
      <c r="Z15" s="11">
        <f>513648.317884015/(10^3)</f>
        <v>513.648317884015</v>
      </c>
      <c r="AA15" s="11">
        <f>520019.496093535/(10^3)</f>
        <v>520.01949609353494</v>
      </c>
      <c r="AB15" s="11">
        <f>541972.628820589/(10^3)</f>
        <v>541.97262882058908</v>
      </c>
      <c r="AC15" s="11">
        <f>5462.06195736901/(10^3)</f>
        <v>5.4620619573690101</v>
      </c>
      <c r="AD15" s="11">
        <f>563162.430859263/(10^3)</f>
        <v>563.16243085926305</v>
      </c>
      <c r="AE15" s="11">
        <f>567664.832554573/(10^3)</f>
        <v>567.66483255457297</v>
      </c>
      <c r="AF15" s="11">
        <f>583667.226420917/(10^3)</f>
        <v>583.66722642091702</v>
      </c>
      <c r="AG15" s="11">
        <f>606632.237487947/(10^3)</f>
        <v>606.63223748794701</v>
      </c>
      <c r="AH15" s="11">
        <f>626737.434399199/(10^3)</f>
        <v>626.73743439919895</v>
      </c>
      <c r="AI15" s="11">
        <f>64064531.6417915/(10^3)</f>
        <v>64064.531641791502</v>
      </c>
      <c r="AJ15" s="11">
        <f>670364.717486484/(10^3)</f>
        <v>670.36471748648398</v>
      </c>
      <c r="AK15" s="11">
        <f>691703.683910361/(10^3)</f>
        <v>691.70368391036106</v>
      </c>
      <c r="AL15" s="11">
        <f>710815.243564971/(10^3)</f>
        <v>710.81524356497107</v>
      </c>
      <c r="AM15" s="11">
        <f>742214.682197302/(10^3)</f>
        <v>742.21468219730195</v>
      </c>
      <c r="AN15" s="11">
        <f>764047.372117407/(10^3)</f>
        <v>764.04737211740701</v>
      </c>
      <c r="AO15" s="11">
        <f>7831.58775315117/(10^3)</f>
        <v>7.8315877531511697</v>
      </c>
      <c r="AP15" s="11">
        <f>816808.949766176/(10^3)</f>
        <v>816.80894976617606</v>
      </c>
      <c r="AQ15" s="11">
        <f>759708.219260054/(10^3)</f>
        <v>759.70821926005397</v>
      </c>
      <c r="AR15" s="11">
        <f>726529.197378616/(10^3)</f>
        <v>726.529197378616</v>
      </c>
      <c r="AS15" s="11">
        <f>713738.074008832/(10^3)</f>
        <v>713.73807400883197</v>
      </c>
      <c r="AT15" s="11">
        <f>694519.711323421/(10^3)</f>
        <v>694.51971132342101</v>
      </c>
      <c r="AU15" s="11">
        <f>69075752.0580019/(10^3)</f>
        <v>69075.752058001905</v>
      </c>
      <c r="AV15" s="11">
        <f>686109.376090197/(10^3)</f>
        <v>686.10937609019697</v>
      </c>
      <c r="AW15" s="11">
        <f>677062.241401615/(10^3)</f>
        <v>677.06224140161498</v>
      </c>
      <c r="AX15" s="11">
        <f>663421.623816553/(10^3)</f>
        <v>663.42162381655305</v>
      </c>
      <c r="AY15" s="11">
        <f>662039.571877086/(10^3)</f>
        <v>662.0395718770859</v>
      </c>
      <c r="AZ15" s="11">
        <f>648537.192544959/(10^3)</f>
        <v>648.537192544959</v>
      </c>
      <c r="BA15" s="11">
        <f>6366.55234089897/(10^3)</f>
        <v>6.3665523408989699</v>
      </c>
      <c r="BB15" s="11">
        <f>627931.226962646/(10^3)</f>
        <v>627.93122696264595</v>
      </c>
      <c r="BC15" s="11">
        <f>610149.089993536/(10^3)</f>
        <v>610.14908999353599</v>
      </c>
      <c r="BD15" s="11">
        <f>607617.932357659/(10^3)</f>
        <v>607.61793235765901</v>
      </c>
      <c r="BE15" s="11">
        <f>597174.289967943/(10^3)</f>
        <v>597.17428996794297</v>
      </c>
      <c r="BF15" s="11">
        <f>603596.607021064/(10^3)</f>
        <v>603.59660702106407</v>
      </c>
      <c r="BG15" s="11">
        <f>60873911.9698807/(10^3)</f>
        <v>60873.911969880697</v>
      </c>
      <c r="BH15" s="11">
        <f>623509.11515422/(10^3)</f>
        <v>623.50911515422001</v>
      </c>
      <c r="BI15" s="11">
        <f>646579.2787435/(10^3)</f>
        <v>646.57927874350003</v>
      </c>
      <c r="BJ15" s="11">
        <f>697185.487930642/(10^3)</f>
        <v>697.18548793064201</v>
      </c>
      <c r="BK15" s="11">
        <f>725665.148673415/(10^3)</f>
        <v>725.66514867341493</v>
      </c>
      <c r="BL15" s="11">
        <f>760638.544994345/(10^3)</f>
        <v>760.63854499434501</v>
      </c>
      <c r="BM15" s="11">
        <f>7817.16825149682/(10^3)</f>
        <v>7.8171682514968195</v>
      </c>
      <c r="BN15" s="11">
        <f>772517.072286611/(10^3)</f>
        <v>772.51707228661098</v>
      </c>
      <c r="BO15" s="11">
        <f>737575.740394419/(10^3)</f>
        <v>737.57574039441897</v>
      </c>
      <c r="BP15" s="11">
        <f>708091.479042824/(10^3)</f>
        <v>708.09147904282406</v>
      </c>
      <c r="BQ15" s="11">
        <f>692436.204871725/(10^3)</f>
        <v>692.43620487172507</v>
      </c>
      <c r="BR15" s="11">
        <f>724834.541587895/(10^3)</f>
        <v>724.83454158789505</v>
      </c>
      <c r="BS15" s="11">
        <f>71462176.7080951/(10^3)</f>
        <v>71462.17670809511</v>
      </c>
      <c r="BT15" s="11">
        <f>705316.206513702/(10^3)</f>
        <v>705.31620651370201</v>
      </c>
      <c r="BU15" s="11">
        <f>712360.942593897/(10^3)</f>
        <v>712.36094259389699</v>
      </c>
      <c r="BV15" s="11">
        <f>744301.642236017/(10^3)</f>
        <v>744.30164223601707</v>
      </c>
      <c r="BW15" s="11">
        <f>770721.755511472/(10^3)</f>
        <v>770.721755511472</v>
      </c>
      <c r="BX15" s="11">
        <f>775562.569843755/(10^3)</f>
        <v>775.562569843755</v>
      </c>
      <c r="BY15" s="11">
        <f>7768.50637526752/(10^3)</f>
        <v>7.7685063752675196</v>
      </c>
      <c r="BZ15" s="11">
        <f>753627.40401967/(10^3)</f>
        <v>753.62740401966994</v>
      </c>
      <c r="CA15" s="11">
        <f>678887.996873248/(10^3)</f>
        <v>678.88799687324797</v>
      </c>
      <c r="CB15" s="11">
        <f>676591.847589276/(10^3)</f>
        <v>676.59184758927609</v>
      </c>
      <c r="CC15" s="12"/>
      <c r="CZ15" s="11">
        <v>496.25406433363446</v>
      </c>
      <c r="DA15" s="11">
        <v>546.20619573690101</v>
      </c>
      <c r="DB15" s="11">
        <v>783.15877531511694</v>
      </c>
      <c r="DC15" s="11">
        <v>636.65523408989702</v>
      </c>
      <c r="DD15" s="11">
        <v>781.71682514968245</v>
      </c>
      <c r="DE15" s="11">
        <v>776.85063752675183</v>
      </c>
      <c r="DG15" s="11">
        <v>387.07459487430492</v>
      </c>
      <c r="DH15" s="11">
        <v>450.46824519466799</v>
      </c>
      <c r="DI15" s="11">
        <v>640.64531641791518</v>
      </c>
      <c r="DJ15" s="11">
        <v>690.75752058001922</v>
      </c>
      <c r="DK15" s="11">
        <v>608.73911969880737</v>
      </c>
      <c r="DL15" s="11">
        <v>714.6217670809508</v>
      </c>
      <c r="DN15" s="11"/>
    </row>
    <row r="16" spans="1:118" outlineLevel="1" x14ac:dyDescent="0.25">
      <c r="D16" s="10" t="s">
        <v>90</v>
      </c>
      <c r="E16" s="10" t="s">
        <v>83</v>
      </c>
      <c r="F16" s="10" t="s">
        <v>150</v>
      </c>
      <c r="G16" s="10"/>
      <c r="H16" s="62"/>
      <c r="I16" s="11">
        <f>1407836/(10^3)</f>
        <v>1407.836</v>
      </c>
      <c r="J16" s="11">
        <f>1438110.2138582/(10^3)</f>
        <v>1438.1102138582</v>
      </c>
      <c r="K16" s="11">
        <f>150542871.2356/(10^3)</f>
        <v>150542.8712356</v>
      </c>
      <c r="L16" s="11">
        <f>1525303.4013505/(10^3)</f>
        <v>1525.3034013505001</v>
      </c>
      <c r="M16" s="11">
        <f>1491000.81560781/(10^3)</f>
        <v>1491.00081560781</v>
      </c>
      <c r="N16" s="11">
        <f>1596227.050946/(10^3)</f>
        <v>1596.227050946</v>
      </c>
      <c r="O16" s="11">
        <f>1660678.00524949/(10^3)</f>
        <v>1660.6780052494901</v>
      </c>
      <c r="P16" s="11">
        <f>1716149.21890998/(10^3)</f>
        <v>1716.1492189099799</v>
      </c>
      <c r="Q16" s="11">
        <f>17463.0428568817/(10^3)</f>
        <v>17.4630428568817</v>
      </c>
      <c r="R16" s="11">
        <f>1760272.42292235/(10^3)</f>
        <v>1760.27242292235</v>
      </c>
      <c r="S16" s="11">
        <f>1743543.46780438/(10^3)</f>
        <v>1743.54346780438</v>
      </c>
      <c r="T16" s="11">
        <f>1698563.66224748/(10^3)</f>
        <v>1698.5636622474799</v>
      </c>
      <c r="U16" s="11">
        <f>1663130.46285107/(10^3)</f>
        <v>1663.1304628510702</v>
      </c>
      <c r="V16" s="11">
        <f>1727567.42604246/(10^3)</f>
        <v>1727.5674260424598</v>
      </c>
      <c r="W16" s="11">
        <f>167597693.318713/(10^3)</f>
        <v>167597.69331871302</v>
      </c>
      <c r="X16" s="11">
        <f>1704734.69777616/(10^3)</f>
        <v>1704.7346977761599</v>
      </c>
      <c r="Y16" s="11">
        <f>1687828.94269684/(10^3)</f>
        <v>1687.8289426968399</v>
      </c>
      <c r="Z16" s="11">
        <f>1835053.86462194/(10^3)</f>
        <v>1835.05386462194</v>
      </c>
      <c r="AA16" s="11">
        <f>1874474.27606765/(10^3)</f>
        <v>1874.47427606765</v>
      </c>
      <c r="AB16" s="11">
        <f>1886519.49598153/(10^3)</f>
        <v>1886.5194959815301</v>
      </c>
      <c r="AC16" s="11">
        <f>19291.0203187309/(10^3)</f>
        <v>19.291020318730901</v>
      </c>
      <c r="AD16" s="11">
        <f>2017196.32396248/(10^3)</f>
        <v>2017.1963239624802</v>
      </c>
      <c r="AE16" s="11">
        <f>2111239.20085829/(10^3)</f>
        <v>2111.2392008582897</v>
      </c>
      <c r="AF16" s="11">
        <f>2206089.84851604/(10^3)</f>
        <v>2206.0898485160401</v>
      </c>
      <c r="AG16" s="11">
        <f>2293294.15124069/(10^3)</f>
        <v>2293.2941512406901</v>
      </c>
      <c r="AH16" s="11">
        <f>2359203.16285473/(10^3)</f>
        <v>2359.2031628547302</v>
      </c>
      <c r="AI16" s="11">
        <f>241855114.786679/(10^3)</f>
        <v>241855.11478667901</v>
      </c>
      <c r="AJ16" s="11">
        <f>2473361.10580543/(10^3)</f>
        <v>2473.3611058054303</v>
      </c>
      <c r="AK16" s="11">
        <f>2534435.36984217/(10^3)</f>
        <v>2534.4353698421696</v>
      </c>
      <c r="AL16" s="11">
        <f>2617033.69787063/(10^3)</f>
        <v>2617.03369787063</v>
      </c>
      <c r="AM16" s="11">
        <f>2694044.21017829/(10^3)</f>
        <v>2694.0442101782901</v>
      </c>
      <c r="AN16" s="11">
        <f>2734628.95469528/(10^3)</f>
        <v>2734.6289546952803</v>
      </c>
      <c r="AO16" s="11">
        <f>27793.2255049545/(10^3)</f>
        <v>27.793225504954499</v>
      </c>
      <c r="AP16" s="11">
        <f>2789836.22498988/(10^3)</f>
        <v>2789.8362249898801</v>
      </c>
      <c r="AQ16" s="11">
        <f>2687775.68378424/(10^3)</f>
        <v>2687.7756837842398</v>
      </c>
      <c r="AR16" s="11">
        <f>2596648.25354611/(10^3)</f>
        <v>2596.64825354611</v>
      </c>
      <c r="AS16" s="11">
        <f>2566188.93164581/(10^3)</f>
        <v>2566.18893164581</v>
      </c>
      <c r="AT16" s="11">
        <f>2501592.07715135/(10^3)</f>
        <v>2501.5920771513502</v>
      </c>
      <c r="AU16" s="11">
        <f>244250766.070886/(10^3)</f>
        <v>244250.76607088599</v>
      </c>
      <c r="AV16" s="11">
        <f>2377518.24599395/(10^3)</f>
        <v>2377.5182459939501</v>
      </c>
      <c r="AW16" s="11">
        <f>2338114.88301155/(10^3)</f>
        <v>2338.1148830115503</v>
      </c>
      <c r="AX16" s="11">
        <f>2312516.73575871/(10^3)</f>
        <v>2312.5167357587102</v>
      </c>
      <c r="AY16" s="11">
        <f>2259877.40056119/(10^3)</f>
        <v>2259.8774005611904</v>
      </c>
      <c r="AZ16" s="11">
        <f>2244001.68814726/(10^3)</f>
        <v>2244.0016881472598</v>
      </c>
      <c r="BA16" s="11">
        <f>22176.2537575189/(10^3)</f>
        <v>22.1762537575189</v>
      </c>
      <c r="BB16" s="11">
        <f>2182626.6930461/(10^3)</f>
        <v>2182.6266930461002</v>
      </c>
      <c r="BC16" s="11">
        <f>2136679.8683807/(10^3)</f>
        <v>2136.6798683806996</v>
      </c>
      <c r="BD16" s="11">
        <f>2077391.61566174/(10^3)</f>
        <v>2077.3916156617402</v>
      </c>
      <c r="BE16" s="11">
        <f>2070409.48110858/(10^3)</f>
        <v>2070.4094811085802</v>
      </c>
      <c r="BF16" s="11">
        <f>2029399.27016684/(10^3)</f>
        <v>2029.3992701668399</v>
      </c>
      <c r="BG16" s="11">
        <f>204575987.839384/(10^3)</f>
        <v>204575.98783938398</v>
      </c>
      <c r="BH16" s="11">
        <f>2071263.46490194/(10^3)</f>
        <v>2071.2634649019401</v>
      </c>
      <c r="BI16" s="11">
        <f>2102089.8516808/(10^3)</f>
        <v>2102.0898516807997</v>
      </c>
      <c r="BJ16" s="11">
        <f>2192816.06487862/(10^3)</f>
        <v>2192.8160648786202</v>
      </c>
      <c r="BK16" s="11">
        <f>2224372.43543655/(10^3)</f>
        <v>2224.3724354365499</v>
      </c>
      <c r="BL16" s="11">
        <f>2299416.44944477/(10^3)</f>
        <v>2299.41644944477</v>
      </c>
      <c r="BM16" s="11">
        <f>23747.7236351565/(10^3)</f>
        <v>23.7477236351565</v>
      </c>
      <c r="BN16" s="11">
        <f>2439538.15142151/(10^3)</f>
        <v>2439.5381514215101</v>
      </c>
      <c r="BO16" s="11">
        <f>2338354.57448961/(10^3)</f>
        <v>2338.3545744896096</v>
      </c>
      <c r="BP16" s="11">
        <f>2303720.37246019/(10^3)</f>
        <v>2303.72037246019</v>
      </c>
      <c r="BQ16" s="11">
        <f>2291109.80390899/(10^3)</f>
        <v>2291.1098039089902</v>
      </c>
      <c r="BR16" s="11">
        <f>2394746.42876697/(10^3)</f>
        <v>2394.74642876697</v>
      </c>
      <c r="BS16" s="11">
        <f>236206533.667111/(10^3)</f>
        <v>236206.53366711101</v>
      </c>
      <c r="BT16" s="11">
        <f>2434713.71613345/(10^3)</f>
        <v>2434.7137161334504</v>
      </c>
      <c r="BU16" s="11">
        <f>2432602.98105257/(10^3)</f>
        <v>2432.6029810525702</v>
      </c>
      <c r="BV16" s="11">
        <f>2476643.15990694/(10^3)</f>
        <v>2476.6431599069401</v>
      </c>
      <c r="BW16" s="11">
        <f>2587856.20623318/(10^3)</f>
        <v>2587.8562062331803</v>
      </c>
      <c r="BX16" s="11">
        <f>2618608.01106354/(10^3)</f>
        <v>2618.6080110635398</v>
      </c>
      <c r="BY16" s="11">
        <f>26745.3105896865/(10^3)</f>
        <v>26.7453105896865</v>
      </c>
      <c r="BZ16" s="11">
        <f>2795241.60385568/(10^3)</f>
        <v>2795.2416038556803</v>
      </c>
      <c r="CA16" s="11">
        <f>2578923.97893469/(10^3)</f>
        <v>2578.9239789346898</v>
      </c>
      <c r="CB16" s="11">
        <f>2517593.28190603/(10^3)</f>
        <v>2517.5932819060299</v>
      </c>
      <c r="CC16" s="12"/>
      <c r="CZ16" s="11">
        <v>1746.3042856881682</v>
      </c>
      <c r="DA16" s="11">
        <v>1929.1020318730925</v>
      </c>
      <c r="DB16" s="11">
        <v>2779.3225504954489</v>
      </c>
      <c r="DC16" s="11">
        <v>2217.6253757518903</v>
      </c>
      <c r="DD16" s="11">
        <v>2374.7723635156485</v>
      </c>
      <c r="DE16" s="11">
        <v>2674.5310589686546</v>
      </c>
      <c r="DG16" s="11">
        <v>1505.4287123560014</v>
      </c>
      <c r="DH16" s="11">
        <v>1675.97693318713</v>
      </c>
      <c r="DI16" s="11">
        <v>2418.5511478667895</v>
      </c>
      <c r="DJ16" s="11">
        <v>2442.5076607088558</v>
      </c>
      <c r="DK16" s="11">
        <v>2045.759878393839</v>
      </c>
      <c r="DL16" s="11">
        <v>2362.0653366711072</v>
      </c>
      <c r="DN16" s="11"/>
    </row>
    <row r="17" spans="4:118" outlineLevel="1" x14ac:dyDescent="0.25">
      <c r="D17" s="10" t="s">
        <v>92</v>
      </c>
      <c r="E17" s="10" t="s">
        <v>83</v>
      </c>
      <c r="F17" s="10" t="s">
        <v>150</v>
      </c>
      <c r="G17" s="10"/>
      <c r="H17" s="62"/>
      <c r="I17" s="11">
        <f>1147753/(10^3)</f>
        <v>1147.7529999999999</v>
      </c>
      <c r="J17" s="11">
        <f>1202895.26322354/(10^3)</f>
        <v>1202.89526322354</v>
      </c>
      <c r="K17" s="11">
        <f>118732101.702267/(10^3)</f>
        <v>118732.10170226701</v>
      </c>
      <c r="L17" s="11">
        <f>1239848.65593774/(10^3)</f>
        <v>1239.8486559377402</v>
      </c>
      <c r="M17" s="11">
        <f>1238930.6484937/(10^3)</f>
        <v>1238.9306484936999</v>
      </c>
      <c r="N17" s="11">
        <f>1335552.3843925/(10^3)</f>
        <v>1335.5523843925</v>
      </c>
      <c r="O17" s="11">
        <f>1368458.19440051/(10^3)</f>
        <v>1368.4581944005101</v>
      </c>
      <c r="P17" s="11">
        <f>1394705.08004615/(10^3)</f>
        <v>1394.70508004615</v>
      </c>
      <c r="Q17" s="11">
        <f>14401.5459481121/(10^3)</f>
        <v>14.4015459481121</v>
      </c>
      <c r="R17" s="11">
        <f>1434639.65347605/(10^3)</f>
        <v>1434.6396534760499</v>
      </c>
      <c r="S17" s="11">
        <f>1421663.28085975/(10^3)</f>
        <v>1421.6632808597501</v>
      </c>
      <c r="T17" s="11">
        <f>1357884.99351232/(10^3)</f>
        <v>1357.8849935123201</v>
      </c>
      <c r="U17" s="11">
        <f>1334497.32464353/(10^3)</f>
        <v>1334.49732464353</v>
      </c>
      <c r="V17" s="11">
        <f>1322180.03617297/(10^3)</f>
        <v>1322.1800361729699</v>
      </c>
      <c r="W17" s="11">
        <f>133328019.990749/(10^3)</f>
        <v>133328.01999074899</v>
      </c>
      <c r="X17" s="11">
        <f>1322746.35183156/(10^3)</f>
        <v>1322.7463518315601</v>
      </c>
      <c r="Y17" s="11">
        <f>1388270.99794727/(10^3)</f>
        <v>1388.27099794727</v>
      </c>
      <c r="Z17" s="11">
        <f>1466681.06835576/(10^3)</f>
        <v>1466.6810683557601</v>
      </c>
      <c r="AA17" s="11">
        <f>1526571.00713036/(10^3)</f>
        <v>1526.5710071303599</v>
      </c>
      <c r="AB17" s="11">
        <f>1539299.43634307/(10^3)</f>
        <v>1539.2994363430698</v>
      </c>
      <c r="AC17" s="11">
        <f>15991.7632585459/(10^3)</f>
        <v>15.9917632585459</v>
      </c>
      <c r="AD17" s="11">
        <f>1672852.32189522/(10^3)</f>
        <v>1672.85232189522</v>
      </c>
      <c r="AE17" s="11">
        <f>1719154.24273481/(10^3)</f>
        <v>1719.1542427348102</v>
      </c>
      <c r="AF17" s="11">
        <f>1791181.65966893/(10^3)</f>
        <v>1791.18165966893</v>
      </c>
      <c r="AG17" s="11">
        <f>1871910.09077418/(10^3)</f>
        <v>1871.9100907741799</v>
      </c>
      <c r="AH17" s="11">
        <f>1918908.3029192/(10^3)</f>
        <v>1918.9083029192</v>
      </c>
      <c r="AI17" s="11">
        <f>198454992.062516/(10^3)</f>
        <v>198454.99206251602</v>
      </c>
      <c r="AJ17" s="11">
        <f>2043279.99113263/(10^3)</f>
        <v>2043.2799911326301</v>
      </c>
      <c r="AK17" s="11">
        <f>2091893.56817743/(10^3)</f>
        <v>2091.8935681774301</v>
      </c>
      <c r="AL17" s="11">
        <f>2149562.442771/(10^3)</f>
        <v>2149.562442771</v>
      </c>
      <c r="AM17" s="11">
        <f>2202125.72490585/(10^3)</f>
        <v>2202.1257249058499</v>
      </c>
      <c r="AN17" s="11">
        <f>2285655.26013354/(10^3)</f>
        <v>2285.6552601335397</v>
      </c>
      <c r="AO17" s="11">
        <f>23711.878993875/(10^3)</f>
        <v>23.711878993875001</v>
      </c>
      <c r="AP17" s="11">
        <f>2308766.23062741/(10^3)</f>
        <v>2308.7662306274101</v>
      </c>
      <c r="AQ17" s="11">
        <f>2246067.06045077/(10^3)</f>
        <v>2246.06706045077</v>
      </c>
      <c r="AR17" s="11">
        <f>2194864.26297882/(10^3)</f>
        <v>2194.8642629788201</v>
      </c>
      <c r="AS17" s="11">
        <f>2160501.01412177/(10^3)</f>
        <v>2160.5010141217699</v>
      </c>
      <c r="AT17" s="11">
        <f>2106976.02200596/(10^3)</f>
        <v>2106.9760220059597</v>
      </c>
      <c r="AU17" s="11">
        <f>207962615.352696/(10^3)</f>
        <v>207962.61535269601</v>
      </c>
      <c r="AV17" s="11">
        <f>2031031.2734737/(10^3)</f>
        <v>2031.0312734737001</v>
      </c>
      <c r="AW17" s="11">
        <f>2021184.68387151/(10^3)</f>
        <v>2021.1846838715101</v>
      </c>
      <c r="AX17" s="11">
        <f>1993059.3494641/(10^3)</f>
        <v>1993.0593494641</v>
      </c>
      <c r="AY17" s="11">
        <f>1936711.84590864/(10^3)</f>
        <v>1936.71184590864</v>
      </c>
      <c r="AZ17" s="11">
        <f>1898175.43290096/(10^3)</f>
        <v>1898.17543290096</v>
      </c>
      <c r="BA17" s="11">
        <f>18729.9814347335/(10^3)</f>
        <v>18.729981434733503</v>
      </c>
      <c r="BB17" s="11">
        <f>1865950.95721888/(10^3)</f>
        <v>1865.9509572188801</v>
      </c>
      <c r="BC17" s="11">
        <f>1846393.90689228/(10^3)</f>
        <v>1846.39390689228</v>
      </c>
      <c r="BD17" s="11">
        <f>1842407.03708231/(10^3)</f>
        <v>1842.4070370823101</v>
      </c>
      <c r="BE17" s="11">
        <f>1793807.66766634/(10^3)</f>
        <v>1793.80766766634</v>
      </c>
      <c r="BF17" s="11">
        <f>1806045.54974209/(10^3)</f>
        <v>1806.0455497420901</v>
      </c>
      <c r="BG17" s="11">
        <f>177898189.628825/(10^3)</f>
        <v>177898.189628825</v>
      </c>
      <c r="BH17" s="11">
        <f>1854010.65434561/(10^3)</f>
        <v>1854.01065434561</v>
      </c>
      <c r="BI17" s="11">
        <f>1929960.59900505/(10^3)</f>
        <v>1929.96059900505</v>
      </c>
      <c r="BJ17" s="11">
        <f>2046611.49667862/(10^3)</f>
        <v>2046.6114966786201</v>
      </c>
      <c r="BK17" s="11">
        <f>2085577.6302389/(10^3)</f>
        <v>2085.5776302388999</v>
      </c>
      <c r="BL17" s="11">
        <f>2134223.54082196/(10^3)</f>
        <v>2134.2235408219603</v>
      </c>
      <c r="BM17" s="11">
        <f>22280.3884179327/(10^3)</f>
        <v>22.280388417932699</v>
      </c>
      <c r="BN17" s="11">
        <f>2326946.15156197/(10^3)</f>
        <v>2326.9461515619701</v>
      </c>
      <c r="BO17" s="11">
        <f>2103798.92635272/(10^3)</f>
        <v>2103.7989263527197</v>
      </c>
      <c r="BP17" s="11">
        <f>2071064.23352131/(10^3)</f>
        <v>2071.0642335213097</v>
      </c>
      <c r="BQ17" s="11">
        <f>2030048.3225436/(10^3)</f>
        <v>2030.0483225436001</v>
      </c>
      <c r="BR17" s="11">
        <f>2124236.91756013/(10^3)</f>
        <v>2124.2369175601298</v>
      </c>
      <c r="BS17" s="11">
        <f>213234269.373594/(10^3)</f>
        <v>213234.269373594</v>
      </c>
      <c r="BT17" s="11">
        <f>2166111.84670474/(10^3)</f>
        <v>2166.1118467047399</v>
      </c>
      <c r="BU17" s="11">
        <f>2118496.02102026/(10^3)</f>
        <v>2118.4960210202603</v>
      </c>
      <c r="BV17" s="11">
        <f>2233186.18046544/(10^3)</f>
        <v>2233.18618046544</v>
      </c>
      <c r="BW17" s="11">
        <f>2244317.0000452/(10^3)</f>
        <v>2244.3170000452001</v>
      </c>
      <c r="BX17" s="11">
        <f>2340310.482981/(10^3)</f>
        <v>2340.310482981</v>
      </c>
      <c r="BY17" s="11">
        <f>24288.5881898778/(10^3)</f>
        <v>24.2885881898778</v>
      </c>
      <c r="BZ17" s="11">
        <f>2543468.16316351/(10^3)</f>
        <v>2543.4681631635103</v>
      </c>
      <c r="CA17" s="11">
        <f>2417451.70955401/(10^3)</f>
        <v>2417.45170955401</v>
      </c>
      <c r="CB17" s="11">
        <f>2310169.44155526/(10^3)</f>
        <v>2310.1694415552602</v>
      </c>
      <c r="CC17" s="12"/>
      <c r="CZ17" s="11">
        <v>1440.1545948112075</v>
      </c>
      <c r="DA17" s="11">
        <v>1599.1763258545932</v>
      </c>
      <c r="DB17" s="11">
        <v>2371.1878993874961</v>
      </c>
      <c r="DC17" s="11">
        <v>1872.9981434733509</v>
      </c>
      <c r="DD17" s="11">
        <v>2228.0388417932691</v>
      </c>
      <c r="DE17" s="11">
        <v>2428.8588189877764</v>
      </c>
      <c r="DG17" s="11">
        <v>1187.3210170226741</v>
      </c>
      <c r="DH17" s="11">
        <v>1333.2801999074936</v>
      </c>
      <c r="DI17" s="11">
        <v>1984.549920625162</v>
      </c>
      <c r="DJ17" s="11">
        <v>2079.6261535269582</v>
      </c>
      <c r="DK17" s="11">
        <v>1778.9818962882455</v>
      </c>
      <c r="DL17" s="11">
        <v>2132.3426937359427</v>
      </c>
      <c r="DN17" s="11"/>
    </row>
    <row r="18" spans="4:118" outlineLevel="1" x14ac:dyDescent="0.25">
      <c r="D18" s="10" t="s">
        <v>94</v>
      </c>
      <c r="E18" s="10" t="s">
        <v>86</v>
      </c>
      <c r="F18" s="10" t="s">
        <v>180</v>
      </c>
      <c r="G18" s="10"/>
      <c r="H18" s="62"/>
      <c r="I18" s="11">
        <f>1384170/(10^3)</f>
        <v>1384.17</v>
      </c>
      <c r="J18" s="11">
        <f>1377580.04394489/(10^3)</f>
        <v>1377.5800439448899</v>
      </c>
      <c r="K18" s="11">
        <f>142609787.00972/(10^3)</f>
        <v>142609.78700971999</v>
      </c>
      <c r="L18" s="11">
        <f>1417250.76300979/(10^3)</f>
        <v>1417.25076300979</v>
      </c>
      <c r="M18" s="11">
        <f>1440210.24143201/(10^3)</f>
        <v>1440.21024143201</v>
      </c>
      <c r="N18" s="11">
        <f>1578858.659239/(10^3)</f>
        <v>1578.858659239</v>
      </c>
      <c r="O18" s="11">
        <f>1644023.97915496/(10^3)</f>
        <v>1644.02397915496</v>
      </c>
      <c r="P18" s="11">
        <f>1647044.79137035/(10^3)</f>
        <v>1647.0447913703499</v>
      </c>
      <c r="Q18" s="11">
        <f>17256.6060560408/(10^3)</f>
        <v>17.256606056040802</v>
      </c>
      <c r="R18" s="11">
        <f>1724013.61423349/(10^3)</f>
        <v>1724.01361423349</v>
      </c>
      <c r="S18" s="11">
        <f>1646659.44131014/(10^3)</f>
        <v>1646.65944131014</v>
      </c>
      <c r="T18" s="11">
        <f>1588293.3152426/(10^3)</f>
        <v>1588.2933152425999</v>
      </c>
      <c r="U18" s="11">
        <f>1577290.57018244/(10^3)</f>
        <v>1577.2905701824402</v>
      </c>
      <c r="V18" s="11">
        <f>1655255.53245151/(10^3)</f>
        <v>1655.2555324515099</v>
      </c>
      <c r="W18" s="11">
        <f>171390383.664289/(10^3)</f>
        <v>171390.38366428899</v>
      </c>
      <c r="X18" s="11">
        <f>1665551.86056794/(10^3)</f>
        <v>1665.5518605679399</v>
      </c>
      <c r="Y18" s="11">
        <f>1662988.59861825/(10^3)</f>
        <v>1662.9885986182501</v>
      </c>
      <c r="Z18" s="11">
        <f>1773946.0199902/(10^3)</f>
        <v>1773.9460199902001</v>
      </c>
      <c r="AA18" s="11">
        <f>1820382.24611496/(10^3)</f>
        <v>1820.38224611496</v>
      </c>
      <c r="AB18" s="11">
        <f>1841375.19803764/(10^3)</f>
        <v>1841.3751980376398</v>
      </c>
      <c r="AC18" s="11">
        <f>18673.7620490211/(10^3)</f>
        <v>18.6737620490211</v>
      </c>
      <c r="AD18" s="11">
        <f>1893542.91451737/(10^3)</f>
        <v>1893.54291451737</v>
      </c>
      <c r="AE18" s="11">
        <f>1938580.53480038/(10^3)</f>
        <v>1938.5805348003801</v>
      </c>
      <c r="AF18" s="11">
        <f>1958506.49955173/(10^3)</f>
        <v>1958.50649955173</v>
      </c>
      <c r="AG18" s="11">
        <f>1978312.80250502/(10^3)</f>
        <v>1978.31280250502</v>
      </c>
      <c r="AH18" s="11">
        <f>2057423.62119315/(10^3)</f>
        <v>2057.4236211931502</v>
      </c>
      <c r="AI18" s="11">
        <f>210894555.700931/(10^3)</f>
        <v>210894.555700931</v>
      </c>
      <c r="AJ18" s="11">
        <f>2178768.4817877/(10^3)</f>
        <v>2178.7684817877002</v>
      </c>
      <c r="AK18" s="11">
        <f>2249240.54274168/(10^3)</f>
        <v>2249.2405427416802</v>
      </c>
      <c r="AL18" s="11">
        <f>2308121.30047196/(10^3)</f>
        <v>2308.1213004719602</v>
      </c>
      <c r="AM18" s="11">
        <f>2355450.07933245/(10^3)</f>
        <v>2355.4500793324501</v>
      </c>
      <c r="AN18" s="11">
        <f>2363901.83592736/(10^3)</f>
        <v>2363.90183592736</v>
      </c>
      <c r="AO18" s="11">
        <f>24436.7274169366/(10^3)</f>
        <v>24.436727416936598</v>
      </c>
      <c r="AP18" s="11">
        <f>2495458.50974013/(10^3)</f>
        <v>2495.45850974013</v>
      </c>
      <c r="AQ18" s="11">
        <f>2311317.89570666/(10^3)</f>
        <v>2311.3178957066602</v>
      </c>
      <c r="AR18" s="11">
        <f>2302446.88321051/(10^3)</f>
        <v>2302.4468832105099</v>
      </c>
      <c r="AS18" s="11">
        <f>2290918.07602173/(10^3)</f>
        <v>2290.91807602173</v>
      </c>
      <c r="AT18" s="11">
        <f>2244149.52276315/(10^3)</f>
        <v>2244.1495227631499</v>
      </c>
      <c r="AU18" s="11">
        <f>221796219.955853/(10^3)</f>
        <v>221796.21995585298</v>
      </c>
      <c r="AV18" s="11">
        <f>2168640.19083994/(10^3)</f>
        <v>2168.6401908399403</v>
      </c>
      <c r="AW18" s="11">
        <f>2144138.70985603/(10^3)</f>
        <v>2144.1387098560299</v>
      </c>
      <c r="AX18" s="11">
        <f>2113178.22161282/(10^3)</f>
        <v>2113.1782216128199</v>
      </c>
      <c r="AY18" s="11">
        <f>2091778.1844342/(10^3)</f>
        <v>2091.7781844341998</v>
      </c>
      <c r="AZ18" s="11">
        <f>2084172.12277159/(10^3)</f>
        <v>2084.1721227715902</v>
      </c>
      <c r="BA18" s="11">
        <f>20528.2293037651/(10^3)</f>
        <v>20.528229303765098</v>
      </c>
      <c r="BB18" s="11">
        <f>2013141.61044916/(10^3)</f>
        <v>2013.14161044916</v>
      </c>
      <c r="BC18" s="11">
        <f>2006800.9269453/(10^3)</f>
        <v>2006.8009269453</v>
      </c>
      <c r="BD18" s="11">
        <f>1950907.2922094/(10^3)</f>
        <v>1950.9072922094001</v>
      </c>
      <c r="BE18" s="11">
        <f>1923968.87876207/(10^3)</f>
        <v>1923.9688787620701</v>
      </c>
      <c r="BF18" s="11">
        <f>2005375.12151563/(10^3)</f>
        <v>2005.3751215156301</v>
      </c>
      <c r="BG18" s="11">
        <f>208391029.868108/(10^3)</f>
        <v>208391.02986810802</v>
      </c>
      <c r="BH18" s="11">
        <f>2173248.0853256/(10^3)</f>
        <v>2173.2480853256002</v>
      </c>
      <c r="BI18" s="11">
        <f>2120282.08319566/(10^3)</f>
        <v>2120.2820831956597</v>
      </c>
      <c r="BJ18" s="11">
        <f>2148739.47085362/(10^3)</f>
        <v>2148.7394708536203</v>
      </c>
      <c r="BK18" s="11">
        <f>2235296.60220179/(10^3)</f>
        <v>2235.2966022017899</v>
      </c>
      <c r="BL18" s="11">
        <f>2303782.83052645/(10^3)</f>
        <v>2303.7828305264502</v>
      </c>
      <c r="BM18" s="11">
        <f>24163.0857508371/(10^3)</f>
        <v>24.163085750837102</v>
      </c>
      <c r="BN18" s="11">
        <f>2416785.23049588/(10^3)</f>
        <v>2416.7852304958801</v>
      </c>
      <c r="BO18" s="11">
        <f>2324015.8246815/(10^3)</f>
        <v>2324.0158246814999</v>
      </c>
      <c r="BP18" s="11">
        <f>2188986.77381374/(10^3)</f>
        <v>2188.98677381374</v>
      </c>
      <c r="BQ18" s="11">
        <f>1993527.72608583/(10^3)</f>
        <v>1993.52772608583</v>
      </c>
      <c r="BR18" s="11">
        <f>1938817.57899635/(10^3)</f>
        <v>1938.81757899635</v>
      </c>
      <c r="BS18" s="11">
        <f>175368716.653051/(10^3)</f>
        <v>175368.716653051</v>
      </c>
      <c r="BT18" s="11">
        <f>1724949.27388645/(10^3)</f>
        <v>1724.9492738864501</v>
      </c>
      <c r="BU18" s="11">
        <f>1747283.94094247/(10^3)</f>
        <v>1747.2839409424701</v>
      </c>
      <c r="BV18" s="11">
        <f>1911412.65928634/(10^3)</f>
        <v>1911.4126592863399</v>
      </c>
      <c r="BW18" s="11">
        <f>1937965.95371965/(10^3)</f>
        <v>1937.9659537196499</v>
      </c>
      <c r="BX18" s="11">
        <f>1984149.96692854/(10^3)</f>
        <v>1984.1499669285399</v>
      </c>
      <c r="BY18" s="11">
        <f>20274.5634888549/(10^3)</f>
        <v>20.274563488854898</v>
      </c>
      <c r="BZ18" s="11">
        <f>2078911.61824109/(10^3)</f>
        <v>2078.9116182410903</v>
      </c>
      <c r="CA18" s="11">
        <f>1960718.08513907/(10^3)</f>
        <v>1960.7180851390699</v>
      </c>
      <c r="CB18" s="11">
        <f>1958356.13239316/(10^3)</f>
        <v>1958.3561323931599</v>
      </c>
      <c r="CC18" s="12"/>
      <c r="CZ18" s="11">
        <v>1725.660605604078</v>
      </c>
      <c r="DA18" s="11">
        <v>1867.3762049021059</v>
      </c>
      <c r="DB18" s="11">
        <v>2443.6727416936633</v>
      </c>
      <c r="DC18" s="11">
        <v>2052.8229303765147</v>
      </c>
      <c r="DD18" s="11">
        <v>2416.3085750837126</v>
      </c>
      <c r="DE18" s="11">
        <v>2027.4563488854903</v>
      </c>
      <c r="DG18" s="11">
        <v>1426.0978700972014</v>
      </c>
      <c r="DH18" s="11">
        <v>1713.9038366428872</v>
      </c>
      <c r="DI18" s="11">
        <v>2108.9455570093146</v>
      </c>
      <c r="DJ18" s="11">
        <v>2217.9621995585312</v>
      </c>
      <c r="DK18" s="11">
        <v>2083.9102986810781</v>
      </c>
      <c r="DL18" s="11">
        <v>1753.6871665305077</v>
      </c>
      <c r="DN18" s="11"/>
    </row>
    <row r="19" spans="4:118" outlineLevel="1" x14ac:dyDescent="0.25">
      <c r="D19" s="10" t="s">
        <v>96</v>
      </c>
      <c r="E19" s="10" t="s">
        <v>86</v>
      </c>
      <c r="F19" s="10" t="s">
        <v>180</v>
      </c>
      <c r="G19" s="10"/>
      <c r="H19" s="62"/>
      <c r="I19" s="11">
        <f>1562122/(10^3)</f>
        <v>1562.1220000000001</v>
      </c>
      <c r="J19" s="11">
        <f>1607945.2910819/(10^3)</f>
        <v>1607.9452910819</v>
      </c>
      <c r="K19" s="11">
        <f>168217620.893197/(10^3)</f>
        <v>168217.62089319699</v>
      </c>
      <c r="L19" s="11">
        <f>1731165.62398145/(10^3)</f>
        <v>1731.1656239814499</v>
      </c>
      <c r="M19" s="11">
        <f>1753282.75847/(10^3)</f>
        <v>1753.2827584700001</v>
      </c>
      <c r="N19" s="11">
        <f>1815451.179335/(10^3)</f>
        <v>1815.451179335</v>
      </c>
      <c r="O19" s="11">
        <f>1854952.87572804/(10^3)</f>
        <v>1854.95287572804</v>
      </c>
      <c r="P19" s="11">
        <f>1880047.66155964/(10^3)</f>
        <v>1880.0476615596399</v>
      </c>
      <c r="Q19" s="11">
        <f>19001.7432967381/(10^3)</f>
        <v>19.001743296738098</v>
      </c>
      <c r="R19" s="11">
        <f>1870371.96395954/(10^3)</f>
        <v>1870.3719639595399</v>
      </c>
      <c r="S19" s="11">
        <f>1822320.28345477/(10^3)</f>
        <v>1822.3202834547699</v>
      </c>
      <c r="T19" s="11">
        <f>1821124.26940479/(10^3)</f>
        <v>1821.1242694047899</v>
      </c>
      <c r="U19" s="11">
        <f>1779389.7492586/(10^3)</f>
        <v>1779.3897492586</v>
      </c>
      <c r="V19" s="11">
        <f>1800789.94982748/(10^3)</f>
        <v>1800.7899498274799</v>
      </c>
      <c r="W19" s="11">
        <f>178305048.22373/(10^3)</f>
        <v>178305.04822373</v>
      </c>
      <c r="X19" s="11">
        <f>1817245.72773962/(10^3)</f>
        <v>1817.24572773962</v>
      </c>
      <c r="Y19" s="11">
        <f>1812825.82375059/(10^3)</f>
        <v>1812.82582375059</v>
      </c>
      <c r="Z19" s="11">
        <f>1863544.84115454/(10^3)</f>
        <v>1863.5448411545399</v>
      </c>
      <c r="AA19" s="11">
        <f>1876525.06430684/(10^3)</f>
        <v>1876.52506430684</v>
      </c>
      <c r="AB19" s="11">
        <f>1910623.14737383/(10^3)</f>
        <v>1910.6231473738301</v>
      </c>
      <c r="AC19" s="11">
        <f>19681.9263371117/(10^3)</f>
        <v>19.681926337111701</v>
      </c>
      <c r="AD19" s="11">
        <f>2001858.30340191/(10^3)</f>
        <v>2001.85830340191</v>
      </c>
      <c r="AE19" s="11">
        <f>2069140.2673359/(10^3)</f>
        <v>2069.1402673359003</v>
      </c>
      <c r="AF19" s="11">
        <f>2162722.57801305/(10^3)</f>
        <v>2162.7225780130498</v>
      </c>
      <c r="AG19" s="11">
        <f>2190319.10135204/(10^3)</f>
        <v>2190.31910135204</v>
      </c>
      <c r="AH19" s="11">
        <f>2228997.44646241/(10^3)</f>
        <v>2228.9974464624102</v>
      </c>
      <c r="AI19" s="11">
        <f>228046054.818052/(10^3)</f>
        <v>228046.05481805198</v>
      </c>
      <c r="AJ19" s="11">
        <f>2386980.40664208/(10^3)</f>
        <v>2386.9804066420797</v>
      </c>
      <c r="AK19" s="11">
        <f>2486056.08694216/(10^3)</f>
        <v>2486.0560869421602</v>
      </c>
      <c r="AL19" s="11">
        <f>2492319.99579186/(10^3)</f>
        <v>2492.31999579186</v>
      </c>
      <c r="AM19" s="11">
        <f>2510638.05329628/(10^3)</f>
        <v>2510.6380532962803</v>
      </c>
      <c r="AN19" s="11">
        <f>2540935.38713973/(10^3)</f>
        <v>2540.9353871397302</v>
      </c>
      <c r="AO19" s="11">
        <f>25659.6635936508/(10^3)</f>
        <v>25.659663593650798</v>
      </c>
      <c r="AP19" s="11">
        <f>2541850.78331556/(10^3)</f>
        <v>2541.85078331556</v>
      </c>
      <c r="AQ19" s="11">
        <f>2423322.67832736/(10^3)</f>
        <v>2423.3226783273603</v>
      </c>
      <c r="AR19" s="11">
        <f>2403396.9397876/(10^3)</f>
        <v>2403.3969397876003</v>
      </c>
      <c r="AS19" s="11">
        <f>2401816.41756817/(10^3)</f>
        <v>2401.81641756817</v>
      </c>
      <c r="AT19" s="11">
        <f>2364333.84078745/(10^3)</f>
        <v>2364.3338407874498</v>
      </c>
      <c r="AU19" s="11">
        <f>234436325.063944/(10^3)</f>
        <v>234436.32506394401</v>
      </c>
      <c r="AV19" s="11">
        <f>2283873.58655022/(10^3)</f>
        <v>2283.8735865502199</v>
      </c>
      <c r="AW19" s="11">
        <f>2281788.95796919/(10^3)</f>
        <v>2281.7889579691901</v>
      </c>
      <c r="AX19" s="11">
        <f>2236037.51159304/(10^3)</f>
        <v>2236.0375115930401</v>
      </c>
      <c r="AY19" s="11">
        <f>2230066.79574329/(10^3)</f>
        <v>2230.0667957432897</v>
      </c>
      <c r="AZ19" s="11">
        <f>2176388.81348325/(10^3)</f>
        <v>2176.38881348325</v>
      </c>
      <c r="BA19" s="11">
        <f>21684.4970928493/(10^3)</f>
        <v>21.684497092849298</v>
      </c>
      <c r="BB19" s="11">
        <f>2134709.96870623/(10^3)</f>
        <v>2134.70996870623</v>
      </c>
      <c r="BC19" s="11">
        <f>2132788.69996899/(10^3)</f>
        <v>2132.7886999689899</v>
      </c>
      <c r="BD19" s="11">
        <f>2114547.07325068/(10^3)</f>
        <v>2114.5470732506801</v>
      </c>
      <c r="BE19" s="11">
        <f>2087382.03490749/(10^3)</f>
        <v>2087.3820349074899</v>
      </c>
      <c r="BF19" s="11">
        <f>2145980.93576033/(10^3)</f>
        <v>2145.9809357603299</v>
      </c>
      <c r="BG19" s="11">
        <f>215314969.195448/(10^3)</f>
        <v>215314.96919544801</v>
      </c>
      <c r="BH19" s="11">
        <f>2234995.7416169/(10^3)</f>
        <v>2234.9957416169</v>
      </c>
      <c r="BI19" s="11">
        <f>2311120.53704204/(10^3)</f>
        <v>2311.1205370420398</v>
      </c>
      <c r="BJ19" s="11">
        <f>2496215.39693227/(10^3)</f>
        <v>2496.2153969322699</v>
      </c>
      <c r="BK19" s="11">
        <f>2546706.49750844/(10^3)</f>
        <v>2546.70649750844</v>
      </c>
      <c r="BL19" s="11">
        <f>2607948.33475099/(10^3)</f>
        <v>2607.9483347509899</v>
      </c>
      <c r="BM19" s="11">
        <f>27068.1085197123/(10^3)</f>
        <v>27.0681085197123</v>
      </c>
      <c r="BN19" s="11">
        <f>2744286.82470699/(10^3)</f>
        <v>2744.2868247069896</v>
      </c>
      <c r="BO19" s="11">
        <f>2720349.49172697/(10^3)</f>
        <v>2720.34949172697</v>
      </c>
      <c r="BP19" s="11">
        <f>2638555.59046309/(10^3)</f>
        <v>2638.5555904630901</v>
      </c>
      <c r="BQ19" s="11">
        <f>2509606.22098688/(10^3)</f>
        <v>2509.6062209868801</v>
      </c>
      <c r="BR19" s="11">
        <f>2307086.06564389/(10^3)</f>
        <v>2307.0860656438899</v>
      </c>
      <c r="BS19" s="11">
        <f>221510699.346046/(10^3)</f>
        <v>221510.69934604599</v>
      </c>
      <c r="BT19" s="11">
        <f>2097715.56122931/(10^3)</f>
        <v>2097.71556122931</v>
      </c>
      <c r="BU19" s="11">
        <f>1980836.68087986/(10^3)</f>
        <v>1980.8366808798598</v>
      </c>
      <c r="BV19" s="11">
        <f>1802284.26459285/(10^3)</f>
        <v>1802.2842645928501</v>
      </c>
      <c r="BW19" s="11">
        <f>1709233.93913478/(10^3)</f>
        <v>1709.23393913478</v>
      </c>
      <c r="BX19" s="11">
        <f>1776809.85328347/(10^3)</f>
        <v>1776.8098532834699</v>
      </c>
      <c r="BY19" s="11">
        <f>18384.1758633431/(10^3)</f>
        <v>18.384175863343103</v>
      </c>
      <c r="BZ19" s="11">
        <f>1788130.03169366/(10^3)</f>
        <v>1788.1300316936599</v>
      </c>
      <c r="CA19" s="11">
        <f>1663504.52303763/(10^3)</f>
        <v>1663.50452303763</v>
      </c>
      <c r="CB19" s="11">
        <f>1654075.80541996/(10^3)</f>
        <v>1654.07580541996</v>
      </c>
      <c r="CC19" s="12"/>
      <c r="CZ19" s="11">
        <v>1900.1743296738073</v>
      </c>
      <c r="DA19" s="11">
        <v>1968.1926337111697</v>
      </c>
      <c r="DB19" s="11">
        <v>2565.9663593650753</v>
      </c>
      <c r="DC19" s="11">
        <v>2168.449709284926</v>
      </c>
      <c r="DD19" s="11">
        <v>2706.8108519712305</v>
      </c>
      <c r="DE19" s="11">
        <v>1838.4175863343105</v>
      </c>
      <c r="DG19" s="11">
        <v>1682.1762089319698</v>
      </c>
      <c r="DH19" s="11">
        <v>1783.050482237298</v>
      </c>
      <c r="DI19" s="11">
        <v>2280.4605481805211</v>
      </c>
      <c r="DJ19" s="11">
        <v>2344.3632506394401</v>
      </c>
      <c r="DK19" s="11">
        <v>2153.1496919544848</v>
      </c>
      <c r="DL19" s="11">
        <v>2215.1069934604593</v>
      </c>
      <c r="DN19" s="11"/>
    </row>
    <row r="20" spans="4:118" outlineLevel="1" x14ac:dyDescent="0.25">
      <c r="D20" s="10" t="s">
        <v>97</v>
      </c>
      <c r="E20" s="10" t="s">
        <v>88</v>
      </c>
      <c r="F20" s="10" t="s">
        <v>180</v>
      </c>
      <c r="G20" s="10"/>
      <c r="H20" s="62"/>
      <c r="I20" s="11">
        <f>608453/(10^3)</f>
        <v>608.45299999999997</v>
      </c>
      <c r="J20" s="11">
        <f>618114.959838961/(10^3)</f>
        <v>618.114959838961</v>
      </c>
      <c r="K20" s="11">
        <f>64856172.963312/(10^3)</f>
        <v>64856.172963311998</v>
      </c>
      <c r="L20" s="11">
        <f>664410.511793585/(10^3)</f>
        <v>664.41051179358499</v>
      </c>
      <c r="M20" s="11">
        <f>649218.740893584/(10^3)</f>
        <v>649.21874089358403</v>
      </c>
      <c r="N20" s="11">
        <f>699838.941588395/(10^3)</f>
        <v>699.83894158839507</v>
      </c>
      <c r="O20" s="11">
        <f>702606.822124163/(10^3)</f>
        <v>702.60682212416305</v>
      </c>
      <c r="P20" s="11">
        <f>721461.309974614/(10^3)</f>
        <v>721.46130997461398</v>
      </c>
      <c r="Q20" s="11">
        <f>7546.12367249108/(10^3)</f>
        <v>7.5461236724910794</v>
      </c>
      <c r="R20" s="11">
        <f>776191.73162226/(10^3)</f>
        <v>776.19173162225991</v>
      </c>
      <c r="S20" s="11">
        <f>761812.255704464/(10^3)</f>
        <v>761.81225570446406</v>
      </c>
      <c r="T20" s="11">
        <f>740522.995073394/(10^3)</f>
        <v>740.52299507339399</v>
      </c>
      <c r="U20" s="11">
        <f>732185.70413964/(10^3)</f>
        <v>732.18570413963994</v>
      </c>
      <c r="V20" s="11">
        <f>718756.732668053/(10^3)</f>
        <v>718.75673266805302</v>
      </c>
      <c r="W20" s="11">
        <f>70925480.4096485/(10^3)</f>
        <v>70925.480409648488</v>
      </c>
      <c r="X20" s="11">
        <f>743910.157917143/(10^3)</f>
        <v>743.91015791714301</v>
      </c>
      <c r="Y20" s="11">
        <f>766749.228233103/(10^3)</f>
        <v>766.74922823310294</v>
      </c>
      <c r="Z20" s="11">
        <f>779410.390528156/(10^3)</f>
        <v>779.41039052815597</v>
      </c>
      <c r="AA20" s="11">
        <f>779815.867628958/(10^3)</f>
        <v>779.8158676289579</v>
      </c>
      <c r="AB20" s="11">
        <f>809592.527897843/(10^3)</f>
        <v>809.59252789784307</v>
      </c>
      <c r="AC20" s="11">
        <f>8288.18605125542/(10^3)</f>
        <v>8.2881860512554191</v>
      </c>
      <c r="AD20" s="11">
        <f>835972.204171642/(10^3)</f>
        <v>835.97220417164192</v>
      </c>
      <c r="AE20" s="11">
        <f>859405.718521/(10^3)</f>
        <v>859.40571852100004</v>
      </c>
      <c r="AF20" s="11">
        <f>875000.916815824/(10^3)</f>
        <v>875.00091681582398</v>
      </c>
      <c r="AG20" s="11">
        <f>894672.359992506/(10^3)</f>
        <v>894.67235999250602</v>
      </c>
      <c r="AH20" s="11">
        <f>938375.687818257/(10^3)</f>
        <v>938.37568781825701</v>
      </c>
      <c r="AI20" s="11">
        <f>98316870.1862817/(10^3)</f>
        <v>98316.870186281696</v>
      </c>
      <c r="AJ20" s="11">
        <f>995246.715716317/(10^3)</f>
        <v>995.246715716317</v>
      </c>
      <c r="AK20" s="11">
        <f>1043919.23278808/(10^3)</f>
        <v>1043.9192327880801</v>
      </c>
      <c r="AL20" s="11">
        <f>1080509.64058206/(10^3)</f>
        <v>1080.50964058206</v>
      </c>
      <c r="AM20" s="11">
        <f>1118916.56677912/(10^3)</f>
        <v>1118.9165667791199</v>
      </c>
      <c r="AN20" s="11">
        <f>1170707.55704472/(10^3)</f>
        <v>1170.70755704472</v>
      </c>
      <c r="AO20" s="11">
        <f>12165.8040612355/(10^3)</f>
        <v>12.1658040612355</v>
      </c>
      <c r="AP20" s="11">
        <f>1266009.31854834/(10^3)</f>
        <v>1266.0093185483399</v>
      </c>
      <c r="AQ20" s="11">
        <f>1217238.19220197/(10^3)</f>
        <v>1217.2381922019699</v>
      </c>
      <c r="AR20" s="11">
        <f>1179216.40610803/(10^3)</f>
        <v>1179.2164061080298</v>
      </c>
      <c r="AS20" s="11">
        <f>1144203.28170793/(10^3)</f>
        <v>1144.2032817079298</v>
      </c>
      <c r="AT20" s="11">
        <f>1141695.05495345/(10^3)</f>
        <v>1141.6950549534502</v>
      </c>
      <c r="AU20" s="11">
        <f>111206234.010535/(10^3)</f>
        <v>111206.234010535</v>
      </c>
      <c r="AV20" s="11">
        <f>1101987.08441076/(10^3)</f>
        <v>1101.9870844107602</v>
      </c>
      <c r="AW20" s="11">
        <f>1084318.34523402/(10^3)</f>
        <v>1084.3183452340199</v>
      </c>
      <c r="AX20" s="11">
        <f>1077417.16533706/(10^3)</f>
        <v>1077.4171653370602</v>
      </c>
      <c r="AY20" s="11">
        <f>1052398.03023709/(10^3)</f>
        <v>1052.3980302370901</v>
      </c>
      <c r="AZ20" s="11">
        <f>1045975.45149196/(10^3)</f>
        <v>1045.97545149196</v>
      </c>
      <c r="BA20" s="11">
        <f>10419.6905266649/(10^3)</f>
        <v>10.419690526664899</v>
      </c>
      <c r="BB20" s="11">
        <f>1032636.79698432/(10^3)</f>
        <v>1032.63679698432</v>
      </c>
      <c r="BC20" s="11">
        <f>1031314.44836092/(10^3)</f>
        <v>1031.3144483609199</v>
      </c>
      <c r="BD20" s="11">
        <f>1028247.76574357/(10^3)</f>
        <v>1028.24776574357</v>
      </c>
      <c r="BE20" s="11">
        <f>1008927.1837322/(10^3)</f>
        <v>1008.9271837322</v>
      </c>
      <c r="BF20" s="11">
        <f>1023073.11631889/(10^3)</f>
        <v>1023.07311631889</v>
      </c>
      <c r="BG20" s="11">
        <f>107094395.103588/(10^3)</f>
        <v>107094.395103588</v>
      </c>
      <c r="BH20" s="11">
        <f>1080687.47356832/(10^3)</f>
        <v>1080.68747356832</v>
      </c>
      <c r="BI20" s="11">
        <f>1118263.39382732/(10^3)</f>
        <v>1118.26339382732</v>
      </c>
      <c r="BJ20" s="11">
        <f>1176697.09121988/(10^3)</f>
        <v>1176.6970912198799</v>
      </c>
      <c r="BK20" s="11">
        <f>1179752.00736231/(10^3)</f>
        <v>1179.75200736231</v>
      </c>
      <c r="BL20" s="11">
        <f>1194000.58373376/(10^3)</f>
        <v>1194.0005837337601</v>
      </c>
      <c r="BM20" s="11">
        <f>12284.0027021097/(10^3)</f>
        <v>12.284002702109699</v>
      </c>
      <c r="BN20" s="11">
        <f>1231147.69349731/(10^3)</f>
        <v>1231.14769349731</v>
      </c>
      <c r="BO20" s="11">
        <f>1173299.58889784/(10^3)</f>
        <v>1173.2995888978398</v>
      </c>
      <c r="BP20" s="11">
        <f>1100145.49945142/(10^3)</f>
        <v>1100.1454994514199</v>
      </c>
      <c r="BQ20" s="11">
        <f>1057768.32338936/(10^3)</f>
        <v>1057.7683233893599</v>
      </c>
      <c r="BR20" s="11">
        <f>1010717.21045356/(10^3)</f>
        <v>1010.71721045356</v>
      </c>
      <c r="BS20" s="11">
        <f>99689663.4665872/(10^3)</f>
        <v>99689.663466587197</v>
      </c>
      <c r="BT20" s="11">
        <f>979384.194868285/(10^3)</f>
        <v>979.38419486828502</v>
      </c>
      <c r="BU20" s="11">
        <f>925806.792256266/(10^3)</f>
        <v>925.80679225626602</v>
      </c>
      <c r="BV20" s="11">
        <f>833379.048020746/(10^3)</f>
        <v>833.37904802074593</v>
      </c>
      <c r="BW20" s="11">
        <f>823516.404393674/(10^3)</f>
        <v>823.51640439367395</v>
      </c>
      <c r="BX20" s="11">
        <f>845692.303293875/(10^3)</f>
        <v>845.69230329387494</v>
      </c>
      <c r="BY20" s="11">
        <f>8797.24503316174/(10^3)</f>
        <v>8.7972450331617402</v>
      </c>
      <c r="BZ20" s="11">
        <f>920830.946464737/(10^3)</f>
        <v>920.83094646473694</v>
      </c>
      <c r="CA20" s="11">
        <f>832267.059852642/(10^3)</f>
        <v>832.26705985264198</v>
      </c>
      <c r="CB20" s="11">
        <f>815993.516316982/(10^3)</f>
        <v>815.99351631698198</v>
      </c>
      <c r="CC20" s="12"/>
      <c r="CZ20" s="11">
        <v>754.61236724910771</v>
      </c>
      <c r="DA20" s="11">
        <v>828.81860512554204</v>
      </c>
      <c r="DB20" s="11">
        <v>1216.5804061235492</v>
      </c>
      <c r="DC20" s="11">
        <v>1041.9690526664895</v>
      </c>
      <c r="DD20" s="11">
        <v>1228.400270210971</v>
      </c>
      <c r="DE20" s="11">
        <v>879.72450331617438</v>
      </c>
      <c r="DG20" s="11">
        <v>648.56172963311997</v>
      </c>
      <c r="DH20" s="11">
        <v>709.25480409648469</v>
      </c>
      <c r="DI20" s="11">
        <v>983.16870186281744</v>
      </c>
      <c r="DJ20" s="11">
        <v>1112.0623401053522</v>
      </c>
      <c r="DK20" s="11">
        <v>1070.9439510358754</v>
      </c>
      <c r="DL20" s="11">
        <v>996.89663466587206</v>
      </c>
      <c r="DN20" s="11"/>
    </row>
    <row r="21" spans="4:118" outlineLevel="1" x14ac:dyDescent="0.25">
      <c r="D21" s="10" t="s">
        <v>99</v>
      </c>
      <c r="E21" s="10" t="s">
        <v>88</v>
      </c>
      <c r="F21" s="10" t="s">
        <v>180</v>
      </c>
      <c r="G21" s="10"/>
      <c r="H21" s="62"/>
      <c r="I21" s="11">
        <f>140069/(10^3)</f>
        <v>140.06899999999999</v>
      </c>
      <c r="J21" s="11">
        <f>144812.979233607/(10^3)</f>
        <v>144.812979233607</v>
      </c>
      <c r="K21" s="11">
        <f>14309748.2437164/(10^3)</f>
        <v>14309.7482437164</v>
      </c>
      <c r="L21" s="11">
        <f>144881.429915268/(10^3)</f>
        <v>144.881429915268</v>
      </c>
      <c r="M21" s="11">
        <f>148059.586754779/(10^3)</f>
        <v>148.05958675477902</v>
      </c>
      <c r="N21" s="11">
        <f>149956.546395344/(10^3)</f>
        <v>149.95654639534399</v>
      </c>
      <c r="O21" s="11">
        <f>155628.761671623/(10^3)</f>
        <v>155.62876167162301</v>
      </c>
      <c r="P21" s="11">
        <f>157852.27492584/(10^3)</f>
        <v>157.85227492583999</v>
      </c>
      <c r="Q21" s="11">
        <f>1623.79207167793/(10^3)</f>
        <v>1.6237920716779299</v>
      </c>
      <c r="R21" s="11">
        <f>158807.579671206/(10^3)</f>
        <v>158.80757967120601</v>
      </c>
      <c r="S21" s="11">
        <f>153331.888105427/(10^3)</f>
        <v>153.331888105427</v>
      </c>
      <c r="T21" s="11">
        <f>148845.39881974/(10^3)</f>
        <v>148.84539881973998</v>
      </c>
      <c r="U21" s="11">
        <f>145323.365942201/(10^3)</f>
        <v>145.32336594220101</v>
      </c>
      <c r="V21" s="11">
        <f>145125.505543835/(10^3)</f>
        <v>145.125505543835</v>
      </c>
      <c r="W21" s="11">
        <f>14274525.5370932/(10^3)</f>
        <v>14274.525537093199</v>
      </c>
      <c r="X21" s="11">
        <f>148868.026103978/(10^3)</f>
        <v>148.868026103978</v>
      </c>
      <c r="Y21" s="11">
        <f>151310.003594795/(10^3)</f>
        <v>151.31000359479501</v>
      </c>
      <c r="Z21" s="11">
        <f>157747.759766384/(10^3)</f>
        <v>157.74775976638401</v>
      </c>
      <c r="AA21" s="11">
        <f>161996.731826912/(10^3)</f>
        <v>161.996731826912</v>
      </c>
      <c r="AB21" s="11">
        <f>162774.719379409/(10^3)</f>
        <v>162.77471937940902</v>
      </c>
      <c r="AC21" s="11">
        <f>1704.39553288223/(10^3)</f>
        <v>1.70439553288223</v>
      </c>
      <c r="AD21" s="11">
        <f>175237.654828585/(10^3)</f>
        <v>175.23765482858499</v>
      </c>
      <c r="AE21" s="11">
        <f>179576.265205029/(10^3)</f>
        <v>179.57626520502899</v>
      </c>
      <c r="AF21" s="11">
        <f>182205.706258638/(10^3)</f>
        <v>182.205706258638</v>
      </c>
      <c r="AG21" s="11">
        <f>183215.963189602/(10^3)</f>
        <v>183.21596318960198</v>
      </c>
      <c r="AH21" s="11">
        <f>184480.916884419/(10^3)</f>
        <v>184.480916884419</v>
      </c>
      <c r="AI21" s="11">
        <f>19175066.4954987/(10^3)</f>
        <v>19175.066495498697</v>
      </c>
      <c r="AJ21" s="11">
        <f>193310.133501345/(10^3)</f>
        <v>193.31013350134501</v>
      </c>
      <c r="AK21" s="11">
        <f>202058.881867179/(10^3)</f>
        <v>202.058881867179</v>
      </c>
      <c r="AL21" s="11">
        <f>203562.630565371/(10^3)</f>
        <v>203.56263056537099</v>
      </c>
      <c r="AM21" s="11">
        <f>204278.786805215/(10^3)</f>
        <v>204.27878680521499</v>
      </c>
      <c r="AN21" s="11">
        <f>209647.292715086/(10^3)</f>
        <v>209.647292715086</v>
      </c>
      <c r="AO21" s="11">
        <f>2161.03635137736/(10^3)</f>
        <v>2.1610363513773598</v>
      </c>
      <c r="AP21" s="11">
        <f>221713.519016132/(10^3)</f>
        <v>221.71351901613198</v>
      </c>
      <c r="AQ21" s="11">
        <f>217877.34580513/(10^3)</f>
        <v>217.87734580513001</v>
      </c>
      <c r="AR21" s="11">
        <f>211484.795509716/(10^3)</f>
        <v>211.48479550971601</v>
      </c>
      <c r="AS21" s="11">
        <f>210240.566021405/(10^3)</f>
        <v>210.24056602140499</v>
      </c>
      <c r="AT21" s="11">
        <f>202487.330239176/(10^3)</f>
        <v>202.487330239176</v>
      </c>
      <c r="AU21" s="11">
        <f>20199903.468614/(10^3)</f>
        <v>20199.903468614</v>
      </c>
      <c r="AV21" s="11">
        <f>194742.006449495/(10^3)</f>
        <v>194.74200644949499</v>
      </c>
      <c r="AW21" s="11">
        <f>188203.43978244/(10^3)</f>
        <v>188.20343978244</v>
      </c>
      <c r="AX21" s="11">
        <f>179953.298719623/(10^3)</f>
        <v>179.95329871962301</v>
      </c>
      <c r="AY21" s="11">
        <f>173855.088828839/(10^3)</f>
        <v>173.855088828839</v>
      </c>
      <c r="AZ21" s="11">
        <f>167974.261635505/(10^3)</f>
        <v>167.974261635505</v>
      </c>
      <c r="BA21" s="11">
        <f>1661.97826979732/(10^3)</f>
        <v>1.66197826979732</v>
      </c>
      <c r="BB21" s="11">
        <f>162295.976077878/(10^3)</f>
        <v>162.29597607787801</v>
      </c>
      <c r="BC21" s="11">
        <f>157768.145350401/(10^3)</f>
        <v>157.768145350401</v>
      </c>
      <c r="BD21" s="11">
        <f>151330.231216227/(10^3)</f>
        <v>151.33023121622699</v>
      </c>
      <c r="BE21" s="11">
        <f>146299.611038521/(10^3)</f>
        <v>146.29961103852099</v>
      </c>
      <c r="BF21" s="11">
        <f>152082.246800605/(10^3)</f>
        <v>152.08224680060499</v>
      </c>
      <c r="BG21" s="11">
        <f>14793984.4345883/(10^3)</f>
        <v>14793.984434588299</v>
      </c>
      <c r="BH21" s="11">
        <f>144902.273212488/(10^3)</f>
        <v>144.90227321248801</v>
      </c>
      <c r="BI21" s="11">
        <f>145779.280108814/(10^3)</f>
        <v>145.77928010881402</v>
      </c>
      <c r="BJ21" s="11">
        <f>160321.041858586/(10^3)</f>
        <v>160.321041858586</v>
      </c>
      <c r="BK21" s="11">
        <f>162626.523686095/(10^3)</f>
        <v>162.626523686095</v>
      </c>
      <c r="BL21" s="11">
        <f>170095.16039244/(10^3)</f>
        <v>170.09516039244002</v>
      </c>
      <c r="BM21" s="11">
        <f>1747.96795457418/(10^3)</f>
        <v>1.7479679545741802</v>
      </c>
      <c r="BN21" s="11">
        <f>182038.786966145/(10^3)</f>
        <v>182.03878696614501</v>
      </c>
      <c r="BO21" s="11">
        <f>165125.981613116/(10^3)</f>
        <v>165.12598161311598</v>
      </c>
      <c r="BP21" s="11">
        <f>151491.345975416/(10^3)</f>
        <v>151.49134597541601</v>
      </c>
      <c r="BQ21" s="11">
        <f>141425.696187995/(10^3)</f>
        <v>141.42569618799499</v>
      </c>
      <c r="BR21" s="11">
        <f>139539.702599611/(10^3)</f>
        <v>139.53970259961099</v>
      </c>
      <c r="BS21" s="11">
        <f>13167670.7930718/(10^3)</f>
        <v>13167.6707930718</v>
      </c>
      <c r="BT21" s="11">
        <f>128827.371053484/(10^3)</f>
        <v>128.827371053484</v>
      </c>
      <c r="BU21" s="11">
        <f>123531.268018622/(10^3)</f>
        <v>123.531268018622</v>
      </c>
      <c r="BV21" s="11">
        <f>112290.277768958/(10^3)</f>
        <v>112.29027776895799</v>
      </c>
      <c r="BW21" s="11">
        <f>112131.976414198/(10^3)</f>
        <v>112.13197641419799</v>
      </c>
      <c r="BX21" s="11">
        <f>115536.254064272/(10^3)</f>
        <v>115.536254064272</v>
      </c>
      <c r="BY21" s="11">
        <f>1188.3587881131/(10^3)</f>
        <v>1.1883587881130999</v>
      </c>
      <c r="BZ21" s="11">
        <f>116216.078254175/(10^3)</f>
        <v>116.21607825417499</v>
      </c>
      <c r="CA21" s="11">
        <f>109506.479735208/(10^3)</f>
        <v>109.506479735208</v>
      </c>
      <c r="CB21" s="11">
        <f>109178.307481711/(10^3)</f>
        <v>109.178307481711</v>
      </c>
      <c r="CC21" s="12"/>
      <c r="CZ21" s="11">
        <v>162.37920716779288</v>
      </c>
      <c r="DA21" s="11">
        <v>170.43955328822346</v>
      </c>
      <c r="DB21" s="11">
        <v>216.10363513773558</v>
      </c>
      <c r="DC21" s="11">
        <v>166.19782697973176</v>
      </c>
      <c r="DD21" s="11">
        <v>174.7967954574178</v>
      </c>
      <c r="DE21" s="11">
        <v>118.83587881130993</v>
      </c>
      <c r="DG21" s="11">
        <v>143.09748243716376</v>
      </c>
      <c r="DH21" s="11">
        <v>142.74525537093203</v>
      </c>
      <c r="DI21" s="11">
        <v>191.75066495498683</v>
      </c>
      <c r="DJ21" s="11">
        <v>201.99903468613994</v>
      </c>
      <c r="DK21" s="11">
        <v>147.93984434588265</v>
      </c>
      <c r="DL21" s="11">
        <v>131.67670793071815</v>
      </c>
      <c r="DN21" s="11"/>
    </row>
    <row r="22" spans="4:118" outlineLevel="1" x14ac:dyDescent="0.25">
      <c r="D22" s="10" t="s">
        <v>102</v>
      </c>
      <c r="E22" s="10" t="s">
        <v>93</v>
      </c>
      <c r="F22" s="10" t="s">
        <v>180</v>
      </c>
      <c r="G22" s="10"/>
      <c r="H22" s="62"/>
      <c r="I22" s="11">
        <f>117617/(10^3)</f>
        <v>117.617</v>
      </c>
      <c r="J22" s="11">
        <f>122755.845644216/(10^3)</f>
        <v>122.755845644216</v>
      </c>
      <c r="K22" s="11">
        <f>12852915.4255609/(10^3)</f>
        <v>12852.915425560899</v>
      </c>
      <c r="L22" s="11">
        <f>129042.458653128/(10^3)</f>
        <v>129.04245865312799</v>
      </c>
      <c r="M22" s="11">
        <f>125811.247837738/(10^3)</f>
        <v>125.81124783773801</v>
      </c>
      <c r="N22" s="11">
        <f>136822.811458083/(10^3)</f>
        <v>136.82281145808298</v>
      </c>
      <c r="O22" s="11">
        <f>143408.65003465/(10^3)</f>
        <v>143.40865003465001</v>
      </c>
      <c r="P22" s="11">
        <f>150550.163703445/(10^3)</f>
        <v>150.55016370344501</v>
      </c>
      <c r="Q22" s="11">
        <f>1530.4505651793/(10^3)</f>
        <v>1.5304505651792999</v>
      </c>
      <c r="R22" s="11">
        <f>150818.166433166/(10^3)</f>
        <v>150.81816643316603</v>
      </c>
      <c r="S22" s="11">
        <f>139865.691495938/(10^3)</f>
        <v>139.86569149593799</v>
      </c>
      <c r="T22" s="11">
        <f>135099.382720532/(10^3)</f>
        <v>135.09938272053202</v>
      </c>
      <c r="U22" s="11">
        <f>133531.336624021/(10^3)</f>
        <v>133.53133662402101</v>
      </c>
      <c r="V22" s="11">
        <f>130338.145540318/(10^3)</f>
        <v>130.33814554031801</v>
      </c>
      <c r="W22" s="11">
        <f>13314274.2809029/(10^3)</f>
        <v>13314.274280902901</v>
      </c>
      <c r="X22" s="11">
        <f>139734.692926939/(10^3)</f>
        <v>139.734692926939</v>
      </c>
      <c r="Y22" s="11">
        <f>140737.607946966/(10^3)</f>
        <v>140.73760794696599</v>
      </c>
      <c r="Z22" s="11">
        <f>145882.452145418/(10^3)</f>
        <v>145.882452145418</v>
      </c>
      <c r="AA22" s="11">
        <f>152699.865690476/(10^3)</f>
        <v>152.699865690476</v>
      </c>
      <c r="AB22" s="11">
        <f>156827.688851171/(10^3)</f>
        <v>156.82768885117099</v>
      </c>
      <c r="AC22" s="11">
        <f>1625.01834632866/(10^3)</f>
        <v>1.62501834632866</v>
      </c>
      <c r="AD22" s="11">
        <f>169842.6392946/(10^3)</f>
        <v>169.84263929459999</v>
      </c>
      <c r="AE22" s="11">
        <f>177425.410645828/(10^3)</f>
        <v>177.42541064582801</v>
      </c>
      <c r="AF22" s="11">
        <f>184893.917299624/(10^3)</f>
        <v>184.89391729962401</v>
      </c>
      <c r="AG22" s="11">
        <f>190009.373189483/(10^3)</f>
        <v>190.009373189483</v>
      </c>
      <c r="AH22" s="11">
        <f>196914.72482421/(10^3)</f>
        <v>196.91472482421</v>
      </c>
      <c r="AI22" s="11">
        <f>20208039.5203785/(10^3)</f>
        <v>20208.039520378501</v>
      </c>
      <c r="AJ22" s="11">
        <f>203753.114939683/(10^3)</f>
        <v>203.753114939683</v>
      </c>
      <c r="AK22" s="11">
        <f>211036.496223907/(10^3)</f>
        <v>211.03649622390699</v>
      </c>
      <c r="AL22" s="11">
        <f>213622.932449885/(10^3)</f>
        <v>213.62293244988501</v>
      </c>
      <c r="AM22" s="11">
        <f>219099.199369057/(10^3)</f>
        <v>219.099199369057</v>
      </c>
      <c r="AN22" s="11">
        <f>219159.301320646/(10^3)</f>
        <v>219.15930132064599</v>
      </c>
      <c r="AO22" s="11">
        <f>2247.53679387185/(10^3)</f>
        <v>2.2475367938718502</v>
      </c>
      <c r="AP22" s="11">
        <f>232633.443185636/(10^3)</f>
        <v>232.633443185636</v>
      </c>
      <c r="AQ22" s="11">
        <f>218597.477618738/(10^3)</f>
        <v>218.597477618738</v>
      </c>
      <c r="AR22" s="11">
        <f>214601.289039938/(10^3)</f>
        <v>214.60128903993802</v>
      </c>
      <c r="AS22" s="11">
        <f>207698.182872282/(10^3)</f>
        <v>207.69818287228199</v>
      </c>
      <c r="AT22" s="11">
        <f>206314.141117245/(10^3)</f>
        <v>206.31414111724499</v>
      </c>
      <c r="AU22" s="11">
        <f>20458041.1945576/(10^3)</f>
        <v>20458.041194557598</v>
      </c>
      <c r="AV22" s="11">
        <f>200493.757025201/(10^3)</f>
        <v>200.49375702520098</v>
      </c>
      <c r="AW22" s="11">
        <f>195775.842792637/(10^3)</f>
        <v>195.77584279263701</v>
      </c>
      <c r="AX22" s="11">
        <f>192605.34050019/(10^3)</f>
        <v>192.60534050019001</v>
      </c>
      <c r="AY22" s="11">
        <f>185999.124038146/(10^3)</f>
        <v>185.99912403814599</v>
      </c>
      <c r="AZ22" s="11">
        <f>181596.088492103/(10^3)</f>
        <v>181.59608849210301</v>
      </c>
      <c r="BA22" s="11">
        <f>1734.81220472178/(10^3)</f>
        <v>1.73481220472178</v>
      </c>
      <c r="BB22" s="11">
        <f>165045.835407425/(10^3)</f>
        <v>165.04583540742502</v>
      </c>
      <c r="BC22" s="11">
        <f>163481.761769916/(10^3)</f>
        <v>163.48176176991598</v>
      </c>
      <c r="BD22" s="11">
        <f>160789.069531606/(10^3)</f>
        <v>160.78906953160597</v>
      </c>
      <c r="BE22" s="11">
        <f>153974.485137016/(10^3)</f>
        <v>153.97448513701599</v>
      </c>
      <c r="BF22" s="11">
        <f>150705.875224261/(10^3)</f>
        <v>150.70587522426098</v>
      </c>
      <c r="BG22" s="11">
        <f>15194279.0775059/(10^3)</f>
        <v>15194.2790775059</v>
      </c>
      <c r="BH22" s="11">
        <f>154259.879838903/(10^3)</f>
        <v>154.259879838903</v>
      </c>
      <c r="BI22" s="11">
        <f>153488.563204338/(10^3)</f>
        <v>153.48856320433799</v>
      </c>
      <c r="BJ22" s="11">
        <f>153497.602105291/(10^3)</f>
        <v>153.49760210529101</v>
      </c>
      <c r="BK22" s="11">
        <f>159165.357754584/(10^3)</f>
        <v>159.16535775458399</v>
      </c>
      <c r="BL22" s="11">
        <f>165720.821620364/(10^3)</f>
        <v>165.72082162036401</v>
      </c>
      <c r="BM22" s="11">
        <f>1734.61749859479/(10^3)</f>
        <v>1.73461749859479</v>
      </c>
      <c r="BN22" s="11">
        <f>170952.634440367/(10^3)</f>
        <v>170.95263444036701</v>
      </c>
      <c r="BO22" s="11">
        <f>157318.19317291/(10^3)</f>
        <v>157.31819317290999</v>
      </c>
      <c r="BP22" s="11">
        <f>146385.836418417/(10^3)</f>
        <v>146.385836418417</v>
      </c>
      <c r="BQ22" s="11">
        <f>137445.522704474/(10^3)</f>
        <v>137.445522704474</v>
      </c>
      <c r="BR22" s="11">
        <f>130160.96846091/(10^3)</f>
        <v>130.16096846091</v>
      </c>
      <c r="BS22" s="11">
        <f>12827340.892756/(10^3)</f>
        <v>12827.340892755999</v>
      </c>
      <c r="BT22" s="11">
        <f>125430.25535621/(10^3)</f>
        <v>125.43025535621</v>
      </c>
      <c r="BU22" s="11">
        <f>115610.71102428/(10^3)</f>
        <v>115.61071102427999</v>
      </c>
      <c r="BV22" s="11">
        <f>111775.865364701/(10^3)</f>
        <v>111.775865364701</v>
      </c>
      <c r="BW22" s="11">
        <f>101575.897800214/(10^3)</f>
        <v>101.57589780021401</v>
      </c>
      <c r="BX22" s="11">
        <f>103933.395252658/(10^3)</f>
        <v>103.933395252658</v>
      </c>
      <c r="BY22" s="11">
        <f>1055.68839256796/(10^3)</f>
        <v>1.0556883925679599</v>
      </c>
      <c r="BZ22" s="11">
        <f>107237.460075721/(10^3)</f>
        <v>107.237460075721</v>
      </c>
      <c r="CA22" s="11">
        <f>96899.895636048/(10^3)</f>
        <v>96.899895636047987</v>
      </c>
      <c r="CB22" s="11">
        <f>93280.707795398/(10^3)</f>
        <v>93.280707795398001</v>
      </c>
      <c r="CC22" s="12"/>
      <c r="CZ22" s="11">
        <v>153.04505651792965</v>
      </c>
      <c r="DA22" s="11">
        <v>162.50183463286572</v>
      </c>
      <c r="DB22" s="11">
        <v>224.75367938718466</v>
      </c>
      <c r="DC22" s="11">
        <v>173.48122047217805</v>
      </c>
      <c r="DD22" s="11">
        <v>173.46174985947943</v>
      </c>
      <c r="DE22" s="11">
        <v>105.56883925679563</v>
      </c>
      <c r="DG22" s="11">
        <v>128.52915425560928</v>
      </c>
      <c r="DH22" s="11">
        <v>133.1427428090285</v>
      </c>
      <c r="DI22" s="11">
        <v>202.08039520378523</v>
      </c>
      <c r="DJ22" s="11">
        <v>204.58041194557606</v>
      </c>
      <c r="DK22" s="11">
        <v>151.94279077505914</v>
      </c>
      <c r="DL22" s="11">
        <v>128.27340892755973</v>
      </c>
      <c r="DN22" s="11"/>
    </row>
    <row r="23" spans="4:118" outlineLevel="1" x14ac:dyDescent="0.25">
      <c r="D23" s="10" t="s">
        <v>101</v>
      </c>
      <c r="E23" s="10" t="s">
        <v>93</v>
      </c>
      <c r="F23" s="10" t="s">
        <v>180</v>
      </c>
      <c r="G23" s="10"/>
      <c r="H23" s="62"/>
      <c r="I23" s="11">
        <f>43488/(10^3)</f>
        <v>43.488</v>
      </c>
      <c r="J23" s="11">
        <f>42822.3847047298/(10^3)</f>
        <v>42.822384704729799</v>
      </c>
      <c r="K23" s="11">
        <f>4420259.51951231/(10^3)</f>
        <v>4420.2595195123095</v>
      </c>
      <c r="L23" s="11">
        <f>45343.4335884138/(10^3)</f>
        <v>45.343433588413795</v>
      </c>
      <c r="M23" s="11">
        <f>47105.7676362416/(10^3)</f>
        <v>47.105767636241602</v>
      </c>
      <c r="N23" s="11">
        <f>51809.8819235875/(10^3)</f>
        <v>51.809881923587497</v>
      </c>
      <c r="O23" s="11">
        <f>53345.0725254424/(10^3)</f>
        <v>53.345072525442404</v>
      </c>
      <c r="P23" s="11">
        <f>55930.8448047964/(10^3)</f>
        <v>55.930844804796401</v>
      </c>
      <c r="Q23" s="11">
        <f>574.302933323521/(10^3)</f>
        <v>0.574302933323521</v>
      </c>
      <c r="R23" s="11">
        <f>57117.8458691106/(10^3)</f>
        <v>57.117845869110596</v>
      </c>
      <c r="S23" s="11">
        <f>53682.6150853493/(10^3)</f>
        <v>53.682615085349305</v>
      </c>
      <c r="T23" s="11">
        <f>52078.24600403/(10^3)</f>
        <v>52.078246004029999</v>
      </c>
      <c r="U23" s="11">
        <f>51813.7930698644/(10^3)</f>
        <v>51.813793069864396</v>
      </c>
      <c r="V23" s="11">
        <f>50487.6163427624/(10^3)</f>
        <v>50.487616342762401</v>
      </c>
      <c r="W23" s="11">
        <f>4904883.46477193/(10^3)</f>
        <v>4904.8834647719304</v>
      </c>
      <c r="X23" s="11">
        <f>51072.604220262/(10^3)</f>
        <v>51.072604220262001</v>
      </c>
      <c r="Y23" s="11">
        <f>52197.1577624292/(10^3)</f>
        <v>52.1971577624292</v>
      </c>
      <c r="Z23" s="11">
        <f>54984.6572247367/(10^3)</f>
        <v>54.984657224736701</v>
      </c>
      <c r="AA23" s="11">
        <f>55493.0196411375/(10^3)</f>
        <v>55.493019641137501</v>
      </c>
      <c r="AB23" s="11">
        <f>57149.3374455003/(10^3)</f>
        <v>57.149337445500301</v>
      </c>
      <c r="AC23" s="11">
        <f>588.385014242275/(10^3)</f>
        <v>0.58838501424227507</v>
      </c>
      <c r="AD23" s="11">
        <f>60782.9616247544/(10^3)</f>
        <v>60.782961624754407</v>
      </c>
      <c r="AE23" s="11">
        <f>63351.0175105266/(10^3)</f>
        <v>63.351017510526603</v>
      </c>
      <c r="AF23" s="11">
        <f>64355.4445271385/(10^3)</f>
        <v>64.355444527138502</v>
      </c>
      <c r="AG23" s="11">
        <f>66040.093164718/(10^3)</f>
        <v>66.040093164718002</v>
      </c>
      <c r="AH23" s="11">
        <f>69221.8612445743/(10^3)</f>
        <v>69.221861244574299</v>
      </c>
      <c r="AI23" s="11">
        <f>7203421.46994734/(10^3)</f>
        <v>7203.4214699473396</v>
      </c>
      <c r="AJ23" s="11">
        <f>73374.1768606081/(10^3)</f>
        <v>73.374176860608102</v>
      </c>
      <c r="AK23" s="11">
        <f>75572.4808771055/(10^3)</f>
        <v>75.572480877105491</v>
      </c>
      <c r="AL23" s="11">
        <f>78519.5750995862/(10^3)</f>
        <v>78.519575099586206</v>
      </c>
      <c r="AM23" s="11">
        <f>81391.5522724051/(10^3)</f>
        <v>81.391552272405093</v>
      </c>
      <c r="AN23" s="11">
        <f>83953.9784864409/(10^3)</f>
        <v>83.953978486440903</v>
      </c>
      <c r="AO23" s="11">
        <f>867.077260954939/(10^3)</f>
        <v>0.86707726095493898</v>
      </c>
      <c r="AP23" s="11">
        <f>84606.3473557057/(10^3)</f>
        <v>84.606347355705694</v>
      </c>
      <c r="AQ23" s="11">
        <f>81856.8941570425/(10^3)</f>
        <v>81.85689415704249</v>
      </c>
      <c r="AR23" s="11">
        <f>79444.1761059329/(10^3)</f>
        <v>79.444176105932897</v>
      </c>
      <c r="AS23" s="11">
        <f>77057.0710472724/(10^3)</f>
        <v>77.057071047272402</v>
      </c>
      <c r="AT23" s="11">
        <f>75590.4844038285/(10^3)</f>
        <v>75.590484403828498</v>
      </c>
      <c r="AU23" s="11">
        <f>7339329.95445376/(10^3)</f>
        <v>7339.3299544537595</v>
      </c>
      <c r="AV23" s="11">
        <f>73114.8021262575/(10^3)</f>
        <v>73.114802126257501</v>
      </c>
      <c r="AW23" s="11">
        <f>71618.6838312765/(10^3)</f>
        <v>71.618683831276499</v>
      </c>
      <c r="AX23" s="11">
        <f>70742.7040377192/(10^3)</f>
        <v>70.742704037719207</v>
      </c>
      <c r="AY23" s="11">
        <f>70070.7757311852/(10^3)</f>
        <v>70.070775731185208</v>
      </c>
      <c r="AZ23" s="11">
        <f>66749.9534100895/(10^3)</f>
        <v>66.749953410089489</v>
      </c>
      <c r="BA23" s="11">
        <f>662.932694083914/(10^3)</f>
        <v>0.66293269408391409</v>
      </c>
      <c r="BB23" s="11">
        <f>66203.4008169012/(10^3)</f>
        <v>66.203400816901194</v>
      </c>
      <c r="BC23" s="11">
        <f>64873.6774354109/(10^3)</f>
        <v>64.873677435410897</v>
      </c>
      <c r="BD23" s="11">
        <f>63960.8417472843/(10^3)</f>
        <v>63.960841747284299</v>
      </c>
      <c r="BE23" s="11">
        <f>62678.765781433/(10^3)</f>
        <v>62.678765781433</v>
      </c>
      <c r="BF23" s="11">
        <f>65029.3947201135/(10^3)</f>
        <v>65.029394720113501</v>
      </c>
      <c r="BG23" s="11">
        <f>6476884.2151084/(10^3)</f>
        <v>6476.8842151084</v>
      </c>
      <c r="BH23" s="11">
        <f>65864.1598201419/(10^3)</f>
        <v>65.864159820141893</v>
      </c>
      <c r="BI23" s="11">
        <f>68078.7262360059/(10^3)</f>
        <v>68.078726236005892</v>
      </c>
      <c r="BJ23" s="11">
        <f>74114.6036337335/(10^3)</f>
        <v>74.114603633733495</v>
      </c>
      <c r="BK23" s="11">
        <f>76239.862637909/(10^3)</f>
        <v>76.239862637908999</v>
      </c>
      <c r="BL23" s="11">
        <f>78403.9721416764/(10^3)</f>
        <v>78.403972141676391</v>
      </c>
      <c r="BM23" s="11">
        <f>792.019938619103/(10^3)</f>
        <v>0.79201993861910291</v>
      </c>
      <c r="BN23" s="11">
        <f>77834.9582604994/(10^3)</f>
        <v>77.834958260499405</v>
      </c>
      <c r="BO23" s="11">
        <f>70630.5753903296/(10^3)</f>
        <v>70.630575390329597</v>
      </c>
      <c r="BP23" s="11">
        <f>68793.4008643103/(10^3)</f>
        <v>68.7934008643103</v>
      </c>
      <c r="BQ23" s="11">
        <f>61924.5068445487/(10^3)</f>
        <v>61.924506844548695</v>
      </c>
      <c r="BR23" s="11">
        <f>60352.9038348323/(10^3)</f>
        <v>60.352903834832304</v>
      </c>
      <c r="BS23" s="11">
        <f>5667721.37089321/(10^3)</f>
        <v>5667.7213708932104</v>
      </c>
      <c r="BT23" s="11">
        <f>53799.1134857349/(10^3)</f>
        <v>53.7991134857349</v>
      </c>
      <c r="BU23" s="11">
        <f>52339.3440033172/(10^3)</f>
        <v>52.339344003317201</v>
      </c>
      <c r="BV23" s="11">
        <f>47777.5929721501/(10^3)</f>
        <v>47.777592972150103</v>
      </c>
      <c r="BW23" s="11">
        <f>47264.0865424622/(10^3)</f>
        <v>47.264086542462202</v>
      </c>
      <c r="BX23" s="11">
        <f>49299.3674702404/(10^3)</f>
        <v>49.299367470240405</v>
      </c>
      <c r="BY23" s="11">
        <f>505.458235764313/(10^3)</f>
        <v>0.50545823576431292</v>
      </c>
      <c r="BZ23" s="11">
        <f>52962.8854730114/(10^3)</f>
        <v>52.962885473011404</v>
      </c>
      <c r="CA23" s="11">
        <f>50333.2406988837/(10^3)</f>
        <v>50.333240698883699</v>
      </c>
      <c r="CB23" s="11">
        <f>50212.8898207521/(10^3)</f>
        <v>50.212889820752096</v>
      </c>
      <c r="CC23" s="12"/>
      <c r="CZ23" s="11">
        <v>57.430293332352107</v>
      </c>
      <c r="DA23" s="11">
        <v>58.838501424227516</v>
      </c>
      <c r="DB23" s="11">
        <v>86.707726095493896</v>
      </c>
      <c r="DC23" s="11">
        <v>66.293269408391396</v>
      </c>
      <c r="DD23" s="11">
        <v>79.201993861910267</v>
      </c>
      <c r="DE23" s="11">
        <v>50.545823576431339</v>
      </c>
      <c r="DG23" s="11">
        <v>44.202595195123088</v>
      </c>
      <c r="DH23" s="11">
        <v>49.048834647719289</v>
      </c>
      <c r="DI23" s="11">
        <v>72.034214699473381</v>
      </c>
      <c r="DJ23" s="11">
        <v>73.39329954453757</v>
      </c>
      <c r="DK23" s="11">
        <v>64.768842151084002</v>
      </c>
      <c r="DL23" s="11">
        <v>56.677213708932101</v>
      </c>
      <c r="DN23" s="11"/>
    </row>
    <row r="24" spans="4:118" outlineLevel="1" x14ac:dyDescent="0.25">
      <c r="D24" s="10" t="s">
        <v>105</v>
      </c>
      <c r="E24" s="10" t="s">
        <v>95</v>
      </c>
      <c r="F24" s="10" t="s">
        <v>149</v>
      </c>
      <c r="G24" s="10"/>
      <c r="H24" s="62"/>
      <c r="I24" s="11">
        <f>68005/(10^3)</f>
        <v>68.004999999999995</v>
      </c>
      <c r="J24" s="11">
        <f>71188.864474829/(10^3)</f>
        <v>71.188864474828989</v>
      </c>
      <c r="K24" s="11">
        <f>7264429.71568867/(10^3)</f>
        <v>7264.4297156886696</v>
      </c>
      <c r="L24" s="11">
        <f>74956.791583303/(10^3)</f>
        <v>74.956791583303001</v>
      </c>
      <c r="M24" s="11">
        <f>77501.4034815062/(10^3)</f>
        <v>77.501403481506202</v>
      </c>
      <c r="N24" s="11">
        <f>80922.4656145205/(10^3)</f>
        <v>80.92246561452049</v>
      </c>
      <c r="O24" s="11">
        <f>83742.461671271/(10^3)</f>
        <v>83.742461671271002</v>
      </c>
      <c r="P24" s="11">
        <f>86269.6524326486/(10^3)</f>
        <v>86.269652432648599</v>
      </c>
      <c r="Q24" s="11">
        <f>880.424784614415/(10^3)</f>
        <v>0.88042478461441498</v>
      </c>
      <c r="R24" s="11">
        <f>91058.1350313558/(10^3)</f>
        <v>91.058135031355803</v>
      </c>
      <c r="S24" s="11">
        <f>85460.81952425/(10^3)</f>
        <v>85.460819524249999</v>
      </c>
      <c r="T24" s="11">
        <f>81662.2453665218/(10^3)</f>
        <v>81.662245366521802</v>
      </c>
      <c r="U24" s="11">
        <f>80676.2234675436/(10^3)</f>
        <v>80.676223467543608</v>
      </c>
      <c r="V24" s="11">
        <f>80999.0982664151/(10^3)</f>
        <v>80.999098266415089</v>
      </c>
      <c r="W24" s="11">
        <f>8243475.42671729/(10^3)</f>
        <v>8243.4754267172902</v>
      </c>
      <c r="X24" s="11">
        <f>85698.1847649182/(10^3)</f>
        <v>85.698184764918196</v>
      </c>
      <c r="Y24" s="11">
        <f>89707.9779048708/(10^3)</f>
        <v>89.707977904870802</v>
      </c>
      <c r="Z24" s="11">
        <f>92609.9497116317/(10^3)</f>
        <v>92.609949711631714</v>
      </c>
      <c r="AA24" s="11">
        <f>97125.6845234653/(10^3)</f>
        <v>97.125684523465296</v>
      </c>
      <c r="AB24" s="11">
        <f>97762.7506417304/(10^3)</f>
        <v>97.762750641730392</v>
      </c>
      <c r="AC24" s="11">
        <f>1016.34523254589/(10^3)</f>
        <v>1.0163452325458899</v>
      </c>
      <c r="AD24" s="11">
        <f>102562.078413307/(10^3)</f>
        <v>102.56207841330699</v>
      </c>
      <c r="AE24" s="11">
        <f>103073.402395206/(10^3)</f>
        <v>103.07340239520599</v>
      </c>
      <c r="AF24" s="11">
        <f>104889.229014077/(10^3)</f>
        <v>104.889229014077</v>
      </c>
      <c r="AG24" s="11">
        <f>110122.516778357/(10^3)</f>
        <v>110.12251677835701</v>
      </c>
      <c r="AH24" s="11">
        <f>114974.620331299/(10^3)</f>
        <v>114.97462033129899</v>
      </c>
      <c r="AI24" s="11">
        <f>11888292.0022972/(10^3)</f>
        <v>11888.292002297199</v>
      </c>
      <c r="AJ24" s="11">
        <f>121551.594441676/(10^3)</f>
        <v>121.551594441676</v>
      </c>
      <c r="AK24" s="11">
        <f>124256.060805665/(10^3)</f>
        <v>124.256060805665</v>
      </c>
      <c r="AL24" s="11">
        <f>127049.006728074/(10^3)</f>
        <v>127.049006728074</v>
      </c>
      <c r="AM24" s="11">
        <f>131114.242170935/(10^3)</f>
        <v>131.114242170935</v>
      </c>
      <c r="AN24" s="11">
        <f>133401.269110113/(10^3)</f>
        <v>133.40126911011299</v>
      </c>
      <c r="AO24" s="11">
        <f>1382.95280102597/(10^3)</f>
        <v>1.3829528010259702</v>
      </c>
      <c r="AP24" s="11">
        <f>144625.21852233/(10^3)</f>
        <v>144.62521852232999</v>
      </c>
      <c r="AQ24" s="11">
        <f>130729.541762644/(10^3)</f>
        <v>130.729541762644</v>
      </c>
      <c r="AR24" s="11">
        <f>124338.566928733/(10^3)</f>
        <v>124.338566928733</v>
      </c>
      <c r="AS24" s="11">
        <f>124290.775555863/(10^3)</f>
        <v>124.29077555586301</v>
      </c>
      <c r="AT24" s="11">
        <f>122405.014661944/(10^3)</f>
        <v>122.40501466194401</v>
      </c>
      <c r="AU24" s="11">
        <f>11973289.4792779/(10^3)</f>
        <v>11973.289479277899</v>
      </c>
      <c r="AV24" s="11">
        <f>116855.583305701/(10^3)</f>
        <v>116.855583305701</v>
      </c>
      <c r="AW24" s="11">
        <f>112346.915747888/(10^3)</f>
        <v>112.34691574788799</v>
      </c>
      <c r="AX24" s="11">
        <f>107560.139819243/(10^3)</f>
        <v>107.56013981924301</v>
      </c>
      <c r="AY24" s="11">
        <f>103696.031962744/(10^3)</f>
        <v>103.696031962744</v>
      </c>
      <c r="AZ24" s="11">
        <f>99984.8807205878/(10^3)</f>
        <v>99.984880720587796</v>
      </c>
      <c r="BA24" s="11">
        <f>970.841058686214/(10^3)</f>
        <v>0.97084105868621395</v>
      </c>
      <c r="BB24" s="11">
        <f>93838.9710253835/(10^3)</f>
        <v>93.838971025383486</v>
      </c>
      <c r="BC24" s="11">
        <f>89187.9557247545/(10^3)</f>
        <v>89.187955724754502</v>
      </c>
      <c r="BD24" s="11">
        <f>85521.7298951126/(10^3)</f>
        <v>85.5217298951126</v>
      </c>
      <c r="BE24" s="11">
        <f>85234.0791752281/(10^3)</f>
        <v>85.234079175228089</v>
      </c>
      <c r="BF24" s="11">
        <f>83104.5565455357/(10^3)</f>
        <v>83.104556545535701</v>
      </c>
      <c r="BG24" s="11">
        <f>8320702.49921611/(10^3)</f>
        <v>8320.7024992161096</v>
      </c>
      <c r="BH24" s="11">
        <f>80884.2475775676/(10^3)</f>
        <v>80.884247577567606</v>
      </c>
      <c r="BI24" s="11">
        <f>83143.2808328637/(10^3)</f>
        <v>83.143280832863709</v>
      </c>
      <c r="BJ24" s="11">
        <f>84958.1663182597/(10^3)</f>
        <v>84.9581663182597</v>
      </c>
      <c r="BK24" s="11">
        <f>87191.274527281/(10^3)</f>
        <v>87.191274527280996</v>
      </c>
      <c r="BL24" s="11">
        <f>90744.3496307603/(10^3)</f>
        <v>90.744349630760311</v>
      </c>
      <c r="BM24" s="11">
        <f>914.747736172892/(10^3)</f>
        <v>0.91474773617289207</v>
      </c>
      <c r="BN24" s="11">
        <f>90035.5520339733/(10^3)</f>
        <v>90.035552033973303</v>
      </c>
      <c r="BO24" s="11">
        <f>89509.8505360727/(10^3)</f>
        <v>89.509850536072705</v>
      </c>
      <c r="BP24" s="11">
        <f>88167.8109445284/(10^3)</f>
        <v>88.167810944528412</v>
      </c>
      <c r="BQ24" s="11">
        <f>83841.3642061271/(10^3)</f>
        <v>83.841364206127096</v>
      </c>
      <c r="BR24" s="11">
        <f>83202.0270798979/(10^3)</f>
        <v>83.202027079897903</v>
      </c>
      <c r="BS24" s="11">
        <f>8133670.42285502/(10^3)</f>
        <v>8133.6704228550198</v>
      </c>
      <c r="BT24" s="11">
        <f>75565.0855599304/(10^3)</f>
        <v>75.565085559930409</v>
      </c>
      <c r="BU24" s="11">
        <f>72100.9611389543/(10^3)</f>
        <v>72.100961138954304</v>
      </c>
      <c r="BV24" s="11">
        <f>71101.2722061011/(10^3)</f>
        <v>71.1012722061011</v>
      </c>
      <c r="BW24" s="11">
        <f>69864.7217150513/(10^3)</f>
        <v>69.864721715051303</v>
      </c>
      <c r="BX24" s="11">
        <f>70385.3672977975/(10^3)</f>
        <v>70.385367297797487</v>
      </c>
      <c r="BY24" s="11">
        <f>725.968459812428/(10^3)</f>
        <v>0.72596845981242797</v>
      </c>
      <c r="BZ24" s="11">
        <f>75761.1970422795/(10^3)</f>
        <v>75.761197042279505</v>
      </c>
      <c r="CA24" s="11">
        <f>75046.6398849667/(10^3)</f>
        <v>75.046639884966709</v>
      </c>
      <c r="CB24" s="11">
        <f>73853.8232227463/(10^3)</f>
        <v>73.8538232227463</v>
      </c>
      <c r="CC24" s="12"/>
      <c r="CZ24" s="11">
        <v>88.042478461441547</v>
      </c>
      <c r="DA24" s="11">
        <v>101.63452325458894</v>
      </c>
      <c r="DB24" s="11">
        <v>138.29528010259742</v>
      </c>
      <c r="DC24" s="11">
        <v>97.084105868621421</v>
      </c>
      <c r="DD24" s="11">
        <v>91.47477361728923</v>
      </c>
      <c r="DE24" s="11">
        <v>72.596845981242765</v>
      </c>
      <c r="DG24" s="11">
        <v>72.644297156886736</v>
      </c>
      <c r="DH24" s="11">
        <v>82.434754267172863</v>
      </c>
      <c r="DI24" s="11">
        <v>118.8829200229723</v>
      </c>
      <c r="DJ24" s="11">
        <v>119.73289479277945</v>
      </c>
      <c r="DK24" s="11">
        <v>83.207024992161109</v>
      </c>
      <c r="DL24" s="11">
        <v>81.336704228550246</v>
      </c>
      <c r="DN24" s="11"/>
    </row>
    <row r="25" spans="4:118" outlineLevel="1" x14ac:dyDescent="0.25">
      <c r="D25" s="10" t="s">
        <v>106</v>
      </c>
      <c r="E25" s="10" t="s">
        <v>95</v>
      </c>
      <c r="F25" s="10" t="s">
        <v>149</v>
      </c>
      <c r="G25" s="10"/>
      <c r="H25" s="62"/>
      <c r="I25" s="11">
        <f>126969/(10^3)</f>
        <v>126.96899999999999</v>
      </c>
      <c r="J25" s="11">
        <f>128822.008668504/(10^3)</f>
        <v>128.822008668504</v>
      </c>
      <c r="K25" s="11">
        <f>12530072.6514031/(10^3)</f>
        <v>12530.072651403099</v>
      </c>
      <c r="L25" s="11">
        <f>124645.586348598/(10^3)</f>
        <v>124.64558634859799</v>
      </c>
      <c r="M25" s="11">
        <f>130736.55141398/(10^3)</f>
        <v>130.73655141398001</v>
      </c>
      <c r="N25" s="11">
        <f>142512.367486372/(10^3)</f>
        <v>142.512367486372</v>
      </c>
      <c r="O25" s="11">
        <f>148514.340806125/(10^3)</f>
        <v>148.51434080612501</v>
      </c>
      <c r="P25" s="11">
        <f>150502.49822287/(10^3)</f>
        <v>150.50249822287</v>
      </c>
      <c r="Q25" s="11">
        <f>1563.2702715925/(10^3)</f>
        <v>1.5632702715925</v>
      </c>
      <c r="R25" s="11">
        <f>159399.350158431/(10^3)</f>
        <v>159.39935015843102</v>
      </c>
      <c r="S25" s="11">
        <f>151873.132198806/(10^3)</f>
        <v>151.87313219880602</v>
      </c>
      <c r="T25" s="11">
        <f>147418.031907588/(10^3)</f>
        <v>147.41803190758802</v>
      </c>
      <c r="U25" s="11">
        <f>147010.345947773/(10^3)</f>
        <v>147.010345947773</v>
      </c>
      <c r="V25" s="11">
        <f>153561.971147117/(10^3)</f>
        <v>153.56197114711699</v>
      </c>
      <c r="W25" s="11">
        <f>15022193.7958739/(10^3)</f>
        <v>15022.193795873902</v>
      </c>
      <c r="X25" s="11">
        <f>155067.010491397/(10^3)</f>
        <v>155.06701049139699</v>
      </c>
      <c r="Y25" s="11">
        <f>154517.969654022/(10^3)</f>
        <v>154.51796965402198</v>
      </c>
      <c r="Z25" s="11">
        <f>167675.425778064/(10^3)</f>
        <v>167.67542577806401</v>
      </c>
      <c r="AA25" s="11">
        <f>170052.72776407/(10^3)</f>
        <v>170.05272776407</v>
      </c>
      <c r="AB25" s="11">
        <f>178329.69993464/(10^3)</f>
        <v>178.32969993463999</v>
      </c>
      <c r="AC25" s="11">
        <f>1868.80291614681/(10^3)</f>
        <v>1.86880291614681</v>
      </c>
      <c r="AD25" s="11">
        <f>186354.260426638/(10^3)</f>
        <v>186.35426042663801</v>
      </c>
      <c r="AE25" s="11">
        <f>175682.299164217/(10^3)</f>
        <v>175.682299164217</v>
      </c>
      <c r="AF25" s="11">
        <f>171527.128208835/(10^3)</f>
        <v>171.52712820883499</v>
      </c>
      <c r="AG25" s="11">
        <f>169396.843089392/(10^3)</f>
        <v>169.39684308939201</v>
      </c>
      <c r="AH25" s="11">
        <f>168481.226640298/(10^3)</f>
        <v>168.48122664029799</v>
      </c>
      <c r="AI25" s="11">
        <f>17438211.8624794/(10^3)</f>
        <v>17438.211862479398</v>
      </c>
      <c r="AJ25" s="11">
        <f>170872.126285183/(10^3)</f>
        <v>170.87212628518301</v>
      </c>
      <c r="AK25" s="11">
        <f>177014.015971292/(10^3)</f>
        <v>177.01401597129203</v>
      </c>
      <c r="AL25" s="11">
        <f>174777.824744495/(10^3)</f>
        <v>174.77782474449501</v>
      </c>
      <c r="AM25" s="11">
        <f>178759.640136524/(10^3)</f>
        <v>178.75964013652398</v>
      </c>
      <c r="AN25" s="11">
        <f>182945.663680482/(10^3)</f>
        <v>182.945663680482</v>
      </c>
      <c r="AO25" s="11">
        <f>1887.66231806644/(10^3)</f>
        <v>1.88766231806644</v>
      </c>
      <c r="AP25" s="11">
        <f>186963.669127997/(10^3)</f>
        <v>186.96366912799701</v>
      </c>
      <c r="AQ25" s="11">
        <f>186184.026673984/(10^3)</f>
        <v>186.18402667398399</v>
      </c>
      <c r="AR25" s="11">
        <f>180040.771025013/(10^3)</f>
        <v>180.04077102501302</v>
      </c>
      <c r="AS25" s="11">
        <f>173142.198680391/(10^3)</f>
        <v>173.142198680391</v>
      </c>
      <c r="AT25" s="11">
        <f>167898.563481004/(10^3)</f>
        <v>167.898563481004</v>
      </c>
      <c r="AU25" s="11">
        <f>16620136.926749/(10^3)</f>
        <v>16620.136926749001</v>
      </c>
      <c r="AV25" s="11">
        <f>162029.369766872/(10^3)</f>
        <v>162.02936976687201</v>
      </c>
      <c r="AW25" s="11">
        <f>159844.314337972/(10^3)</f>
        <v>159.84431433797201</v>
      </c>
      <c r="AX25" s="11">
        <f>155579.951376179/(10^3)</f>
        <v>155.579951376179</v>
      </c>
      <c r="AY25" s="11">
        <f>155446.192388533/(10^3)</f>
        <v>155.44619238853301</v>
      </c>
      <c r="AZ25" s="11">
        <f>155246.382079482/(10^3)</f>
        <v>155.246382079482</v>
      </c>
      <c r="BA25" s="11">
        <f>1522.50022038839/(10^3)</f>
        <v>1.5225002203883902</v>
      </c>
      <c r="BB25" s="11">
        <f>145030.008700983/(10^3)</f>
        <v>145.03000870098299</v>
      </c>
      <c r="BC25" s="11">
        <f>139147.183183044/(10^3)</f>
        <v>139.14718318304398</v>
      </c>
      <c r="BD25" s="11">
        <f>136496.017562016/(10^3)</f>
        <v>136.49601756201599</v>
      </c>
      <c r="BE25" s="11">
        <f>132211.147182618/(10^3)</f>
        <v>132.21114718261799</v>
      </c>
      <c r="BF25" s="11">
        <f>130263.996924706/(10^3)</f>
        <v>130.26399692470602</v>
      </c>
      <c r="BG25" s="11">
        <f>12687089.770379/(10^3)</f>
        <v>12687.089770379</v>
      </c>
      <c r="BH25" s="11">
        <f>123792.472886214/(10^3)</f>
        <v>123.792472886214</v>
      </c>
      <c r="BI25" s="11">
        <f>125484.022236511/(10^3)</f>
        <v>125.484022236511</v>
      </c>
      <c r="BJ25" s="11">
        <f>131903.979692172/(10^3)</f>
        <v>131.90397969217199</v>
      </c>
      <c r="BK25" s="11">
        <f>132060.441305418/(10^3)</f>
        <v>132.06044130541801</v>
      </c>
      <c r="BL25" s="11">
        <f>137749.461854104/(10^3)</f>
        <v>137.749461854104</v>
      </c>
      <c r="BM25" s="11">
        <f>1432.18030453626/(10^3)</f>
        <v>1.4321803045362602</v>
      </c>
      <c r="BN25" s="11">
        <f>149119.329738618/(10^3)</f>
        <v>149.11932973861798</v>
      </c>
      <c r="BO25" s="11">
        <f>134351.765555615/(10^3)</f>
        <v>134.351765555615</v>
      </c>
      <c r="BP25" s="11">
        <f>122008.763842949/(10^3)</f>
        <v>122.00876384294901</v>
      </c>
      <c r="BQ25" s="11">
        <f>116850.337401887/(10^3)</f>
        <v>116.85033740188699</v>
      </c>
      <c r="BR25" s="11">
        <f>107068.913108716/(10^3)</f>
        <v>107.068913108716</v>
      </c>
      <c r="BS25" s="11">
        <f>10110290.4420295/(10^3)</f>
        <v>10110.2904420295</v>
      </c>
      <c r="BT25" s="11">
        <f>96302.1776806078/(10^3)</f>
        <v>96.302177680607798</v>
      </c>
      <c r="BU25" s="11">
        <f>90995.1804576695/(10^3)</f>
        <v>90.995180457669505</v>
      </c>
      <c r="BV25" s="11">
        <f>83626.4574028612/(10^3)</f>
        <v>83.626457402861192</v>
      </c>
      <c r="BW25" s="11">
        <f>83532.033585316/(10^3)</f>
        <v>83.532033585316</v>
      </c>
      <c r="BX25" s="11">
        <f>85869.5856308575/(10^3)</f>
        <v>85.8695856308575</v>
      </c>
      <c r="BY25" s="11">
        <f>889.918881049513/(10^3)</f>
        <v>0.889918881049513</v>
      </c>
      <c r="BZ25" s="11">
        <f>87764.4237380346/(10^3)</f>
        <v>87.764423738034608</v>
      </c>
      <c r="CA25" s="11">
        <f>82159.1047523157/(10^3)</f>
        <v>82.159104752315699</v>
      </c>
      <c r="CB25" s="11">
        <f>78070.8025337912/(10^3)</f>
        <v>78.070802533791195</v>
      </c>
      <c r="CC25" s="12"/>
      <c r="CZ25" s="11">
        <v>156.32702715925026</v>
      </c>
      <c r="DA25" s="11">
        <v>186.88029161468057</v>
      </c>
      <c r="DB25" s="11">
        <v>188.7662318066437</v>
      </c>
      <c r="DC25" s="11">
        <v>152.25002203883884</v>
      </c>
      <c r="DD25" s="11">
        <v>143.21803045362637</v>
      </c>
      <c r="DE25" s="11">
        <v>88.991888104951286</v>
      </c>
      <c r="DG25" s="11">
        <v>125.30072651403083</v>
      </c>
      <c r="DH25" s="11">
        <v>150.22193795873929</v>
      </c>
      <c r="DI25" s="11">
        <v>174.38211862479406</v>
      </c>
      <c r="DJ25" s="11">
        <v>166.20136926749012</v>
      </c>
      <c r="DK25" s="11">
        <v>126.87089770378979</v>
      </c>
      <c r="DL25" s="11">
        <v>101.10290442029545</v>
      </c>
      <c r="DN25" s="11"/>
    </row>
    <row r="26" spans="4:118" outlineLevel="1" x14ac:dyDescent="0.25">
      <c r="D26" s="10" t="s">
        <v>107</v>
      </c>
      <c r="E26" s="10" t="s">
        <v>95</v>
      </c>
      <c r="F26" s="10" t="s">
        <v>149</v>
      </c>
      <c r="G26" s="10"/>
      <c r="H26" s="62"/>
      <c r="I26" s="11">
        <f>52556/(10^3)</f>
        <v>52.555999999999997</v>
      </c>
      <c r="J26" s="11">
        <f>51778.1345949833/(10^3)</f>
        <v>51.7781345949833</v>
      </c>
      <c r="K26" s="11">
        <f>5299513.59642094/(10^3)</f>
        <v>5299.5135964209403</v>
      </c>
      <c r="L26" s="11">
        <f>52957.4910060777/(10^3)</f>
        <v>52.957491006077696</v>
      </c>
      <c r="M26" s="11">
        <f>53822.7164949609/(10^3)</f>
        <v>53.8227164949609</v>
      </c>
      <c r="N26" s="11">
        <f>58332.5286489891/(10^3)</f>
        <v>58.332528648989097</v>
      </c>
      <c r="O26" s="11">
        <f>60166.0577355561/(10^3)</f>
        <v>60.166057735556102</v>
      </c>
      <c r="P26" s="11">
        <f>63143.498357252/(10^3)</f>
        <v>63.143498357252</v>
      </c>
      <c r="Q26" s="11">
        <f>636.782447976878/(10^3)</f>
        <v>0.636782447976878</v>
      </c>
      <c r="R26" s="11">
        <f>63792.1039968318/(10^3)</f>
        <v>63.792103996831798</v>
      </c>
      <c r="S26" s="11">
        <f>63420.0967450875/(10^3)</f>
        <v>63.420096745087505</v>
      </c>
      <c r="T26" s="11">
        <f>61871.3521927483/(10^3)</f>
        <v>61.871352192748304</v>
      </c>
      <c r="U26" s="11">
        <f>60181.3131955647/(10^3)</f>
        <v>60.181313195564698</v>
      </c>
      <c r="V26" s="11">
        <f>59612.9514439729/(10^3)</f>
        <v>59.612951443972904</v>
      </c>
      <c r="W26" s="11">
        <f>5913939.63229349/(10^3)</f>
        <v>5913.9396322934899</v>
      </c>
      <c r="X26" s="11">
        <f>61170.3471045683/(10^3)</f>
        <v>61.1703471045683</v>
      </c>
      <c r="Y26" s="11">
        <f>62598.6592168439/(10^3)</f>
        <v>62.598659216843899</v>
      </c>
      <c r="Z26" s="11">
        <f>61913.4565449114/(10^3)</f>
        <v>61.913456544911405</v>
      </c>
      <c r="AA26" s="11">
        <f>64808.1602295556/(10^3)</f>
        <v>64.808160229555597</v>
      </c>
      <c r="AB26" s="11">
        <f>66908.6277250739/(10^3)</f>
        <v>66.908627725073899</v>
      </c>
      <c r="AC26" s="11">
        <f>663.061309964019/(10^3)</f>
        <v>0.66306130996401891</v>
      </c>
      <c r="AD26" s="11">
        <f>66182.4231797937/(10^3)</f>
        <v>66.182423179793702</v>
      </c>
      <c r="AE26" s="11">
        <f>66105.9009586765/(10^3)</f>
        <v>66.1059009586765</v>
      </c>
      <c r="AF26" s="11">
        <f>64915.3201585615/(10^3)</f>
        <v>64.915320158561499</v>
      </c>
      <c r="AG26" s="11">
        <f>63504.4663970747/(10^3)</f>
        <v>63.504466397074701</v>
      </c>
      <c r="AH26" s="11">
        <f>63130.4632581109/(10^3)</f>
        <v>63.1304632581109</v>
      </c>
      <c r="AI26" s="11">
        <f>6610263.57155127/(10^3)</f>
        <v>6610.2635715512697</v>
      </c>
      <c r="AJ26" s="11">
        <f>64719.0271247904/(10^3)</f>
        <v>64.719027124790401</v>
      </c>
      <c r="AK26" s="11">
        <f>63043.7005528677/(10^3)</f>
        <v>63.043700552867698</v>
      </c>
      <c r="AL26" s="11">
        <f>64286.7940913687/(10^3)</f>
        <v>64.286794091368705</v>
      </c>
      <c r="AM26" s="11">
        <f>64491.1332026248/(10^3)</f>
        <v>64.491133202624795</v>
      </c>
      <c r="AN26" s="11">
        <f>66091.1612390729/(10^3)</f>
        <v>66.091161239072903</v>
      </c>
      <c r="AO26" s="11">
        <f>667.196992712122/(10^3)</f>
        <v>0.66719699271212196</v>
      </c>
      <c r="AP26" s="11">
        <f>69250.4959530362/(10^3)</f>
        <v>69.250495953036193</v>
      </c>
      <c r="AQ26" s="11">
        <f>63250.791069798/(10^3)</f>
        <v>63.250791069797998</v>
      </c>
      <c r="AR26" s="11">
        <f>60267.900269049/(10^3)</f>
        <v>60.267900269049001</v>
      </c>
      <c r="AS26" s="11">
        <f>58117.4731586019/(10^3)</f>
        <v>58.117473158601896</v>
      </c>
      <c r="AT26" s="11">
        <f>56863.8649267969/(10^3)</f>
        <v>56.8638649267969</v>
      </c>
      <c r="AU26" s="11">
        <f>5609769.43704577/(10^3)</f>
        <v>5609.7694370457693</v>
      </c>
      <c r="AV26" s="11">
        <f>54648.1990965161/(10^3)</f>
        <v>54.648199096516102</v>
      </c>
      <c r="AW26" s="11">
        <f>55484.7904727116/(10^3)</f>
        <v>55.484790472711595</v>
      </c>
      <c r="AX26" s="11">
        <f>56448.6262937642/(10^3)</f>
        <v>56.4486262937642</v>
      </c>
      <c r="AY26" s="11">
        <f>57494.7637644261/(10^3)</f>
        <v>57.494763764426096</v>
      </c>
      <c r="AZ26" s="11">
        <f>59555.9910788891/(10^3)</f>
        <v>59.5559910788891</v>
      </c>
      <c r="BA26" s="11">
        <f>612.05558129598/(10^3)</f>
        <v>0.61205558129598003</v>
      </c>
      <c r="BB26" s="11">
        <f>60556.0465010125/(10^3)</f>
        <v>60.556046501012496</v>
      </c>
      <c r="BC26" s="11">
        <f>54771.9391627723/(10^3)</f>
        <v>54.771939162772298</v>
      </c>
      <c r="BD26" s="11">
        <f>53869.4225505025/(10^3)</f>
        <v>53.869422550502506</v>
      </c>
      <c r="BE26" s="11">
        <f>52596.8382448182/(10^3)</f>
        <v>52.596838244818201</v>
      </c>
      <c r="BF26" s="11">
        <f>54191.6942603157/(10^3)</f>
        <v>54.1916942603157</v>
      </c>
      <c r="BG26" s="11">
        <f>5524531.79115591/(10^3)</f>
        <v>5524.5317911559105</v>
      </c>
      <c r="BH26" s="11">
        <f>55928.7054367688/(10^3)</f>
        <v>55.928705436768801</v>
      </c>
      <c r="BI26" s="11">
        <f>57551.1185915265/(10^3)</f>
        <v>57.551118591526503</v>
      </c>
      <c r="BJ26" s="11">
        <f>59789.4996333272/(10^3)</f>
        <v>59.789499633327196</v>
      </c>
      <c r="BK26" s="11">
        <f>60898.8403633651/(10^3)</f>
        <v>60.898840363365103</v>
      </c>
      <c r="BL26" s="11">
        <f>62512.2122945899/(10^3)</f>
        <v>62.512212294589901</v>
      </c>
      <c r="BM26" s="11">
        <f>626.134048118968/(10^3)</f>
        <v>0.626134048118968</v>
      </c>
      <c r="BN26" s="11">
        <f>63640.2882837277/(10^3)</f>
        <v>63.640288283727699</v>
      </c>
      <c r="BO26" s="11">
        <f>62603.0581337671/(10^3)</f>
        <v>62.603058133767099</v>
      </c>
      <c r="BP26" s="11">
        <f>59694.023762905/(10^3)</f>
        <v>59.694023762905005</v>
      </c>
      <c r="BQ26" s="11">
        <f>57911.4321246089/(10^3)</f>
        <v>57.911432124608901</v>
      </c>
      <c r="BR26" s="11">
        <f>57431.7789463004/(10^3)</f>
        <v>57.431778946300398</v>
      </c>
      <c r="BS26" s="11">
        <f>5619447.80288741/(10^3)</f>
        <v>5619.44780288741</v>
      </c>
      <c r="BT26" s="11">
        <f>55083.8240321706/(10^3)</f>
        <v>55.083824032170604</v>
      </c>
      <c r="BU26" s="11">
        <f>54324.0026806776/(10^3)</f>
        <v>54.324002680677602</v>
      </c>
      <c r="BV26" s="11">
        <f>53861.4219176191/(10^3)</f>
        <v>53.861421917619104</v>
      </c>
      <c r="BW26" s="11">
        <f>53153.3442138324/(10^3)</f>
        <v>53.153344213832405</v>
      </c>
      <c r="BX26" s="11">
        <f>54683.7696004607/(10^3)</f>
        <v>54.6837696004607</v>
      </c>
      <c r="BY26" s="11">
        <f>565.029111138287/(10^3)</f>
        <v>0.56502911113828702</v>
      </c>
      <c r="BZ26" s="11">
        <f>54843.5482188604/(10^3)</f>
        <v>54.843548218860398</v>
      </c>
      <c r="CA26" s="11">
        <f>50657.2046301332/(10^3)</f>
        <v>50.657204630133201</v>
      </c>
      <c r="CB26" s="11">
        <f>48781.3669280783/(10^3)</f>
        <v>48.781366928078299</v>
      </c>
      <c r="CC26" s="12"/>
      <c r="CZ26" s="11">
        <v>63.678244797687768</v>
      </c>
      <c r="DA26" s="11">
        <v>66.30613099640189</v>
      </c>
      <c r="DB26" s="11">
        <v>66.719699271212221</v>
      </c>
      <c r="DC26" s="11">
        <v>61.205558129598039</v>
      </c>
      <c r="DD26" s="11">
        <v>62.613404811896793</v>
      </c>
      <c r="DE26" s="11">
        <v>56.502911113828674</v>
      </c>
      <c r="DG26" s="11">
        <v>52.995135964209446</v>
      </c>
      <c r="DH26" s="11">
        <v>59.13939632293495</v>
      </c>
      <c r="DI26" s="11">
        <v>66.102635715512733</v>
      </c>
      <c r="DJ26" s="11">
        <v>56.097694370457646</v>
      </c>
      <c r="DK26" s="11">
        <v>55.245317911559063</v>
      </c>
      <c r="DL26" s="11">
        <v>56.19447802887413</v>
      </c>
      <c r="DN26" s="11"/>
    </row>
    <row r="27" spans="4:118" outlineLevel="1" x14ac:dyDescent="0.25">
      <c r="D27" s="10" t="s">
        <v>108</v>
      </c>
      <c r="E27" s="10" t="s">
        <v>95</v>
      </c>
      <c r="F27" s="10" t="s">
        <v>149</v>
      </c>
      <c r="G27" s="10"/>
      <c r="H27" s="62"/>
      <c r="I27" s="11">
        <f>48083/(10^3)</f>
        <v>48.082999999999998</v>
      </c>
      <c r="J27" s="11">
        <f>48377.1891333083/(10^3)</f>
        <v>48.377189133308299</v>
      </c>
      <c r="K27" s="11">
        <f>4927000.77488533/(10^3)</f>
        <v>4927.0007748853304</v>
      </c>
      <c r="L27" s="11">
        <f>49254.0666866299/(10^3)</f>
        <v>49.254066686629898</v>
      </c>
      <c r="M27" s="11">
        <f>47841.2185027104/(10^3)</f>
        <v>47.841218502710397</v>
      </c>
      <c r="N27" s="11">
        <f>51367.6410015766/(10^3)</f>
        <v>51.367641001576601</v>
      </c>
      <c r="O27" s="11">
        <f>51718.46643142/(10^3)</f>
        <v>51.718466431419998</v>
      </c>
      <c r="P27" s="11">
        <f>51737.8887482419/(10^3)</f>
        <v>51.7378887482419</v>
      </c>
      <c r="Q27" s="11">
        <f>538.383368259222/(10^3)</f>
        <v>0.53838336825922206</v>
      </c>
      <c r="R27" s="11">
        <f>54458.2843174844/(10^3)</f>
        <v>54.458284317484399</v>
      </c>
      <c r="S27" s="11">
        <f>54307.4759495759/(10^3)</f>
        <v>54.307475949575903</v>
      </c>
      <c r="T27" s="11">
        <f>51602.05580607/(10^3)</f>
        <v>51.602055806069998</v>
      </c>
      <c r="U27" s="11">
        <f>50066.3746459164/(10^3)</f>
        <v>50.066374645916405</v>
      </c>
      <c r="V27" s="11">
        <f>52063.2942583333/(10^3)</f>
        <v>52.0632942583333</v>
      </c>
      <c r="W27" s="11">
        <f>5243157.16787585/(10^3)</f>
        <v>5243.1571678758501</v>
      </c>
      <c r="X27" s="11">
        <f>52555.8990287333/(10^3)</f>
        <v>52.5558990287333</v>
      </c>
      <c r="Y27" s="11">
        <f>52088.1360744568/(10^3)</f>
        <v>52.088136074456798</v>
      </c>
      <c r="Z27" s="11">
        <f>53589.3364505247/(10^3)</f>
        <v>53.589336450524698</v>
      </c>
      <c r="AA27" s="11">
        <f>53322.5624171651/(10^3)</f>
        <v>53.322562417165102</v>
      </c>
      <c r="AB27" s="11">
        <f>53348.5787513236/(10^3)</f>
        <v>53.3485787513236</v>
      </c>
      <c r="AC27" s="11">
        <f>525.008204469778/(10^3)</f>
        <v>0.52500820446977803</v>
      </c>
      <c r="AD27" s="11">
        <f>52915.906050938/(10^3)</f>
        <v>52.915906050937998</v>
      </c>
      <c r="AE27" s="11">
        <f>49399.6556920117/(10^3)</f>
        <v>49.399655692011699</v>
      </c>
      <c r="AF27" s="11">
        <f>46570.3765843578/(10^3)</f>
        <v>46.570376584357803</v>
      </c>
      <c r="AG27" s="11">
        <f>46180.0645975468/(10^3)</f>
        <v>46.180064597546803</v>
      </c>
      <c r="AH27" s="11">
        <f>47400.3802391067/(10^3)</f>
        <v>47.400380239106703</v>
      </c>
      <c r="AI27" s="11">
        <f>4691875.5899904/(10^3)</f>
        <v>4691.8755899903999</v>
      </c>
      <c r="AJ27" s="11">
        <f>48327.2866951562/(10^3)</f>
        <v>48.327286695156204</v>
      </c>
      <c r="AK27" s="11">
        <f>47189.3272522884/(10^3)</f>
        <v>47.1893272522884</v>
      </c>
      <c r="AL27" s="11">
        <f>48992.4979133163/(10^3)</f>
        <v>48.992497913316299</v>
      </c>
      <c r="AM27" s="11">
        <f>50615.2161834647/(10^3)</f>
        <v>50.615216183464696</v>
      </c>
      <c r="AN27" s="11">
        <f>50712.0782077925/(10^3)</f>
        <v>50.712078207792501</v>
      </c>
      <c r="AO27" s="11">
        <f>511.031629857404/(10^3)</f>
        <v>0.51103162985740402</v>
      </c>
      <c r="AP27" s="11">
        <f>50918.7637649643/(10^3)</f>
        <v>50.918763764964304</v>
      </c>
      <c r="AQ27" s="11">
        <f>49967.5768728894/(10^3)</f>
        <v>49.967576872889403</v>
      </c>
      <c r="AR27" s="11">
        <f>47868.4616592589/(10^3)</f>
        <v>47.868461659258898</v>
      </c>
      <c r="AS27" s="11">
        <f>46407.9096090283/(10^3)</f>
        <v>46.407909609028302</v>
      </c>
      <c r="AT27" s="11">
        <f>45877.4663609109/(10^3)</f>
        <v>45.877466360910894</v>
      </c>
      <c r="AU27" s="11">
        <f>4405660.35577701/(10^3)</f>
        <v>4405.6603557770104</v>
      </c>
      <c r="AV27" s="11">
        <f>42325.2540059839/(10^3)</f>
        <v>42.325254005983901</v>
      </c>
      <c r="AW27" s="11">
        <f>44162.0882484315/(10^3)</f>
        <v>44.162088248431502</v>
      </c>
      <c r="AX27" s="11">
        <f>44413.5227911414/(10^3)</f>
        <v>44.413522791141396</v>
      </c>
      <c r="AY27" s="11">
        <f>45884.7735588887/(10^3)</f>
        <v>45.884773558888703</v>
      </c>
      <c r="AZ27" s="11">
        <f>47727.0294189265/(10^3)</f>
        <v>47.727029418926499</v>
      </c>
      <c r="BA27" s="11">
        <f>479.13150132338/(10^3)</f>
        <v>0.47913150132338</v>
      </c>
      <c r="BB27" s="11">
        <f>46877.2241512797/(10^3)</f>
        <v>46.877224151279698</v>
      </c>
      <c r="BC27" s="11">
        <f>45301.7576940467/(10^3)</f>
        <v>45.301757694046699</v>
      </c>
      <c r="BD27" s="11">
        <f>42521.7546109051/(10^3)</f>
        <v>42.521754610905106</v>
      </c>
      <c r="BE27" s="11">
        <f>42230.6813549322/(10^3)</f>
        <v>42.230681354932202</v>
      </c>
      <c r="BF27" s="11">
        <f>42477.7566983627/(10^3)</f>
        <v>42.477756698362697</v>
      </c>
      <c r="BG27" s="11">
        <f>4424003.17422304/(10^3)</f>
        <v>4424.0031742230403</v>
      </c>
      <c r="BH27" s="11">
        <f>45882.4439639808/(10^3)</f>
        <v>45.882443963980798</v>
      </c>
      <c r="BI27" s="11">
        <f>45449.5447726605/(10^3)</f>
        <v>45.449544772660495</v>
      </c>
      <c r="BJ27" s="11">
        <f>49361.5236838252/(10^3)</f>
        <v>49.361523683825205</v>
      </c>
      <c r="BK27" s="11">
        <f>50866.5734451347/(10^3)</f>
        <v>50.866573445134705</v>
      </c>
      <c r="BL27" s="11">
        <f>51103.4783954877/(10^3)</f>
        <v>51.103478395487699</v>
      </c>
      <c r="BM27" s="11">
        <f>533.691444388602/(10^3)</f>
        <v>0.53369144438860205</v>
      </c>
      <c r="BN27" s="11">
        <f>53174.5552810737/(10^3)</f>
        <v>53.174555281073701</v>
      </c>
      <c r="BO27" s="11">
        <f>52639.6276577049/(10^3)</f>
        <v>52.639627657704899</v>
      </c>
      <c r="BP27" s="11">
        <f>50266.1098555431/(10^3)</f>
        <v>50.2661098555431</v>
      </c>
      <c r="BQ27" s="11">
        <f>50144.5461772424/(10^3)</f>
        <v>50.144546177242404</v>
      </c>
      <c r="BR27" s="11">
        <f>48887.9790482805/(10^3)</f>
        <v>48.887979048280499</v>
      </c>
      <c r="BS27" s="11">
        <f>4880921.09422382/(10^3)</f>
        <v>4880.9210942238196</v>
      </c>
      <c r="BT27" s="11">
        <f>47697.8444133411/(10^3)</f>
        <v>47.697844413341102</v>
      </c>
      <c r="BU27" s="11">
        <f>47143.3240643391/(10^3)</f>
        <v>47.143324064339097</v>
      </c>
      <c r="BV27" s="11">
        <f>45772.2207676812/(10^3)</f>
        <v>45.772220767681205</v>
      </c>
      <c r="BW27" s="11">
        <f>44450.4957347454/(10^3)</f>
        <v>44.450495734745395</v>
      </c>
      <c r="BX27" s="11">
        <f>44707.5355839628/(10^3)</f>
        <v>44.707535583962802</v>
      </c>
      <c r="BY27" s="11">
        <f>454.30171974433/(10^3)</f>
        <v>0.45430171974432998</v>
      </c>
      <c r="BZ27" s="11">
        <f>47358.6720999771/(10^3)</f>
        <v>47.358672099977099</v>
      </c>
      <c r="CA27" s="11">
        <f>45979.6527590229/(10^3)</f>
        <v>45.979652759022905</v>
      </c>
      <c r="CB27" s="11">
        <f>44631.8737860379/(10^3)</f>
        <v>44.6318737860379</v>
      </c>
      <c r="CC27" s="12"/>
      <c r="CZ27" s="11">
        <v>53.838336825922205</v>
      </c>
      <c r="DA27" s="11">
        <v>52.500820446977762</v>
      </c>
      <c r="DB27" s="11">
        <v>51.103162985740411</v>
      </c>
      <c r="DC27" s="11">
        <v>47.913150132338046</v>
      </c>
      <c r="DD27" s="11">
        <v>53.369144438860204</v>
      </c>
      <c r="DE27" s="11">
        <v>45.430171974432966</v>
      </c>
      <c r="DG27" s="11">
        <v>49.270007748853331</v>
      </c>
      <c r="DH27" s="11">
        <v>52.43157167875848</v>
      </c>
      <c r="DI27" s="11">
        <v>46.918755899904042</v>
      </c>
      <c r="DJ27" s="11">
        <v>44.056603557770138</v>
      </c>
      <c r="DK27" s="11">
        <v>44.240031742230386</v>
      </c>
      <c r="DL27" s="11">
        <v>48.809210942238145</v>
      </c>
      <c r="DN27" s="11"/>
    </row>
    <row r="28" spans="4:118" ht="15" customHeight="1" outlineLevel="1" x14ac:dyDescent="0.25">
      <c r="D28" s="10" t="s">
        <v>110</v>
      </c>
      <c r="E28" s="10" t="s">
        <v>100</v>
      </c>
      <c r="F28" s="10" t="s">
        <v>180</v>
      </c>
      <c r="G28" s="10"/>
      <c r="H28" s="62"/>
      <c r="I28" s="11">
        <f>34998/(10^3)</f>
        <v>34.997999999999998</v>
      </c>
      <c r="J28" s="11">
        <f>36712.7932700905/(10^3)</f>
        <v>36.712793270090501</v>
      </c>
      <c r="K28" s="11">
        <f>3613041.62689899/(10^3)</f>
        <v>3613.0416268989902</v>
      </c>
      <c r="L28" s="11">
        <f>35234.7926364037/(10^3)</f>
        <v>35.234792636403697</v>
      </c>
      <c r="M28" s="11">
        <f>34217.9204488644/(10^3)</f>
        <v>34.217920448864405</v>
      </c>
      <c r="N28" s="11">
        <f>34718.6116485946/(10^3)</f>
        <v>34.718611648594596</v>
      </c>
      <c r="O28" s="11">
        <f>36391.5242035121/(10^3)</f>
        <v>36.391524203512098</v>
      </c>
      <c r="P28" s="11">
        <f>37534.6292149241/(10^3)</f>
        <v>37.534629214924095</v>
      </c>
      <c r="Q28" s="11">
        <f>378.266187963937/(10^3)</f>
        <v>0.37826618796393702</v>
      </c>
      <c r="R28" s="11">
        <f>38848.9944733776/(10^3)</f>
        <v>38.848994473377601</v>
      </c>
      <c r="S28" s="11">
        <f>38485.7902070887/(10^3)</f>
        <v>38.485790207088698</v>
      </c>
      <c r="T28" s="11">
        <f>37764.7301850049/(10^3)</f>
        <v>37.7647301850049</v>
      </c>
      <c r="U28" s="11">
        <f>36667.7808918814/(10^3)</f>
        <v>36.667780891881399</v>
      </c>
      <c r="V28" s="11">
        <f>36481.3164053559/(10^3)</f>
        <v>36.481316405355898</v>
      </c>
      <c r="W28" s="11">
        <f>3736409.94538653/(10^3)</f>
        <v>3736.4099453865301</v>
      </c>
      <c r="X28" s="11">
        <f>36489.3712508062/(10^3)</f>
        <v>36.489371250806201</v>
      </c>
      <c r="Y28" s="11">
        <f>38031.9733258208/(10^3)</f>
        <v>38.0319733258208</v>
      </c>
      <c r="Z28" s="11">
        <f>38289.8889541217/(10^3)</f>
        <v>38.2898889541217</v>
      </c>
      <c r="AA28" s="11">
        <f>40132.9995181035/(10^3)</f>
        <v>40.132999518103496</v>
      </c>
      <c r="AB28" s="11">
        <f>41521.3461602424/(10^3)</f>
        <v>41.521346160242402</v>
      </c>
      <c r="AC28" s="11">
        <f>428.598110022379/(10^3)</f>
        <v>0.42859811002237896</v>
      </c>
      <c r="AD28" s="11">
        <f>43463.1260949702/(10^3)</f>
        <v>43.4631260949702</v>
      </c>
      <c r="AE28" s="11">
        <f>43061.5140301303/(10^3)</f>
        <v>43.061514030130304</v>
      </c>
      <c r="AF28" s="11">
        <f>42347.4572254604/(10^3)</f>
        <v>42.347457225460396</v>
      </c>
      <c r="AG28" s="11">
        <f>42166.074673829/(10^3)</f>
        <v>42.166074673829002</v>
      </c>
      <c r="AH28" s="11">
        <f>41861.4495048314/(10^3)</f>
        <v>41.861449504831398</v>
      </c>
      <c r="AI28" s="11">
        <f>4318253.80957439/(10^3)</f>
        <v>4318.2538095743894</v>
      </c>
      <c r="AJ28" s="11">
        <f>44328.8110379345/(10^3)</f>
        <v>44.3288110379345</v>
      </c>
      <c r="AK28" s="11">
        <f>45252.208739511/(10^3)</f>
        <v>45.252208739510998</v>
      </c>
      <c r="AL28" s="11">
        <f>46445.9095568398/(10^3)</f>
        <v>46.445909556839794</v>
      </c>
      <c r="AM28" s="11">
        <f>47544.8394176693/(10^3)</f>
        <v>47.544839417669294</v>
      </c>
      <c r="AN28" s="11">
        <f>49492.2339292381/(10^3)</f>
        <v>49.492233929238097</v>
      </c>
      <c r="AO28" s="11">
        <f>505.792336966929/(10^3)</f>
        <v>0.50579233696692893</v>
      </c>
      <c r="AP28" s="11">
        <f>52614.2792756475/(10^3)</f>
        <v>52.614279275647505</v>
      </c>
      <c r="AQ28" s="11">
        <f>48215.3723083138/(10^3)</f>
        <v>48.215372308313803</v>
      </c>
      <c r="AR28" s="11">
        <f>47383.4666914527/(10^3)</f>
        <v>47.383466691452696</v>
      </c>
      <c r="AS28" s="11">
        <f>47375.3105769559/(10^3)</f>
        <v>47.375310576955897</v>
      </c>
      <c r="AT28" s="11">
        <f>45232.7854230165/(10^3)</f>
        <v>45.232785423016502</v>
      </c>
      <c r="AU28" s="11">
        <f>4320282.31446165/(10^3)</f>
        <v>4320.2823144616505</v>
      </c>
      <c r="AV28" s="11">
        <f>41432.3993651724/(10^3)</f>
        <v>41.432399365172401</v>
      </c>
      <c r="AW28" s="11">
        <f>43154.9403541049/(10^3)</f>
        <v>43.154940354104902</v>
      </c>
      <c r="AX28" s="11">
        <f>43711.7888574967/(10^3)</f>
        <v>43.7117888574967</v>
      </c>
      <c r="AY28" s="11">
        <f>45663.7165971851/(10^3)</f>
        <v>45.6637165971851</v>
      </c>
      <c r="AZ28" s="11">
        <f>47242.178126132/(10^3)</f>
        <v>47.242178126131996</v>
      </c>
      <c r="BA28" s="11">
        <f>474.881377482269/(10^3)</f>
        <v>0.474881377482269</v>
      </c>
      <c r="BB28" s="11">
        <f>47349.9109931049/(10^3)</f>
        <v>47.349910993104899</v>
      </c>
      <c r="BC28" s="11">
        <f>45999.1622313909/(10^3)</f>
        <v>45.999162231390905</v>
      </c>
      <c r="BD28" s="11">
        <f>43298.6082506817/(10^3)</f>
        <v>43.298608250681696</v>
      </c>
      <c r="BE28" s="11">
        <f>40367.1997781619/(10^3)</f>
        <v>40.367199778161897</v>
      </c>
      <c r="BF28" s="11">
        <f>41266.870961738/(10^3)</f>
        <v>41.266870961738</v>
      </c>
      <c r="BG28" s="11">
        <f>4097614.41277666/(10^3)</f>
        <v>4097.6144127766602</v>
      </c>
      <c r="BH28" s="11">
        <f>42174.4788799704/(10^3)</f>
        <v>42.174478879970394</v>
      </c>
      <c r="BI28" s="11">
        <f>43025.9285584618/(10^3)</f>
        <v>43.0259285584618</v>
      </c>
      <c r="BJ28" s="11">
        <f>45553.8726248179/(10^3)</f>
        <v>45.553872624817899</v>
      </c>
      <c r="BK28" s="11">
        <f>47117.745732151/(10^3)</f>
        <v>47.117745732151</v>
      </c>
      <c r="BL28" s="11">
        <f>48959.9625732256/(10^3)</f>
        <v>48.959962573225603</v>
      </c>
      <c r="BM28" s="11">
        <f>506.806969602986/(10^3)</f>
        <v>0.50680696960298599</v>
      </c>
      <c r="BN28" s="11">
        <f>49589.7889770098/(10^3)</f>
        <v>49.589788977009796</v>
      </c>
      <c r="BO28" s="11">
        <f>44640.4166061405/(10^3)</f>
        <v>44.640416606140498</v>
      </c>
      <c r="BP28" s="11">
        <f>43049.6731347969/(10^3)</f>
        <v>43.049673134796905</v>
      </c>
      <c r="BQ28" s="11">
        <f>42754.7714258775/(10^3)</f>
        <v>42.7547714258775</v>
      </c>
      <c r="BR28" s="11">
        <f>42211.8884003164/(10^3)</f>
        <v>42.211888400316397</v>
      </c>
      <c r="BS28" s="11">
        <f>4162590.14519383/(10^3)</f>
        <v>4162.5901451938298</v>
      </c>
      <c r="BT28" s="11">
        <f>41134.9610984575/(10^3)</f>
        <v>41.134961098457495</v>
      </c>
      <c r="BU28" s="11">
        <f>40659.8742048154/(10^3)</f>
        <v>40.659874204815402</v>
      </c>
      <c r="BV28" s="11">
        <f>39763.3186655852/(10^3)</f>
        <v>39.763318665585196</v>
      </c>
      <c r="BW28" s="11">
        <f>39502.7638864482/(10^3)</f>
        <v>39.5027638864482</v>
      </c>
      <c r="BX28" s="11">
        <f>39678.1943327199/(10^3)</f>
        <v>39.678194332719897</v>
      </c>
      <c r="BY28" s="11">
        <f>400.000904441007/(10^3)</f>
        <v>0.400000904441007</v>
      </c>
      <c r="BZ28" s="11">
        <f>40656.4551901138/(10^3)</f>
        <v>40.656455190113796</v>
      </c>
      <c r="CA28" s="11">
        <f>38038.0164212337/(10^3)</f>
        <v>38.038016421233699</v>
      </c>
      <c r="CB28" s="11">
        <f>38002.7607591155/(10^3)</f>
        <v>38.002760759115503</v>
      </c>
      <c r="CC28" s="12"/>
      <c r="CZ28" s="11">
        <v>37.82661879639371</v>
      </c>
      <c r="DA28" s="11">
        <v>42.859811002237876</v>
      </c>
      <c r="DB28" s="11">
        <v>50.579233696692953</v>
      </c>
      <c r="DC28" s="11">
        <v>47.488137748226926</v>
      </c>
      <c r="DD28" s="11">
        <v>50.680696960298597</v>
      </c>
      <c r="DE28" s="11">
        <v>40.000090444100699</v>
      </c>
      <c r="DG28" s="11">
        <v>36.130416268989883</v>
      </c>
      <c r="DH28" s="11">
        <v>37.3640994538653</v>
      </c>
      <c r="DI28" s="11">
        <v>43.182538095743851</v>
      </c>
      <c r="DJ28" s="11">
        <v>43.202823144616488</v>
      </c>
      <c r="DK28" s="11">
        <v>40.976144127766588</v>
      </c>
      <c r="DL28" s="11">
        <v>41.625901451938262</v>
      </c>
      <c r="DN28" s="11"/>
    </row>
    <row r="29" spans="4:118" outlineLevel="1" x14ac:dyDescent="0.25">
      <c r="D29" s="10" t="s">
        <v>112</v>
      </c>
      <c r="E29" s="10" t="s">
        <v>100</v>
      </c>
      <c r="F29" s="10" t="s">
        <v>180</v>
      </c>
      <c r="G29" s="10"/>
      <c r="H29" s="62"/>
      <c r="I29" s="11">
        <f>111485/(10^3)</f>
        <v>111.485</v>
      </c>
      <c r="J29" s="11">
        <f>108359.29120276/(10^3)</f>
        <v>108.35929120275999</v>
      </c>
      <c r="K29" s="11">
        <f>11165075.3498711/(10^3)</f>
        <v>11165.0753498711</v>
      </c>
      <c r="L29" s="11">
        <f>109871.187233353/(10^3)</f>
        <v>109.871187233353</v>
      </c>
      <c r="M29" s="11">
        <f>109421.477100448/(10^3)</f>
        <v>109.421477100448</v>
      </c>
      <c r="N29" s="11">
        <f>117958.375162572/(10^3)</f>
        <v>117.958375162572</v>
      </c>
      <c r="O29" s="11">
        <f>119512.780404337/(10^3)</f>
        <v>119.51278040433699</v>
      </c>
      <c r="P29" s="11">
        <f>125035.682591139/(10^3)</f>
        <v>125.03568259113901</v>
      </c>
      <c r="Q29" s="11">
        <f>1265.54361771728/(10^3)</f>
        <v>1.2655436177172801</v>
      </c>
      <c r="R29" s="11">
        <f>122977.470783421/(10^3)</f>
        <v>122.977470783421</v>
      </c>
      <c r="S29" s="11">
        <f>122725.888858983/(10^3)</f>
        <v>122.725888858983</v>
      </c>
      <c r="T29" s="11">
        <f>119627.628277001/(10^3)</f>
        <v>119.62762827700099</v>
      </c>
      <c r="U29" s="11">
        <f>119295.15821871/(10^3)</f>
        <v>119.29515821871</v>
      </c>
      <c r="V29" s="11">
        <f>115783.34367002/(10^3)</f>
        <v>115.78334367002</v>
      </c>
      <c r="W29" s="11">
        <f>12121764.7092736/(10^3)</f>
        <v>12121.764709273599</v>
      </c>
      <c r="X29" s="11">
        <f>124287.207751728/(10^3)</f>
        <v>124.287207751728</v>
      </c>
      <c r="Y29" s="11">
        <f>125433.999711247/(10^3)</f>
        <v>125.433999711247</v>
      </c>
      <c r="Z29" s="11">
        <f>121817.406448494/(10^3)</f>
        <v>121.817406448494</v>
      </c>
      <c r="AA29" s="11">
        <f>125523.766292239/(10^3)</f>
        <v>125.523766292239</v>
      </c>
      <c r="AB29" s="11">
        <f>126327.110581923/(10^3)</f>
        <v>126.32711058192299</v>
      </c>
      <c r="AC29" s="11">
        <f>1271.39875611271/(10^3)</f>
        <v>1.27139875611271</v>
      </c>
      <c r="AD29" s="11">
        <f>132857.419706516/(10^3)</f>
        <v>132.857419706516</v>
      </c>
      <c r="AE29" s="11">
        <f>128104.090401203/(10^3)</f>
        <v>128.104090401203</v>
      </c>
      <c r="AF29" s="11">
        <f>115840.356245018/(10^3)</f>
        <v>115.840356245018</v>
      </c>
      <c r="AG29" s="11">
        <f>114857.252567689/(10^3)</f>
        <v>114.857252567689</v>
      </c>
      <c r="AH29" s="11">
        <f>115146.000787194/(10^3)</f>
        <v>115.146000787194</v>
      </c>
      <c r="AI29" s="11">
        <f>11788792.4543417/(10^3)</f>
        <v>11788.792454341701</v>
      </c>
      <c r="AJ29" s="11">
        <f>114852.096736727/(10^3)</f>
        <v>114.85209673672701</v>
      </c>
      <c r="AK29" s="11">
        <f>112641.034491363/(10^3)</f>
        <v>112.641034491363</v>
      </c>
      <c r="AL29" s="11">
        <f>112884.571112752/(10^3)</f>
        <v>112.884571112752</v>
      </c>
      <c r="AM29" s="11">
        <f>118003.636251596/(10^3)</f>
        <v>118.00363625159601</v>
      </c>
      <c r="AN29" s="11">
        <f>121862.622400922/(10^3)</f>
        <v>121.86262240092201</v>
      </c>
      <c r="AO29" s="11">
        <f>1240.67982368204/(10^3)</f>
        <v>1.24067982368204</v>
      </c>
      <c r="AP29" s="11">
        <f>128570.149564014/(10^3)</f>
        <v>128.570149564014</v>
      </c>
      <c r="AQ29" s="11">
        <f>117787.333038895/(10^3)</f>
        <v>117.787333038895</v>
      </c>
      <c r="AR29" s="11">
        <f>114291.293263474/(10^3)</f>
        <v>114.291293263474</v>
      </c>
      <c r="AS29" s="11">
        <f>111393.481084783/(10^3)</f>
        <v>111.39348108478299</v>
      </c>
      <c r="AT29" s="11">
        <f>107497.102064293/(10^3)</f>
        <v>107.49710206429299</v>
      </c>
      <c r="AU29" s="11">
        <f>10617106.6227112/(10^3)</f>
        <v>10617.106622711201</v>
      </c>
      <c r="AV29" s="11">
        <f>105238.052952286/(10^3)</f>
        <v>105.238052952286</v>
      </c>
      <c r="AW29" s="11">
        <f>109017.120756849/(10^3)</f>
        <v>109.01712075684901</v>
      </c>
      <c r="AX29" s="11">
        <f>113958.585040989/(10^3)</f>
        <v>113.95858504098899</v>
      </c>
      <c r="AY29" s="11">
        <f>117662.537798392/(10^3)</f>
        <v>117.66253779839201</v>
      </c>
      <c r="AZ29" s="11">
        <f>118408.792025468/(10^3)</f>
        <v>118.408792025468</v>
      </c>
      <c r="BA29" s="11">
        <f>1243.13767216796/(10^3)</f>
        <v>1.2431376721679601</v>
      </c>
      <c r="BB29" s="11">
        <f>124328.220865225/(10^3)</f>
        <v>124.32822086522499</v>
      </c>
      <c r="BC29" s="11">
        <f>115004.845066374/(10^3)</f>
        <v>115.00484506637399</v>
      </c>
      <c r="BD29" s="11">
        <f>114218.048261061/(10^3)</f>
        <v>114.218048261061</v>
      </c>
      <c r="BE29" s="11">
        <f>106257.187978758/(10^3)</f>
        <v>106.257187978758</v>
      </c>
      <c r="BF29" s="11">
        <f>107497.234362883/(10^3)</f>
        <v>107.49723436288299</v>
      </c>
      <c r="BG29" s="11">
        <f>11260090.2199533/(10^3)</f>
        <v>11260.090219953301</v>
      </c>
      <c r="BH29" s="11">
        <f>116277.669307976/(10^3)</f>
        <v>116.277669307976</v>
      </c>
      <c r="BI29" s="11">
        <f>113197.736386115/(10^3)</f>
        <v>113.197736386115</v>
      </c>
      <c r="BJ29" s="11">
        <f>118521.328744405/(10^3)</f>
        <v>118.521328744405</v>
      </c>
      <c r="BK29" s="11">
        <f>124442.603943848/(10^3)</f>
        <v>124.442603943848</v>
      </c>
      <c r="BL29" s="11">
        <f>128725.873880989/(10^3)</f>
        <v>128.72587388098901</v>
      </c>
      <c r="BM29" s="11">
        <f>1336.76974077485/(10^3)</f>
        <v>1.33676974077485</v>
      </c>
      <c r="BN29" s="11">
        <f>134219.940261858/(10^3)</f>
        <v>134.219940261858</v>
      </c>
      <c r="BO29" s="11">
        <f>129554.912033549/(10^3)</f>
        <v>129.55491203354899</v>
      </c>
      <c r="BP29" s="11">
        <f>124496.296485372/(10^3)</f>
        <v>124.496296485372</v>
      </c>
      <c r="BQ29" s="11">
        <f>123122.292919384/(10^3)</f>
        <v>123.12229291938399</v>
      </c>
      <c r="BR29" s="11">
        <f>119794.371513415/(10^3)</f>
        <v>119.794371513415</v>
      </c>
      <c r="BS29" s="11">
        <f>11736844.2862672/(10^3)</f>
        <v>11736.8442862672</v>
      </c>
      <c r="BT29" s="11">
        <f>116015.561028679/(10^3)</f>
        <v>116.015561028679</v>
      </c>
      <c r="BU29" s="11">
        <f>113789.884066742/(10^3)</f>
        <v>113.789884066742</v>
      </c>
      <c r="BV29" s="11">
        <f>111050.042040625/(10^3)</f>
        <v>111.050042040625</v>
      </c>
      <c r="BW29" s="11">
        <f>110058.894787659/(10^3)</f>
        <v>110.058894787659</v>
      </c>
      <c r="BX29" s="11">
        <f>111014.324244836/(10^3)</f>
        <v>111.01432424483599</v>
      </c>
      <c r="BY29" s="11">
        <f>1145.15717599059/(10^3)</f>
        <v>1.1451571759905901</v>
      </c>
      <c r="BZ29" s="11">
        <f>117729.032654827/(10^3)</f>
        <v>117.72903265482699</v>
      </c>
      <c r="CA29" s="11">
        <f>108388.186085306/(10^3)</f>
        <v>108.388186085306</v>
      </c>
      <c r="CB29" s="11">
        <f>105886.715760713/(10^3)</f>
        <v>105.886715760713</v>
      </c>
      <c r="CC29" s="12"/>
      <c r="CZ29" s="11">
        <v>126.55436177172844</v>
      </c>
      <c r="DA29" s="11">
        <v>127.13987561127054</v>
      </c>
      <c r="DB29" s="11">
        <v>124.06798236820387</v>
      </c>
      <c r="DC29" s="11">
        <v>124.31376721679612</v>
      </c>
      <c r="DD29" s="11">
        <v>133.67697407748491</v>
      </c>
      <c r="DE29" s="11">
        <v>114.51571759905939</v>
      </c>
      <c r="DG29" s="11">
        <v>111.6507534987108</v>
      </c>
      <c r="DH29" s="11">
        <v>121.21764709273641</v>
      </c>
      <c r="DI29" s="11">
        <v>117.88792454341744</v>
      </c>
      <c r="DJ29" s="11">
        <v>106.17106622711246</v>
      </c>
      <c r="DK29" s="11">
        <v>112.60090219953292</v>
      </c>
      <c r="DL29" s="11">
        <v>117.36844286267203</v>
      </c>
      <c r="DN29" s="11"/>
    </row>
    <row r="30" spans="4:118" outlineLevel="1" x14ac:dyDescent="0.25">
      <c r="D30" s="10" t="s">
        <v>114</v>
      </c>
      <c r="E30" s="10" t="s">
        <v>103</v>
      </c>
      <c r="F30" s="10" t="s">
        <v>180</v>
      </c>
      <c r="G30" s="10"/>
      <c r="H30" s="62"/>
      <c r="I30" s="11">
        <f>12800/(10^3)</f>
        <v>12.8</v>
      </c>
      <c r="J30" s="11">
        <f>12889.451288834/(10^3)</f>
        <v>12.889451288834</v>
      </c>
      <c r="K30" s="11">
        <f>1264033.18101007/(10^3)</f>
        <v>1264.0331810100699</v>
      </c>
      <c r="L30" s="11">
        <f>12362.5820716958/(10^3)</f>
        <v>12.362582071695801</v>
      </c>
      <c r="M30" s="11">
        <f>12153.8326510236/(10^3)</f>
        <v>12.153832651023601</v>
      </c>
      <c r="N30" s="11">
        <f>12458.8331762848/(10^3)</f>
        <v>12.458833176284799</v>
      </c>
      <c r="O30" s="11">
        <f>12819.437795726/(10^3)</f>
        <v>12.819437795726</v>
      </c>
      <c r="P30" s="11">
        <f>12950.9794755337/(10^3)</f>
        <v>12.950979475533702</v>
      </c>
      <c r="Q30" s="11">
        <f>131.233160785887/(10^3)</f>
        <v>0.13123316078588701</v>
      </c>
      <c r="R30" s="11">
        <f>13471.5738104953/(10^3)</f>
        <v>13.4715738104953</v>
      </c>
      <c r="S30" s="11">
        <f>12400.6146638301/(10^3)</f>
        <v>12.400614663830099</v>
      </c>
      <c r="T30" s="11">
        <f>11926.4725210881/(10^3)</f>
        <v>11.926472521088101</v>
      </c>
      <c r="U30" s="11">
        <f>11635.4493697614/(10^3)</f>
        <v>11.6354493697614</v>
      </c>
      <c r="V30" s="11">
        <f>12139.0221062706/(10^3)</f>
        <v>12.1390221062706</v>
      </c>
      <c r="W30" s="11">
        <f>1188863.87815308/(10^3)</f>
        <v>1188.8638781530799</v>
      </c>
      <c r="X30" s="11">
        <f>11748.2947652819/(10^3)</f>
        <v>11.7482947652819</v>
      </c>
      <c r="Y30" s="11">
        <f>12282.5680888686/(10^3)</f>
        <v>12.282568088868601</v>
      </c>
      <c r="Z30" s="11">
        <f>12084.9225705803/(10^3)</f>
        <v>12.0849225705803</v>
      </c>
      <c r="AA30" s="11">
        <f>12267.9700637734/(10^3)</f>
        <v>12.267970063773401</v>
      </c>
      <c r="AB30" s="11">
        <f>12203.6548402116/(10^3)</f>
        <v>12.2036548402116</v>
      </c>
      <c r="AC30" s="11">
        <f>126.320149157165/(10^3)</f>
        <v>0.126320149157165</v>
      </c>
      <c r="AD30" s="11">
        <f>12385.9687995091/(10^3)</f>
        <v>12.385968799509101</v>
      </c>
      <c r="AE30" s="11">
        <f>11367.2088943693/(10^3)</f>
        <v>11.3672088943693</v>
      </c>
      <c r="AF30" s="11">
        <f>11157.6674095722/(10^3)</f>
        <v>11.157667409572198</v>
      </c>
      <c r="AG30" s="11">
        <f>10841.2513027927/(10^3)</f>
        <v>10.841251302792699</v>
      </c>
      <c r="AH30" s="11">
        <f>10807.0305965548/(10^3)</f>
        <v>10.807030596554799</v>
      </c>
      <c r="AI30" s="11">
        <f>1112031.5895684/(10^3)</f>
        <v>1112.0315895684</v>
      </c>
      <c r="AJ30" s="11">
        <f>11366.3185356471/(10^3)</f>
        <v>11.3663185356471</v>
      </c>
      <c r="AK30" s="11">
        <f>11073.3006394809/(10^3)</f>
        <v>11.0733006394809</v>
      </c>
      <c r="AL30" s="11">
        <f>11607.2392826792/(10^3)</f>
        <v>11.607239282679201</v>
      </c>
      <c r="AM30" s="11">
        <f>11473.8643847155/(10^3)</f>
        <v>11.473864384715499</v>
      </c>
      <c r="AN30" s="11">
        <f>11298.0095320156/(10^3)</f>
        <v>11.2980095320156</v>
      </c>
      <c r="AO30" s="11">
        <f>112.65048212655/(10^3)</f>
        <v>0.11265048212655</v>
      </c>
      <c r="AP30" s="11">
        <f>11303.7780954344/(10^3)</f>
        <v>11.303778095434399</v>
      </c>
      <c r="AQ30" s="11">
        <f>11431.4786835974/(10^3)</f>
        <v>11.431478683597399</v>
      </c>
      <c r="AR30" s="11">
        <f>11938.6862962858/(10^3)</f>
        <v>11.9386862962858</v>
      </c>
      <c r="AS30" s="11">
        <f>11912.2258840349/(10^3)</f>
        <v>11.9122258840349</v>
      </c>
      <c r="AT30" s="11">
        <f>11809.4171030379/(10^3)</f>
        <v>11.8094171030379</v>
      </c>
      <c r="AU30" s="11">
        <f>1193105.95156076/(10^3)</f>
        <v>1193.1059515607599</v>
      </c>
      <c r="AV30" s="11">
        <f>12038.7469379353/(10^3)</f>
        <v>12.038746937935301</v>
      </c>
      <c r="AW30" s="11">
        <f>12105.5808538758/(10^3)</f>
        <v>12.1055808538758</v>
      </c>
      <c r="AX30" s="11">
        <f>13085.8710528823/(10^3)</f>
        <v>13.085871052882299</v>
      </c>
      <c r="AY30" s="11">
        <f>13725.690893642/(10^3)</f>
        <v>13.725690893642</v>
      </c>
      <c r="AZ30" s="11">
        <f>14131.1782810176/(10^3)</f>
        <v>14.131178281017599</v>
      </c>
      <c r="BA30" s="11">
        <f>147.418568913066/(10^3)</f>
        <v>0.14741856891306598</v>
      </c>
      <c r="BB30" s="11">
        <f>14562.9454558783/(10^3)</f>
        <v>14.5629454558783</v>
      </c>
      <c r="BC30" s="11">
        <f>13725.3756844523/(10^3)</f>
        <v>13.725375684452299</v>
      </c>
      <c r="BD30" s="11">
        <f>13080.1255933515/(10^3)</f>
        <v>13.0801255933515</v>
      </c>
      <c r="BE30" s="11">
        <f>11833.248611113/(10^3)</f>
        <v>11.833248611113</v>
      </c>
      <c r="BF30" s="11">
        <f>11878.4907850023/(10^3)</f>
        <v>11.878490785002299</v>
      </c>
      <c r="BG30" s="11">
        <f>1229913.93639866/(10^3)</f>
        <v>1229.9139363986601</v>
      </c>
      <c r="BH30" s="11">
        <f>12642.4363122904/(10^3)</f>
        <v>12.6424363122904</v>
      </c>
      <c r="BI30" s="11">
        <f>13124.4783725437/(10^3)</f>
        <v>13.124478372543699</v>
      </c>
      <c r="BJ30" s="11">
        <f>13223.8038334746/(10^3)</f>
        <v>13.2238038334746</v>
      </c>
      <c r="BK30" s="11">
        <f>13534.6857709628/(10^3)</f>
        <v>13.534685770962801</v>
      </c>
      <c r="BL30" s="11">
        <f>13775.9584106299/(10^3)</f>
        <v>13.775958410629901</v>
      </c>
      <c r="BM30" s="11">
        <f>143.563106181526/(10^3)</f>
        <v>0.14356310618152598</v>
      </c>
      <c r="BN30" s="11">
        <f>14232.4724512034/(10^3)</f>
        <v>14.232472451203401</v>
      </c>
      <c r="BO30" s="11">
        <f>13359.9512381631/(10^3)</f>
        <v>13.359951238163099</v>
      </c>
      <c r="BP30" s="11">
        <f>12934.0619896926/(10^3)</f>
        <v>12.9340619896926</v>
      </c>
      <c r="BQ30" s="11">
        <f>12880.0740739669/(10^3)</f>
        <v>12.880074073966901</v>
      </c>
      <c r="BR30" s="11">
        <f>12507.5682449513/(10^3)</f>
        <v>12.507568244951301</v>
      </c>
      <c r="BS30" s="11">
        <f>1242622.47760052/(10^3)</f>
        <v>1242.6224776005199</v>
      </c>
      <c r="BT30" s="11">
        <f>12165.4828423209/(10^3)</f>
        <v>12.1654828423209</v>
      </c>
      <c r="BU30" s="11">
        <f>11869.9001173208/(10^3)</f>
        <v>11.8699001173208</v>
      </c>
      <c r="BV30" s="11">
        <f>11515.2739034883/(10^3)</f>
        <v>11.5152739034883</v>
      </c>
      <c r="BW30" s="11">
        <f>11266.0205895186/(10^3)</f>
        <v>11.2660205895186</v>
      </c>
      <c r="BX30" s="11">
        <f>11759.0185005773/(10^3)</f>
        <v>11.7590185005773</v>
      </c>
      <c r="BY30" s="11">
        <f>118.862489745803/(10^3)</f>
        <v>0.118862489745803</v>
      </c>
      <c r="BZ30" s="11">
        <f>11753.8907576652/(10^3)</f>
        <v>11.7538907576652</v>
      </c>
      <c r="CA30" s="11">
        <f>11425.7050282503/(10^3)</f>
        <v>11.425705028250301</v>
      </c>
      <c r="CB30" s="11">
        <f>11005.7992173623/(10^3)</f>
        <v>11.0057992173623</v>
      </c>
      <c r="CC30" s="12"/>
      <c r="CZ30" s="11">
        <v>13.123316078588656</v>
      </c>
      <c r="DA30" s="11">
        <v>12.6320149157165</v>
      </c>
      <c r="DB30" s="11">
        <v>11.265048212655046</v>
      </c>
      <c r="DC30" s="11">
        <v>14.741856891306597</v>
      </c>
      <c r="DD30" s="11">
        <v>14.35631061815265</v>
      </c>
      <c r="DE30" s="11">
        <v>11.886248974580294</v>
      </c>
      <c r="DG30" s="11">
        <v>12.640331810100731</v>
      </c>
      <c r="DH30" s="11">
        <v>11.888638781530798</v>
      </c>
      <c r="DI30" s="11">
        <v>11.12031589568395</v>
      </c>
      <c r="DJ30" s="11">
        <v>11.931059515607636</v>
      </c>
      <c r="DK30" s="11">
        <v>12.299139363986603</v>
      </c>
      <c r="DL30" s="11">
        <v>12.426224776005231</v>
      </c>
      <c r="DN30" s="11"/>
    </row>
    <row r="31" spans="4:118" outlineLevel="1" x14ac:dyDescent="0.25">
      <c r="D31" s="10" t="s">
        <v>116</v>
      </c>
      <c r="E31" s="10" t="s">
        <v>104</v>
      </c>
      <c r="F31" s="10" t="s">
        <v>150</v>
      </c>
      <c r="G31" s="10"/>
      <c r="H31" s="62"/>
      <c r="I31" s="11">
        <f>9332/(10^3)</f>
        <v>9.3320000000000007</v>
      </c>
      <c r="J31" s="11">
        <f>9754.68273366962/(10^3)</f>
        <v>9.75468273366962</v>
      </c>
      <c r="K31" s="11">
        <f>1014611.27130063/(10^3)</f>
        <v>1014.6112713006299</v>
      </c>
      <c r="L31" s="11">
        <f>10095.8972008391/(10^3)</f>
        <v>10.095897200839099</v>
      </c>
      <c r="M31" s="11">
        <f>10393.8569579623/(10^3)</f>
        <v>10.393856957962299</v>
      </c>
      <c r="N31" s="11">
        <f>11174.990125537/(10^3)</f>
        <v>11.174990125537001</v>
      </c>
      <c r="O31" s="11">
        <f>11208.5744988071/(10^3)</f>
        <v>11.208574498807099</v>
      </c>
      <c r="P31" s="11">
        <f>11765.167602313/(10^3)</f>
        <v>11.765167602313001</v>
      </c>
      <c r="Q31" s="11">
        <f>123.026370452546/(10^3)</f>
        <v>0.12302637045254601</v>
      </c>
      <c r="R31" s="11">
        <f>12052.2172845774/(10^3)</f>
        <v>12.0522172845774</v>
      </c>
      <c r="S31" s="11">
        <f>11108.9374306966/(10^3)</f>
        <v>11.108937430696599</v>
      </c>
      <c r="T31" s="11">
        <f>11092.2509917231/(10^3)</f>
        <v>11.0922509917231</v>
      </c>
      <c r="U31" s="11">
        <f>10925.814813889/(10^3)</f>
        <v>10.925814813889</v>
      </c>
      <c r="V31" s="11">
        <f>10898.6572146114/(10^3)</f>
        <v>10.898657214611399</v>
      </c>
      <c r="W31" s="11">
        <f>1070681.00059708/(10^3)</f>
        <v>1070.6810005970799</v>
      </c>
      <c r="X31" s="11">
        <f>11229.8736495401/(10^3)</f>
        <v>11.229873649540101</v>
      </c>
      <c r="Y31" s="11">
        <f>11036.6890536853/(10^3)</f>
        <v>11.036689053685301</v>
      </c>
      <c r="Z31" s="11">
        <f>11555.7359535133/(10^3)</f>
        <v>11.555735953513301</v>
      </c>
      <c r="AA31" s="11">
        <f>11509.8249471237/(10^3)</f>
        <v>11.5098249471237</v>
      </c>
      <c r="AB31" s="11">
        <f>11219.7341405563/(10^3)</f>
        <v>11.2197341405563</v>
      </c>
      <c r="AC31" s="11">
        <f>111.152062467196/(10^3)</f>
        <v>0.111152062467196</v>
      </c>
      <c r="AD31" s="11">
        <f>11025.4718849569/(10^3)</f>
        <v>11.0254718849569</v>
      </c>
      <c r="AE31" s="11">
        <f>10280.8288833533/(10^3)</f>
        <v>10.280828883353301</v>
      </c>
      <c r="AF31" s="11">
        <f>10089.2080441995/(10^3)</f>
        <v>10.0892080441995</v>
      </c>
      <c r="AG31" s="11">
        <f>9940.77797781178/(10^3)</f>
        <v>9.9407779778117806</v>
      </c>
      <c r="AH31" s="11">
        <f>10253.7184858599/(10^3)</f>
        <v>10.253718485859899</v>
      </c>
      <c r="AI31" s="11">
        <f>995145.184830229/(10^3)</f>
        <v>995.14518483022903</v>
      </c>
      <c r="AJ31" s="11">
        <f>9824.13008251693/(10^3)</f>
        <v>9.8241300825169287</v>
      </c>
      <c r="AK31" s="11">
        <f>10093.7706052828/(10^3)</f>
        <v>10.093770605282799</v>
      </c>
      <c r="AL31" s="11">
        <f>10474.7524654653/(10^3)</f>
        <v>10.474752465465301</v>
      </c>
      <c r="AM31" s="11">
        <f>10708.6999946853/(10^3)</f>
        <v>10.708699994685299</v>
      </c>
      <c r="AN31" s="11">
        <f>10634.0450794755/(10^3)</f>
        <v>10.6340450794755</v>
      </c>
      <c r="AO31" s="11">
        <f>107.010463183482/(10^3)</f>
        <v>0.10701046318348201</v>
      </c>
      <c r="AP31" s="11">
        <f>10547.2955643289/(10^3)</f>
        <v>10.5472955643289</v>
      </c>
      <c r="AQ31" s="11">
        <f>10974.0416036119/(10^3)</f>
        <v>10.9740416036119</v>
      </c>
      <c r="AR31" s="11">
        <f>10831.4833633512/(10^3)</f>
        <v>10.8314833633512</v>
      </c>
      <c r="AS31" s="11">
        <f>11349.2496145364/(10^3)</f>
        <v>11.349249614536401</v>
      </c>
      <c r="AT31" s="11">
        <f>11574.8691673113/(10^3)</f>
        <v>11.5748691673113</v>
      </c>
      <c r="AU31" s="11">
        <f>1187723.57200581/(10^3)</f>
        <v>1187.72357200581</v>
      </c>
      <c r="AV31" s="11">
        <f>11783.8258534716/(10^3)</f>
        <v>11.783825853471601</v>
      </c>
      <c r="AW31" s="11">
        <f>12146.5331292571/(10^3)</f>
        <v>12.146533129257101</v>
      </c>
      <c r="AX31" s="11">
        <f>13337.6912782646/(10^3)</f>
        <v>13.3376912782646</v>
      </c>
      <c r="AY31" s="11">
        <f>13344.7214872884/(10^3)</f>
        <v>13.3447214872884</v>
      </c>
      <c r="AZ31" s="11">
        <f>13539.9404607366/(10^3)</f>
        <v>13.539940460736599</v>
      </c>
      <c r="BA31" s="11">
        <f>135.718544702507/(10^3)</f>
        <v>0.13571854470250699</v>
      </c>
      <c r="BB31" s="11">
        <f>13596.6503796697/(10^3)</f>
        <v>13.5966503796697</v>
      </c>
      <c r="BC31" s="11">
        <f>12841.0439905876/(10^3)</f>
        <v>12.841043990587599</v>
      </c>
      <c r="BD31" s="11">
        <f>11664.3560770711/(10^3)</f>
        <v>11.664356077071099</v>
      </c>
      <c r="BE31" s="11">
        <f>10698.4905336537/(10^3)</f>
        <v>10.698490533653699</v>
      </c>
      <c r="BF31" s="11">
        <f>10642.3152520563/(10^3)</f>
        <v>10.642315252056299</v>
      </c>
      <c r="BG31" s="11">
        <f>1067426.95485594/(10^3)</f>
        <v>1067.42695485594</v>
      </c>
      <c r="BH31" s="11">
        <f>10979.4854938736/(10^3)</f>
        <v>10.9794854938736</v>
      </c>
      <c r="BI31" s="11">
        <f>11380.5941130394/(10^3)</f>
        <v>11.3805941130394</v>
      </c>
      <c r="BJ31" s="11">
        <f>11515.8834750137/(10^3)</f>
        <v>11.5158834750137</v>
      </c>
      <c r="BK31" s="11">
        <f>11884.621767404/(10^3)</f>
        <v>11.884621767403999</v>
      </c>
      <c r="BL31" s="11">
        <f>12102.8416334645/(10^3)</f>
        <v>12.1028416334645</v>
      </c>
      <c r="BM31" s="11">
        <f>125.343639843519/(10^3)</f>
        <v>0.12534363984351901</v>
      </c>
      <c r="BN31" s="11">
        <f>12470.0476525194/(10^3)</f>
        <v>12.470047652519401</v>
      </c>
      <c r="BO31" s="11">
        <f>12302.8237440766/(10^3)</f>
        <v>12.302823744076601</v>
      </c>
      <c r="BP31" s="11">
        <f>12254.1684695737/(10^3)</f>
        <v>12.254168469573701</v>
      </c>
      <c r="BQ31" s="11">
        <f>12037.6895677502/(10^3)</f>
        <v>12.037689567750199</v>
      </c>
      <c r="BR31" s="11">
        <f>11798.1257844612/(10^3)</f>
        <v>11.798125784461199</v>
      </c>
      <c r="BS31" s="11">
        <f>1169940.63969683/(10^3)</f>
        <v>1169.94063969683</v>
      </c>
      <c r="BT31" s="11">
        <f>11407.7047358121/(10^3)</f>
        <v>11.4077047358121</v>
      </c>
      <c r="BU31" s="11">
        <f>11190.8999430016/(10^3)</f>
        <v>11.190899943001599</v>
      </c>
      <c r="BV31" s="11">
        <f>11170.4890609695/(10^3)</f>
        <v>11.1704890609695</v>
      </c>
      <c r="BW31" s="11">
        <f>11024.2533355697/(10^3)</f>
        <v>11.0242533355697</v>
      </c>
      <c r="BX31" s="11">
        <f>11139.4162477971/(10^3)</f>
        <v>11.139416247797101</v>
      </c>
      <c r="BY31" s="11">
        <f>113.451595219233/(10^3)</f>
        <v>0.113451595219233</v>
      </c>
      <c r="BZ31" s="11">
        <f>11345.1595219233/(10^3)</f>
        <v>11.3451595219233</v>
      </c>
      <c r="CA31" s="11">
        <f>10688.8089479065/(10^3)</f>
        <v>10.6888089479065</v>
      </c>
      <c r="CB31" s="11">
        <f>10409.8187204026/(10^3)</f>
        <v>10.409818720402599</v>
      </c>
      <c r="CC31" s="12"/>
      <c r="CZ31" s="11">
        <v>12.302637045254569</v>
      </c>
      <c r="DA31" s="11">
        <v>11.115206246719628</v>
      </c>
      <c r="DB31" s="11">
        <v>10.701046318348217</v>
      </c>
      <c r="DC31" s="11">
        <v>13.571854470250747</v>
      </c>
      <c r="DD31" s="11">
        <v>12.534363984351936</v>
      </c>
      <c r="DE31" s="11">
        <v>11.345159521923302</v>
      </c>
      <c r="DG31" s="11">
        <v>10.146112713006335</v>
      </c>
      <c r="DH31" s="11">
        <v>10.706810005970759</v>
      </c>
      <c r="DI31" s="11">
        <v>9.9514518483022893</v>
      </c>
      <c r="DJ31" s="11">
        <v>11.877235720058053</v>
      </c>
      <c r="DK31" s="11">
        <v>10.674269548559421</v>
      </c>
      <c r="DL31" s="11">
        <v>11.699406396968326</v>
      </c>
    </row>
    <row r="32" spans="4:118" outlineLevel="1" x14ac:dyDescent="0.25">
      <c r="D32" s="10" t="s">
        <v>117</v>
      </c>
      <c r="E32" s="10" t="s">
        <v>104</v>
      </c>
      <c r="F32" s="10" t="s">
        <v>150</v>
      </c>
      <c r="G32" s="10"/>
      <c r="H32" s="62"/>
      <c r="I32" s="11">
        <f>6107/(10^3)</f>
        <v>6.1070000000000002</v>
      </c>
      <c r="J32" s="11">
        <f>5937.71639573674/(10^3)</f>
        <v>5.9377163957367403</v>
      </c>
      <c r="K32" s="11">
        <f>579534.81661225/(10^3)</f>
        <v>579.5348166122501</v>
      </c>
      <c r="L32" s="11">
        <f>5623.07721424899/(10^3)</f>
        <v>5.6230772142489895</v>
      </c>
      <c r="M32" s="11">
        <f>5701.30958483361/(10^3)</f>
        <v>5.7013095848336102</v>
      </c>
      <c r="N32" s="11">
        <f>6139.48095688701/(10^3)</f>
        <v>6.1394809568870095</v>
      </c>
      <c r="O32" s="11">
        <f>6435.85429697286/(10^3)</f>
        <v>6.4358542969728596</v>
      </c>
      <c r="P32" s="11">
        <f>6439.62047283683/(10^3)</f>
        <v>6.4396204728368298</v>
      </c>
      <c r="Q32" s="11">
        <f>65.6394704790736/(10^3)</f>
        <v>6.5639470479073592E-2</v>
      </c>
      <c r="R32" s="11">
        <f>6834.49642336561/(10^3)</f>
        <v>6.8344964233656098</v>
      </c>
      <c r="S32" s="11">
        <f>6627.90698818141/(10^3)</f>
        <v>6.6279069881814099</v>
      </c>
      <c r="T32" s="11">
        <f>6360.34894904256/(10^3)</f>
        <v>6.3603489490425602</v>
      </c>
      <c r="U32" s="11">
        <f>6306.00900574405/(10^3)</f>
        <v>6.3060090057440501</v>
      </c>
      <c r="V32" s="11">
        <f>6462.5987720362/(10^3)</f>
        <v>6.4625987720362001</v>
      </c>
      <c r="W32" s="11">
        <f>646033.954703336/(10^3)</f>
        <v>646.03395470333601</v>
      </c>
      <c r="X32" s="11">
        <f>6307.72904359441/(10^3)</f>
        <v>6.30772904359441</v>
      </c>
      <c r="Y32" s="11">
        <f>6311.46938967713/(10^3)</f>
        <v>6.3114693896771294</v>
      </c>
      <c r="Z32" s="11">
        <f>6587.26319478991/(10^3)</f>
        <v>6.5872631947899096</v>
      </c>
      <c r="AA32" s="11">
        <f>6850.89811450349/(10^3)</f>
        <v>6.8508981145034902</v>
      </c>
      <c r="AB32" s="11">
        <f>7053.90818099328/(10^3)</f>
        <v>7.0539081809932807</v>
      </c>
      <c r="AC32" s="11">
        <f>72.4666676434861/(10^3)</f>
        <v>7.246666764348611E-2</v>
      </c>
      <c r="AD32" s="11">
        <f>7341.80288686917/(10^3)</f>
        <v>7.3418028868691696</v>
      </c>
      <c r="AE32" s="11">
        <f>7008.00062976361/(10^3)</f>
        <v>7.0080006297636102</v>
      </c>
      <c r="AF32" s="11">
        <f>6728.29447580309/(10^3)</f>
        <v>6.7282944758030903</v>
      </c>
      <c r="AG32" s="11">
        <f>6540.50146358051/(10^3)</f>
        <v>6.5405014635805099</v>
      </c>
      <c r="AH32" s="11">
        <f>6515.59408953635/(10^3)</f>
        <v>6.51559408953635</v>
      </c>
      <c r="AI32" s="11">
        <f>653177.285675186/(10^3)</f>
        <v>653.177285675186</v>
      </c>
      <c r="AJ32" s="11">
        <f>6474.24932820479/(10^3)</f>
        <v>6.4742493282047899</v>
      </c>
      <c r="AK32" s="11">
        <f>6395.31510393904/(10^3)</f>
        <v>6.3953151039390397</v>
      </c>
      <c r="AL32" s="11">
        <f>6424.89295984933/(10^3)</f>
        <v>6.4248929598493296</v>
      </c>
      <c r="AM32" s="11">
        <f>6592.18160313878/(10^3)</f>
        <v>6.5921816031387799</v>
      </c>
      <c r="AN32" s="11">
        <f>6727.42291234509/(10^3)</f>
        <v>6.7274229123450899</v>
      </c>
      <c r="AO32" s="11">
        <f>68.8414212859227/(10^3)</f>
        <v>6.8841421285922702E-2</v>
      </c>
      <c r="AP32" s="11">
        <f>6976.79031759844/(10^3)</f>
        <v>6.9767903175984403</v>
      </c>
      <c r="AQ32" s="11">
        <f>6789.62402477834/(10^3)</f>
        <v>6.7896240247783402</v>
      </c>
      <c r="AR32" s="11">
        <f>6935.51613244059/(10^3)</f>
        <v>6.9355161324405898</v>
      </c>
      <c r="AS32" s="11">
        <f>7018.55658782548/(10^3)</f>
        <v>7.0185565878254801</v>
      </c>
      <c r="AT32" s="11">
        <f>6977.29281647041/(10^3)</f>
        <v>6.9772928164704098</v>
      </c>
      <c r="AU32" s="11">
        <f>678653.74892043/(10^3)</f>
        <v>678.65374892042996</v>
      </c>
      <c r="AV32" s="11">
        <f>6777.62081172812/(10^3)</f>
        <v>6.77762081172812</v>
      </c>
      <c r="AW32" s="11">
        <f>6929.54983053126/(10^3)</f>
        <v>6.9295498305312604</v>
      </c>
      <c r="AX32" s="11">
        <f>7030.66451475057/(10^3)</f>
        <v>7.03066451475057</v>
      </c>
      <c r="AY32" s="11">
        <f>7048.13386725568/(10^3)</f>
        <v>7.0481338672556806</v>
      </c>
      <c r="AZ32" s="11">
        <f>7105.9722142286/(10^3)</f>
        <v>7.1059722142285997</v>
      </c>
      <c r="BA32" s="11">
        <f>72.5275990981389/(10^3)</f>
        <v>7.2527599098138898E-2</v>
      </c>
      <c r="BB32" s="11">
        <f>7224.04038036142/(10^3)</f>
        <v>7.2240403803614202</v>
      </c>
      <c r="BC32" s="11">
        <f>6917.70985860864/(10^3)</f>
        <v>6.9177098586086405</v>
      </c>
      <c r="BD32" s="11">
        <f>6852.39122752878/(10^3)</f>
        <v>6.8523912275287806</v>
      </c>
      <c r="BE32" s="11">
        <f>6719.50181059994/(10^3)</f>
        <v>6.7195018105999393</v>
      </c>
      <c r="BF32" s="11">
        <f>6695.9905939719/(10^3)</f>
        <v>6.6959905939719002</v>
      </c>
      <c r="BG32" s="11">
        <f>677929.362427526/(10^3)</f>
        <v>677.92936242752603</v>
      </c>
      <c r="BH32" s="11">
        <f>6883.85033965515/(10^3)</f>
        <v>6.8838503396551491</v>
      </c>
      <c r="BI32" s="11">
        <f>6983.5006792561/(10^3)</f>
        <v>6.9835006792560996</v>
      </c>
      <c r="BJ32" s="11">
        <f>7525.81938106624/(10^3)</f>
        <v>7.5258193810662393</v>
      </c>
      <c r="BK32" s="11">
        <f>7610.0247485434/(10^3)</f>
        <v>7.6100247485433998</v>
      </c>
      <c r="BL32" s="11">
        <f>7758.97010570828/(10^3)</f>
        <v>7.7589701057082801</v>
      </c>
      <c r="BM32" s="11">
        <f>80.9708527263842/(10^3)</f>
        <v>8.0970852726384199E-2</v>
      </c>
      <c r="BN32" s="11">
        <f>8433.86980844381/(10^3)</f>
        <v>8.4338698084438093</v>
      </c>
      <c r="BO32" s="11">
        <f>8058.4318114448/(10^3)</f>
        <v>8.0584318114447999</v>
      </c>
      <c r="BP32" s="11">
        <f>7825.18158392241/(10^3)</f>
        <v>7.8251815839224097</v>
      </c>
      <c r="BQ32" s="11">
        <f>7773.99296231328/(10^3)</f>
        <v>7.7739929623132804</v>
      </c>
      <c r="BR32" s="11">
        <f>7601.98227501972/(10^3)</f>
        <v>7.6019822750197203</v>
      </c>
      <c r="BS32" s="11">
        <f>741306.674175892/(10^3)</f>
        <v>741.306674175892</v>
      </c>
      <c r="BT32" s="11">
        <f>7327.62840272286/(10^3)</f>
        <v>7.3276284027228602</v>
      </c>
      <c r="BU32" s="11">
        <f>7259.58181276133/(10^3)</f>
        <v>7.2595818127613301</v>
      </c>
      <c r="BV32" s="11">
        <f>7067.42225359593/(10^3)</f>
        <v>7.0674222535959297</v>
      </c>
      <c r="BW32" s="11">
        <f>6908.37428173285/(10^3)</f>
        <v>6.9083742817328506</v>
      </c>
      <c r="BX32" s="11">
        <f>6916.21727670297/(10^3)</f>
        <v>6.9162172767029695</v>
      </c>
      <c r="BY32" s="11">
        <f>71.5438061937553/(10^3)</f>
        <v>7.1543806193755305E-2</v>
      </c>
      <c r="BZ32" s="11">
        <f>7154.38061937553/(10^3)</f>
        <v>7.1543806193755302</v>
      </c>
      <c r="CA32" s="11">
        <f>6718.19701866869/(10^3)</f>
        <v>6.7181970186686906</v>
      </c>
      <c r="CB32" s="11">
        <f>6680.86856168989/(10^3)</f>
        <v>6.6808685616898904</v>
      </c>
      <c r="CC32" s="12"/>
      <c r="CZ32" s="11">
        <v>6.5639470479073596</v>
      </c>
      <c r="DA32" s="11">
        <v>7.2466667643486105</v>
      </c>
      <c r="DB32" s="11">
        <v>6.8841421285922717</v>
      </c>
      <c r="DC32" s="11">
        <v>7.252759909813884</v>
      </c>
      <c r="DD32" s="11">
        <v>8.0970852726384166</v>
      </c>
      <c r="DE32" s="11">
        <v>7.1543806193755319</v>
      </c>
      <c r="DG32" s="11">
        <v>5.7953481661224986</v>
      </c>
      <c r="DH32" s="11">
        <v>6.4603395470333611</v>
      </c>
      <c r="DI32" s="11">
        <v>6.5317728567518589</v>
      </c>
      <c r="DJ32" s="11">
        <v>6.7865374892043002</v>
      </c>
      <c r="DK32" s="11">
        <v>6.7792936242752555</v>
      </c>
      <c r="DL32" s="11">
        <v>7.413066741758918</v>
      </c>
    </row>
    <row r="33" spans="4:116" outlineLevel="1" x14ac:dyDescent="0.25">
      <c r="D33" s="10" t="s">
        <v>118</v>
      </c>
      <c r="E33" s="10" t="s">
        <v>111</v>
      </c>
      <c r="F33" s="10" t="s">
        <v>150</v>
      </c>
      <c r="G33" s="10"/>
      <c r="H33" s="62"/>
      <c r="I33" s="11">
        <f>12693/(10^3)</f>
        <v>12.693</v>
      </c>
      <c r="J33" s="11">
        <f>13286.2834427689/(10^3)</f>
        <v>13.2862834427689</v>
      </c>
      <c r="K33" s="11">
        <f>1300076.37294796/(10^3)</f>
        <v>1300.07637294796</v>
      </c>
      <c r="L33" s="11">
        <f>13385.9695591017/(10^3)</f>
        <v>13.385969559101701</v>
      </c>
      <c r="M33" s="11">
        <f>13376.2476745593/(10^3)</f>
        <v>13.3762476745593</v>
      </c>
      <c r="N33" s="11">
        <f>14327.0588894691/(10^3)</f>
        <v>14.3270588894691</v>
      </c>
      <c r="O33" s="11">
        <f>14438.8865482832/(10^3)</f>
        <v>14.4388865482832</v>
      </c>
      <c r="P33" s="11">
        <f>14949.472721407/(10^3)</f>
        <v>14.949472721407</v>
      </c>
      <c r="Q33" s="11">
        <f>156.670674801992/(10^3)</f>
        <v>0.15667067480199198</v>
      </c>
      <c r="R33" s="11">
        <f>16191.1646939267/(10^3)</f>
        <v>16.191164693926698</v>
      </c>
      <c r="S33" s="11">
        <f>15465.3920815646/(10^3)</f>
        <v>15.4653920815646</v>
      </c>
      <c r="T33" s="11">
        <f>15296.5441095872/(10^3)</f>
        <v>15.296544109587199</v>
      </c>
      <c r="U33" s="11">
        <f>15256.4895103631/(10^3)</f>
        <v>15.256489510363101</v>
      </c>
      <c r="V33" s="11">
        <f>15769.7336515988/(10^3)</f>
        <v>15.7697336515988</v>
      </c>
      <c r="W33" s="11">
        <f>1584940.92837136/(10^3)</f>
        <v>1584.9409283713601</v>
      </c>
      <c r="X33" s="11">
        <f>16156.5161568564/(10^3)</f>
        <v>16.156516156856402</v>
      </c>
      <c r="Y33" s="11">
        <f>16083.4917798644/(10^3)</f>
        <v>16.083491779864399</v>
      </c>
      <c r="Z33" s="11">
        <f>16645.3763941232/(10^3)</f>
        <v>16.6453763941232</v>
      </c>
      <c r="AA33" s="11">
        <f>17440.3342179415/(10^3)</f>
        <v>17.440334217941501</v>
      </c>
      <c r="AB33" s="11">
        <f>17752.7249937701/(10^3)</f>
        <v>17.752724993770101</v>
      </c>
      <c r="AC33" s="11">
        <f>178.239246599014/(10^3)</f>
        <v>0.178239246599014</v>
      </c>
      <c r="AD33" s="11">
        <f>17344.5950901851/(10^3)</f>
        <v>17.344595090185098</v>
      </c>
      <c r="AE33" s="11">
        <f>16138.0959121689/(10^3)</f>
        <v>16.1380959121689</v>
      </c>
      <c r="AF33" s="11">
        <f>15621.5383721426/(10^3)</f>
        <v>15.6215383721426</v>
      </c>
      <c r="AG33" s="11">
        <f>15237.8646376606/(10^3)</f>
        <v>15.2378646376606</v>
      </c>
      <c r="AH33" s="11">
        <f>15900.0374704338/(10^3)</f>
        <v>15.9000374704338</v>
      </c>
      <c r="AI33" s="11">
        <f>1649605.32423669/(10^3)</f>
        <v>1649.60532423669</v>
      </c>
      <c r="AJ33" s="11">
        <f>16750.4598866972/(10^3)</f>
        <v>16.7504598866972</v>
      </c>
      <c r="AK33" s="11">
        <f>16853.847695548/(10^3)</f>
        <v>16.853847695548001</v>
      </c>
      <c r="AL33" s="11">
        <f>17628.0750721125/(10^3)</f>
        <v>17.628075072112502</v>
      </c>
      <c r="AM33" s="11">
        <f>17884.6900848356/(10^3)</f>
        <v>17.884690084835601</v>
      </c>
      <c r="AN33" s="11">
        <f>18496.0668291423/(10^3)</f>
        <v>18.4960668291423</v>
      </c>
      <c r="AO33" s="11">
        <f>183.332129887434/(10^3)</f>
        <v>0.183332129887434</v>
      </c>
      <c r="AP33" s="11">
        <f>17942.0199957407/(10^3)</f>
        <v>17.942019995740697</v>
      </c>
      <c r="AQ33" s="11">
        <f>18788.4377692722/(10^3)</f>
        <v>18.7884377692722</v>
      </c>
      <c r="AR33" s="11">
        <f>19475.3715214098/(10^3)</f>
        <v>19.475371521409802</v>
      </c>
      <c r="AS33" s="11">
        <f>19208.2806367148/(10^3)</f>
        <v>19.2082806367148</v>
      </c>
      <c r="AT33" s="11">
        <f>19968.9163101855/(10^3)</f>
        <v>19.968916310185502</v>
      </c>
      <c r="AU33" s="11">
        <f>1987033.0992148/(10^3)</f>
        <v>1987.0330992147999</v>
      </c>
      <c r="AV33" s="11">
        <f>20614.2037387555/(10^3)</f>
        <v>20.614203738755499</v>
      </c>
      <c r="AW33" s="11">
        <f>20097.9974549529/(10^3)</f>
        <v>20.0979974549529</v>
      </c>
      <c r="AX33" s="11">
        <f>21650.617211781/(10^3)</f>
        <v>21.650617211780997</v>
      </c>
      <c r="AY33" s="11">
        <f>22429.1669144178/(10^3)</f>
        <v>22.429166914417802</v>
      </c>
      <c r="AZ33" s="11">
        <f>22536.1109029653/(10^3)</f>
        <v>22.536110902965302</v>
      </c>
      <c r="BA33" s="11">
        <f>228.342011104683/(10^3)</f>
        <v>0.228342011104683</v>
      </c>
      <c r="BB33" s="11">
        <f>23415.6120513444/(10^3)</f>
        <v>23.4156120513444</v>
      </c>
      <c r="BC33" s="11">
        <f>22321.452561705/(10^3)</f>
        <v>22.321452561704998</v>
      </c>
      <c r="BD33" s="11">
        <f>20747.3933813751/(10^3)</f>
        <v>20.747393381375097</v>
      </c>
      <c r="BE33" s="11">
        <f>18994.7961947837/(10^3)</f>
        <v>18.994796194783699</v>
      </c>
      <c r="BF33" s="11">
        <f>18571.2767434627/(10^3)</f>
        <v>18.571276743462697</v>
      </c>
      <c r="BG33" s="11">
        <f>1914226.3829694/(10^3)</f>
        <v>1914.2263829694</v>
      </c>
      <c r="BH33" s="11">
        <f>18929.3010306762/(10^3)</f>
        <v>18.9293010306762</v>
      </c>
      <c r="BI33" s="11">
        <f>19468.1040931939/(10^3)</f>
        <v>19.468104093193897</v>
      </c>
      <c r="BJ33" s="11">
        <f>20358.8666058381/(10^3)</f>
        <v>20.358866605838099</v>
      </c>
      <c r="BK33" s="11">
        <f>21117.5306635947/(10^3)</f>
        <v>21.117530663594703</v>
      </c>
      <c r="BL33" s="11">
        <f>21758.4847226219/(10^3)</f>
        <v>21.758484722621898</v>
      </c>
      <c r="BM33" s="11">
        <f>217.847970493061/(10^3)</f>
        <v>0.21784797049306101</v>
      </c>
      <c r="BN33" s="11">
        <f>22117.5317977872/(10^3)</f>
        <v>22.117531797787201</v>
      </c>
      <c r="BO33" s="11">
        <f>20308.7528389698/(10^3)</f>
        <v>20.308752838969802</v>
      </c>
      <c r="BP33" s="11">
        <f>19990.0695364551/(10^3)</f>
        <v>19.990069536455099</v>
      </c>
      <c r="BQ33" s="11">
        <f>19836.222032377/(10^3)</f>
        <v>19.836222032377002</v>
      </c>
      <c r="BR33" s="11">
        <f>20263.826642674/(10^3)</f>
        <v>20.263826642674001</v>
      </c>
      <c r="BS33" s="11">
        <f>2035277.22115346/(10^3)</f>
        <v>2035.27722115346</v>
      </c>
      <c r="BT33" s="11">
        <f>21248.5467439805/(10^3)</f>
        <v>21.248546743980501</v>
      </c>
      <c r="BU33" s="11">
        <f>22122.6620145106/(10^3)</f>
        <v>22.122662014510599</v>
      </c>
      <c r="BV33" s="11">
        <f>23184.8813716606/(10^3)</f>
        <v>23.184881371660598</v>
      </c>
      <c r="BW33" s="11">
        <f>24043.9910993219/(10^3)</f>
        <v>24.043991099321897</v>
      </c>
      <c r="BX33" s="11">
        <f>25231.9685542603/(10^3)</f>
        <v>25.231968554260302</v>
      </c>
      <c r="BY33" s="11">
        <f>254.089149762576/(10^3)</f>
        <v>0.25408914976257602</v>
      </c>
      <c r="BZ33" s="11">
        <f>25408.9149762576/(10^3)</f>
        <v>25.408914976257602</v>
      </c>
      <c r="CA33" s="11">
        <f>22943.6521024269/(10^3)</f>
        <v>22.943652102426899</v>
      </c>
      <c r="CB33" s="11">
        <f>22246.9974691101/(10^3)</f>
        <v>22.246997469110102</v>
      </c>
      <c r="CC33" s="12"/>
      <c r="CZ33" s="11">
        <v>15.667067480199192</v>
      </c>
      <c r="DA33" s="11">
        <v>17.823924659901383</v>
      </c>
      <c r="DB33" s="11">
        <v>18.333212988743412</v>
      </c>
      <c r="DC33" s="11">
        <v>22.834201110468278</v>
      </c>
      <c r="DD33" s="11">
        <v>21.784797049306103</v>
      </c>
      <c r="DE33" s="11">
        <v>25.408914976257563</v>
      </c>
      <c r="DG33" s="11">
        <v>13.000763729479607</v>
      </c>
      <c r="DH33" s="11">
        <v>15.849409283713644</v>
      </c>
      <c r="DI33" s="11">
        <v>16.496053242366894</v>
      </c>
      <c r="DJ33" s="11">
        <v>19.870330992148041</v>
      </c>
      <c r="DK33" s="11">
        <v>19.142263829693995</v>
      </c>
      <c r="DL33" s="11">
        <v>20.352772211534603</v>
      </c>
    </row>
    <row r="34" spans="4:116" outlineLevel="1" x14ac:dyDescent="0.25">
      <c r="D34" s="10" t="s">
        <v>119</v>
      </c>
      <c r="E34" s="10" t="s">
        <v>111</v>
      </c>
      <c r="F34" s="10" t="s">
        <v>150</v>
      </c>
      <c r="G34" s="10"/>
      <c r="H34" s="62"/>
      <c r="I34" s="11">
        <f>6501/(10^3)</f>
        <v>6.5010000000000003</v>
      </c>
      <c r="J34" s="11">
        <f>6712.47315490541/(10^3)</f>
        <v>6.7124731549054104</v>
      </c>
      <c r="K34" s="11">
        <f>663892.178049363/(10^3)</f>
        <v>663.892178049363</v>
      </c>
      <c r="L34" s="11">
        <f>6746.26772444023/(10^3)</f>
        <v>6.74626772444023</v>
      </c>
      <c r="M34" s="11">
        <f>6757.36735824865/(10^3)</f>
        <v>6.7573673582486498</v>
      </c>
      <c r="N34" s="11">
        <f>7191.47301427632/(10^3)</f>
        <v>7.1914730142763199</v>
      </c>
      <c r="O34" s="11">
        <f>7436.96241849238/(10^3)</f>
        <v>7.4369624184923797</v>
      </c>
      <c r="P34" s="11">
        <f>7742.26177214575/(10^3)</f>
        <v>7.7422617721457501</v>
      </c>
      <c r="Q34" s="11">
        <f>79.4914062797981/(10^3)</f>
        <v>7.9491406279798102E-2</v>
      </c>
      <c r="R34" s="11">
        <f>8088.190946777/(10^3)</f>
        <v>8.0881909467770008</v>
      </c>
      <c r="S34" s="11">
        <f>7527.64218714063/(10^3)</f>
        <v>7.5276421871406303</v>
      </c>
      <c r="T34" s="11">
        <f>7278.62379411656/(10^3)</f>
        <v>7.2786237941165597</v>
      </c>
      <c r="U34" s="11">
        <f>7195.24771525471/(10^3)</f>
        <v>7.1952477152547099</v>
      </c>
      <c r="V34" s="11">
        <f>7187.49292778478/(10^3)</f>
        <v>7.1874929277847794</v>
      </c>
      <c r="W34" s="11">
        <f>731017.055219949/(10^3)</f>
        <v>731.01705521994904</v>
      </c>
      <c r="X34" s="11">
        <f>7293.13621595451/(10^3)</f>
        <v>7.2931362159545099</v>
      </c>
      <c r="Y34" s="11">
        <f>7234.64799689552/(10^3)</f>
        <v>7.2346479968955197</v>
      </c>
      <c r="Z34" s="11">
        <f>7268.13058955287/(10^3)</f>
        <v>7.2681305895528707</v>
      </c>
      <c r="AA34" s="11">
        <f>7496.97354192085/(10^3)</f>
        <v>7.4969735419208501</v>
      </c>
      <c r="AB34" s="11">
        <f>7850.23831897317/(10^3)</f>
        <v>7.8502383189731697</v>
      </c>
      <c r="AC34" s="11">
        <f>80.12813943184/(10^3)</f>
        <v>8.0128139431839995E-2</v>
      </c>
      <c r="AD34" s="11">
        <f>8174.12171986811/(10^3)</f>
        <v>8.1741217198681095</v>
      </c>
      <c r="AE34" s="11">
        <f>7628.40871425727/(10^3)</f>
        <v>7.6284087142572696</v>
      </c>
      <c r="AF34" s="11">
        <f>7430.95571672789/(10^3)</f>
        <v>7.4309557167278903</v>
      </c>
      <c r="AG34" s="11">
        <f>7414.58430986166/(10^3)</f>
        <v>7.4145843098616595</v>
      </c>
      <c r="AH34" s="11">
        <f>7698.37788799133/(10^3)</f>
        <v>7.69837788799133</v>
      </c>
      <c r="AI34" s="11">
        <f>792182.056166358/(10^3)</f>
        <v>792.18205616635794</v>
      </c>
      <c r="AJ34" s="11">
        <f>8143.25526760108/(10^3)</f>
        <v>8.1432552676010808</v>
      </c>
      <c r="AK34" s="11">
        <f>7940.7266376815/(10^3)</f>
        <v>7.9407266376814993</v>
      </c>
      <c r="AL34" s="11">
        <f>8066.82284631149/(10^3)</f>
        <v>8.0668228463114904</v>
      </c>
      <c r="AM34" s="11">
        <f>7895.46723492378/(10^3)</f>
        <v>7.89546723492378</v>
      </c>
      <c r="AN34" s="11">
        <f>8011.3616224388/(10^3)</f>
        <v>8.0113616224388</v>
      </c>
      <c r="AO34" s="11">
        <f>83.3262129686473/(10^3)</f>
        <v>8.3326212968647298E-2</v>
      </c>
      <c r="AP34" s="11">
        <f>8334.43678021459/(10^3)</f>
        <v>8.33443678021459</v>
      </c>
      <c r="AQ34" s="11">
        <f>8619.01946081097/(10^3)</f>
        <v>8.6190194608109714</v>
      </c>
      <c r="AR34" s="11">
        <f>8392.67429928904/(10^3)</f>
        <v>8.3926742992890393</v>
      </c>
      <c r="AS34" s="11">
        <f>8412.40513749983/(10^3)</f>
        <v>8.4124051374998299</v>
      </c>
      <c r="AT34" s="11">
        <f>8561.37815743527/(10^3)</f>
        <v>8.5613781574352714</v>
      </c>
      <c r="AU34" s="11">
        <f>893178.421852086/(10^3)</f>
        <v>893.17842185208599</v>
      </c>
      <c r="AV34" s="11">
        <f>9231.08110261878/(10^3)</f>
        <v>9.2310811026187807</v>
      </c>
      <c r="AW34" s="11">
        <f>9093.72087492515/(10^3)</f>
        <v>9.0937208749251504</v>
      </c>
      <c r="AX34" s="11">
        <f>9221.2078056002/(10^3)</f>
        <v>9.2212078056001996</v>
      </c>
      <c r="AY34" s="11">
        <f>9648.76906699693/(10^3)</f>
        <v>9.6487690669969304</v>
      </c>
      <c r="AZ34" s="11">
        <f>9998.16780631151/(10^3)</f>
        <v>9.9981678063115105</v>
      </c>
      <c r="BA34" s="11">
        <f>104.579394694088/(10^3)</f>
        <v>0.104579394694088</v>
      </c>
      <c r="BB34" s="11">
        <f>10620.9547239115/(10^3)</f>
        <v>10.620954723911501</v>
      </c>
      <c r="BC34" s="11">
        <f>9717.59560319615/(10^3)</f>
        <v>9.7175956031961501</v>
      </c>
      <c r="BD34" s="11">
        <f>8784.82507023696/(10^3)</f>
        <v>8.7848250702369608</v>
      </c>
      <c r="BE34" s="11">
        <f>8164.14837258842/(10^3)</f>
        <v>8.1641483725884196</v>
      </c>
      <c r="BF34" s="11">
        <f>8133.68136752695/(10^3)</f>
        <v>8.1336813675269504</v>
      </c>
      <c r="BG34" s="11">
        <f>846552.469728062/(10^3)</f>
        <v>846.55246972806208</v>
      </c>
      <c r="BH34" s="11">
        <f>8549.79001021951/(10^3)</f>
        <v>8.5497900102195103</v>
      </c>
      <c r="BI34" s="11">
        <f>8692.55211587666/(10^3)</f>
        <v>8.6925521158766603</v>
      </c>
      <c r="BJ34" s="11">
        <f>8812.70128984902/(10^3)</f>
        <v>8.81270128984902</v>
      </c>
      <c r="BK34" s="11">
        <f>9234.06680045301/(10^3)</f>
        <v>9.2340668004530109</v>
      </c>
      <c r="BL34" s="11">
        <f>9427.94743113966/(10^3)</f>
        <v>9.4279474311396605</v>
      </c>
      <c r="BM34" s="11">
        <f>95.298986076906/(10^3)</f>
        <v>9.5298986076905998E-2</v>
      </c>
      <c r="BN34" s="11">
        <f>9908.14119900017/(10^3)</f>
        <v>9.9081411990001715</v>
      </c>
      <c r="BO34" s="11">
        <f>9721.43716957288/(10^3)</f>
        <v>9.7214371695728801</v>
      </c>
      <c r="BP34" s="11">
        <f>9706.55988170131/(10^3)</f>
        <v>9.7065598817013115</v>
      </c>
      <c r="BQ34" s="11">
        <f>9510.72291741531/(10^3)</f>
        <v>9.5107229174153112</v>
      </c>
      <c r="BR34" s="11">
        <f>9979.69419265708/(10^3)</f>
        <v>9.9796941926570799</v>
      </c>
      <c r="BS34" s="11">
        <f>1029876.35582541/(10^3)</f>
        <v>1029.87635582541</v>
      </c>
      <c r="BT34" s="11">
        <f>10669.0263275431/(10^3)</f>
        <v>10.669026327543101</v>
      </c>
      <c r="BU34" s="11">
        <f>11156.2688505196/(10^3)</f>
        <v>11.1562688505196</v>
      </c>
      <c r="BV34" s="11">
        <f>11559.5791279623/(10^3)</f>
        <v>11.559579127962301</v>
      </c>
      <c r="BW34" s="11">
        <f>12013.79333124/(10^3)</f>
        <v>12.01379333124</v>
      </c>
      <c r="BX34" s="11">
        <f>12559.52316508/(10^3)</f>
        <v>12.55952316508</v>
      </c>
      <c r="BY34" s="11">
        <f>131.321634142289/(10^3)</f>
        <v>0.13132163414228901</v>
      </c>
      <c r="BZ34" s="11">
        <f>13132.1634142289/(10^3)</f>
        <v>13.1321634142289</v>
      </c>
      <c r="CA34" s="11">
        <f>13017.7632087658/(10^3)</f>
        <v>13.0177632087658</v>
      </c>
      <c r="CB34" s="11">
        <f>12968.1630523395/(10^3)</f>
        <v>12.9681630523395</v>
      </c>
      <c r="CC34" s="12"/>
      <c r="CZ34" s="11">
        <v>7.9491406279798076</v>
      </c>
      <c r="DA34" s="11">
        <v>8.0128139431839962</v>
      </c>
      <c r="DB34" s="11">
        <v>8.3326212968647262</v>
      </c>
      <c r="DC34" s="11">
        <v>10.457939469408835</v>
      </c>
      <c r="DD34" s="11">
        <v>9.5298986076905958</v>
      </c>
      <c r="DE34" s="11">
        <v>13.132163414228931</v>
      </c>
      <c r="DG34" s="11">
        <v>6.6389217804936269</v>
      </c>
      <c r="DH34" s="11">
        <v>7.3101705521994917</v>
      </c>
      <c r="DI34" s="11">
        <v>7.9218205616635808</v>
      </c>
      <c r="DJ34" s="11">
        <v>8.9317842185208569</v>
      </c>
      <c r="DK34" s="11">
        <v>8.4655246972806175</v>
      </c>
      <c r="DL34" s="11">
        <v>10.298763558254128</v>
      </c>
    </row>
    <row r="35" spans="4:116" outlineLevel="1" x14ac:dyDescent="0.25">
      <c r="D35" s="10" t="s">
        <v>120</v>
      </c>
      <c r="E35" s="10" t="s">
        <v>113</v>
      </c>
      <c r="F35" s="10" t="s">
        <v>180</v>
      </c>
      <c r="G35" s="10"/>
      <c r="H35" s="62"/>
      <c r="I35" s="11">
        <f>14952/(10^3)</f>
        <v>14.952</v>
      </c>
      <c r="J35" s="11">
        <f>15578.8707246729/(10^3)</f>
        <v>15.578870724672901</v>
      </c>
      <c r="K35" s="11">
        <f>1556745.78814868/(10^3)</f>
        <v>1556.74578814868</v>
      </c>
      <c r="L35" s="11">
        <f>15877.8440663853/(10^3)</f>
        <v>15.8778440663853</v>
      </c>
      <c r="M35" s="11">
        <f>16298.9916117507/(10^3)</f>
        <v>16.298991611750701</v>
      </c>
      <c r="N35" s="11">
        <f>17097.1434682253/(10^3)</f>
        <v>17.097143468225298</v>
      </c>
      <c r="O35" s="11">
        <f>17453.9679783488/(10^3)</f>
        <v>17.4539679783488</v>
      </c>
      <c r="P35" s="11">
        <f>18301.5013824977/(10^3)</f>
        <v>18.301501382497701</v>
      </c>
      <c r="Q35" s="11">
        <f>185.579351114284/(10^3)</f>
        <v>0.185579351114284</v>
      </c>
      <c r="R35" s="11">
        <f>19010.8192762126/(10^3)</f>
        <v>19.010819276212597</v>
      </c>
      <c r="S35" s="11">
        <f>18633.425172978/(10^3)</f>
        <v>18.633425172978001</v>
      </c>
      <c r="T35" s="11">
        <f>18440.1737100203/(10^3)</f>
        <v>18.4401737100203</v>
      </c>
      <c r="U35" s="11">
        <f>17962.3243033739/(10^3)</f>
        <v>17.962324303373901</v>
      </c>
      <c r="V35" s="11">
        <f>18364.0990532548/(10^3)</f>
        <v>18.364099053254797</v>
      </c>
      <c r="W35" s="11">
        <f>1887280.03603683/(10^3)</f>
        <v>1887.2800360368299</v>
      </c>
      <c r="X35" s="11">
        <f>18728.3781906178/(10^3)</f>
        <v>18.7283781906178</v>
      </c>
      <c r="Y35" s="11">
        <f>18904.8447336362/(10^3)</f>
        <v>18.9048447336362</v>
      </c>
      <c r="Z35" s="11">
        <f>19149.5088916928/(10^3)</f>
        <v>19.1495088916928</v>
      </c>
      <c r="AA35" s="11">
        <f>19877.8748704957/(10^3)</f>
        <v>19.877874870495699</v>
      </c>
      <c r="AB35" s="11">
        <f>20236.7269327106/(10^3)</f>
        <v>20.236726932710599</v>
      </c>
      <c r="AC35" s="11">
        <f>209.578187666656/(10^3)</f>
        <v>0.20957818766665598</v>
      </c>
      <c r="AD35" s="11">
        <f>21445.6733955066/(10^3)</f>
        <v>21.445673395506603</v>
      </c>
      <c r="AE35" s="11">
        <f>20884.9303892026/(10^3)</f>
        <v>20.884930389202601</v>
      </c>
      <c r="AF35" s="11">
        <f>20512.2174900077/(10^3)</f>
        <v>20.5122174900077</v>
      </c>
      <c r="AG35" s="11">
        <f>19917.865307476/(10^3)</f>
        <v>19.917865307475999</v>
      </c>
      <c r="AH35" s="11">
        <f>20559.4395325624/(10^3)</f>
        <v>20.559439532562401</v>
      </c>
      <c r="AI35" s="11">
        <f>2073225.68019542/(10^3)</f>
        <v>2073.22568019542</v>
      </c>
      <c r="AJ35" s="11">
        <f>21743.5616761771/(10^3)</f>
        <v>21.743561676177102</v>
      </c>
      <c r="AK35" s="11">
        <f>21847.2843117775/(10^3)</f>
        <v>21.8472843117775</v>
      </c>
      <c r="AL35" s="11">
        <f>22268.6578775721/(10^3)</f>
        <v>22.2686578775721</v>
      </c>
      <c r="AM35" s="11">
        <f>23213.2825341642/(10^3)</f>
        <v>23.213282534164197</v>
      </c>
      <c r="AN35" s="11">
        <f>23853.6931018152/(10^3)</f>
        <v>23.8536931018152</v>
      </c>
      <c r="AO35" s="11">
        <f>239.724960253706/(10^3)</f>
        <v>0.23972496025370599</v>
      </c>
      <c r="AP35" s="11">
        <f>23726.7649321276/(10^3)</f>
        <v>23.726764932127601</v>
      </c>
      <c r="AQ35" s="11">
        <f>23038.4676085562/(10^3)</f>
        <v>23.0384676085562</v>
      </c>
      <c r="AR35" s="11">
        <f>23687.0014726015/(10^3)</f>
        <v>23.687001472601501</v>
      </c>
      <c r="AS35" s="11">
        <f>23203.0531292431/(10^3)</f>
        <v>23.203053129243102</v>
      </c>
      <c r="AT35" s="11">
        <f>23908.2255292106/(10^3)</f>
        <v>23.908225529210597</v>
      </c>
      <c r="AU35" s="11">
        <f>2378334.12167024/(10^3)</f>
        <v>2378.3341216702402</v>
      </c>
      <c r="AV35" s="11">
        <f>23097.3598358726/(10^3)</f>
        <v>23.097359835872602</v>
      </c>
      <c r="AW35" s="11">
        <f>23753.2554143175/(10^3)</f>
        <v>23.753255414317501</v>
      </c>
      <c r="AX35" s="11">
        <f>23774.09501805/(10^3)</f>
        <v>23.774095018050001</v>
      </c>
      <c r="AY35" s="11">
        <f>23856.5282175523/(10^3)</f>
        <v>23.856528217552299</v>
      </c>
      <c r="AZ35" s="11">
        <f>24413.3612739656/(10^3)</f>
        <v>24.413361273965599</v>
      </c>
      <c r="BA35" s="11">
        <f>253.380670383197/(10^3)</f>
        <v>0.253380670383197</v>
      </c>
      <c r="BB35" s="11">
        <f>25849.6943094845/(10^3)</f>
        <v>25.849694309484502</v>
      </c>
      <c r="BC35" s="11">
        <f>24821.4295091343/(10^3)</f>
        <v>24.821429509134301</v>
      </c>
      <c r="BD35" s="11">
        <f>24301.3124275141/(10^3)</f>
        <v>24.301312427514102</v>
      </c>
      <c r="BE35" s="11">
        <f>23806.6780683292/(10^3)</f>
        <v>23.806678068329202</v>
      </c>
      <c r="BF35" s="11">
        <f>23252.3520559057/(10^3)</f>
        <v>23.2523520559057</v>
      </c>
      <c r="BG35" s="11">
        <f>2268995.77219468/(10^3)</f>
        <v>2268.9957721946798</v>
      </c>
      <c r="BH35" s="11">
        <f>23427.4203309154/(10^3)</f>
        <v>23.4274203309154</v>
      </c>
      <c r="BI35" s="11">
        <f>24125.1043009716/(10^3)</f>
        <v>24.1251043009716</v>
      </c>
      <c r="BJ35" s="11">
        <f>24919.716707298/(10^3)</f>
        <v>24.919716707298001</v>
      </c>
      <c r="BK35" s="11">
        <f>25538.0183416475/(10^3)</f>
        <v>25.538018341647501</v>
      </c>
      <c r="BL35" s="11">
        <f>26148.5139279485/(10^3)</f>
        <v>26.1485139279485</v>
      </c>
      <c r="BM35" s="11">
        <f>263.922301250345/(10^3)</f>
        <v>0.26392230125034499</v>
      </c>
      <c r="BN35" s="11">
        <f>27494.9990050424/(10^3)</f>
        <v>27.494999005042398</v>
      </c>
      <c r="BO35" s="11">
        <f>24746.2157260477/(10^3)</f>
        <v>24.746215726047701</v>
      </c>
      <c r="BP35" s="11">
        <f>23534.1143797672/(10^3)</f>
        <v>23.5341143797672</v>
      </c>
      <c r="BQ35" s="11">
        <f>23405.8986230334/(10^3)</f>
        <v>23.405898623033401</v>
      </c>
      <c r="BR35" s="11">
        <f>23974.5075935096/(10^3)</f>
        <v>23.9745075935096</v>
      </c>
      <c r="BS35" s="11">
        <f>2407540.88114813/(10^3)</f>
        <v>2407.5408811481302</v>
      </c>
      <c r="BT35" s="11">
        <f>24471.1066530877/(10^3)</f>
        <v>24.471106653087698</v>
      </c>
      <c r="BU35" s="11">
        <f>24981.3018326329/(10^3)</f>
        <v>24.981301832632901</v>
      </c>
      <c r="BV35" s="11">
        <f>26117.4819188365/(10^3)</f>
        <v>26.1174819188365</v>
      </c>
      <c r="BW35" s="11">
        <f>26473.0033606087/(10^3)</f>
        <v>26.473003360608701</v>
      </c>
      <c r="BX35" s="11">
        <f>27262.6023420015/(10^3)</f>
        <v>27.2626023420015</v>
      </c>
      <c r="BY35" s="11">
        <f>281.988391398121/(10^3)</f>
        <v>0.28198839139812099</v>
      </c>
      <c r="BZ35" s="11">
        <f>28198.8391398121/(10^3)</f>
        <v>28.198839139812097</v>
      </c>
      <c r="CA35" s="11">
        <f>27794.6030117088/(10^3)</f>
        <v>27.794603011708801</v>
      </c>
      <c r="CB35" s="11">
        <f>26552.5772588742/(10^3)</f>
        <v>26.552577258874202</v>
      </c>
      <c r="CC35" s="12"/>
      <c r="CZ35" s="11">
        <v>18.557935111428399</v>
      </c>
      <c r="DA35" s="11">
        <v>20.957818766665596</v>
      </c>
      <c r="DB35" s="11">
        <v>23.972496025370649</v>
      </c>
      <c r="DC35" s="11">
        <v>25.338067038319728</v>
      </c>
      <c r="DD35" s="11">
        <v>26.392230125034491</v>
      </c>
      <c r="DE35" s="11">
        <v>28.19883913981208</v>
      </c>
      <c r="DG35" s="11">
        <v>15.567457881486835</v>
      </c>
      <c r="DH35" s="11">
        <v>18.872800360368299</v>
      </c>
      <c r="DI35" s="11">
        <v>20.732256801954197</v>
      </c>
      <c r="DJ35" s="11">
        <v>23.783341216702439</v>
      </c>
      <c r="DK35" s="11">
        <v>22.689957721946804</v>
      </c>
      <c r="DL35" s="11">
        <v>24.075408811481296</v>
      </c>
    </row>
    <row r="36" spans="4:116" outlineLevel="1" x14ac:dyDescent="0.25">
      <c r="D36" s="10" t="s">
        <v>121</v>
      </c>
      <c r="E36" s="10" t="s">
        <v>113</v>
      </c>
      <c r="F36" s="10" t="s">
        <v>180</v>
      </c>
      <c r="G36" s="10"/>
      <c r="H36" s="62"/>
      <c r="I36" s="11">
        <f>8872/(10^3)</f>
        <v>8.8719999999999999</v>
      </c>
      <c r="J36" s="11">
        <f>8952.16861472733/(10^3)</f>
        <v>8.9521686147273307</v>
      </c>
      <c r="K36" s="11">
        <f>913062.686371624/(10^3)</f>
        <v>913.06268637162395</v>
      </c>
      <c r="L36" s="11">
        <f>9404.1124643866/(10^3)</f>
        <v>9.4041124643865999</v>
      </c>
      <c r="M36" s="11">
        <f>9300.49955510591/(10^3)</f>
        <v>9.30049955510591</v>
      </c>
      <c r="N36" s="11">
        <f>10050.2220833843/(10^3)</f>
        <v>10.0502220833843</v>
      </c>
      <c r="O36" s="11">
        <f>10441.0961647761/(10^3)</f>
        <v>10.4410961647761</v>
      </c>
      <c r="P36" s="11">
        <f>10624.4948525202/(10^3)</f>
        <v>10.624494852520201</v>
      </c>
      <c r="Q36" s="11">
        <f>107.064481081086/(10^3)</f>
        <v>0.107064481081086</v>
      </c>
      <c r="R36" s="11">
        <f>10827.1268395036/(10^3)</f>
        <v>10.827126839503601</v>
      </c>
      <c r="S36" s="11">
        <f>10700.2116301044/(10^3)</f>
        <v>10.7002116301044</v>
      </c>
      <c r="T36" s="11">
        <f>10195.6660641482/(10^3)</f>
        <v>10.195666064148199</v>
      </c>
      <c r="U36" s="11">
        <f>10182.1293166847/(10^3)</f>
        <v>10.182129316684701</v>
      </c>
      <c r="V36" s="11">
        <f>10263.7437097648/(10^3)</f>
        <v>10.2637437097648</v>
      </c>
      <c r="W36" s="11">
        <f>1031459.22021625/(10^3)</f>
        <v>1031.4592202162501</v>
      </c>
      <c r="X36" s="11">
        <f>10372.1923997238/(10^3)</f>
        <v>10.372192399723799</v>
      </c>
      <c r="Y36" s="11">
        <f>10350.2505507202/(10^3)</f>
        <v>10.350250550720201</v>
      </c>
      <c r="Z36" s="11">
        <f>10763.603852911/(10^3)</f>
        <v>10.763603852910999</v>
      </c>
      <c r="AA36" s="11">
        <f>11291.9746261298/(10^3)</f>
        <v>11.2919746261298</v>
      </c>
      <c r="AB36" s="11">
        <f>11558.5120812683/(10^3)</f>
        <v>11.558512081268299</v>
      </c>
      <c r="AC36" s="11">
        <f>121.005351860063/(10^3)</f>
        <v>0.121005351860063</v>
      </c>
      <c r="AD36" s="11">
        <f>12634.410717452/(10^3)</f>
        <v>12.634410717451999</v>
      </c>
      <c r="AE36" s="11">
        <f>11982.5729424662/(10^3)</f>
        <v>11.9825729424662</v>
      </c>
      <c r="AF36" s="11">
        <f>11878.9547457585/(10^3)</f>
        <v>11.878954745758499</v>
      </c>
      <c r="AG36" s="11">
        <f>11647.3977565999/(10^3)</f>
        <v>11.647397756599899</v>
      </c>
      <c r="AH36" s="11">
        <f>11504.8393008451/(10^3)</f>
        <v>11.5048393008451</v>
      </c>
      <c r="AI36" s="11">
        <f>1149304.55781174/(10^3)</f>
        <v>1149.3045578117401</v>
      </c>
      <c r="AJ36" s="11">
        <f>11589.6776860026/(10^3)</f>
        <v>11.589677686002601</v>
      </c>
      <c r="AK36" s="11">
        <f>11586.321771853/(10^3)</f>
        <v>11.586321771852999</v>
      </c>
      <c r="AL36" s="11">
        <f>11559.7378230782/(10^3)</f>
        <v>11.5597378230782</v>
      </c>
      <c r="AM36" s="11">
        <f>11379.5540022232/(10^3)</f>
        <v>11.3795540022232</v>
      </c>
      <c r="AN36" s="11">
        <f>11881.3627101434/(10^3)</f>
        <v>11.881362710143399</v>
      </c>
      <c r="AO36" s="11">
        <f>122.588078435926/(10^3)</f>
        <v>0.12258807843592599</v>
      </c>
      <c r="AP36" s="11">
        <f>12264.8312914399/(10^3)</f>
        <v>12.264831291439899</v>
      </c>
      <c r="AQ36" s="11">
        <f>12490.2541911596/(10^3)</f>
        <v>12.4902541911596</v>
      </c>
      <c r="AR36" s="11">
        <f>12222.9934558093/(10^3)</f>
        <v>12.222993455809299</v>
      </c>
      <c r="AS36" s="11">
        <f>12360.3338898866/(10^3)</f>
        <v>12.360333889886601</v>
      </c>
      <c r="AT36" s="11">
        <f>12374.7494124096/(10^3)</f>
        <v>12.374749412409599</v>
      </c>
      <c r="AU36" s="11">
        <f>1256399.26322983/(10^3)</f>
        <v>1256.39926322983</v>
      </c>
      <c r="AV36" s="11">
        <f>13088.2165848701/(10^3)</f>
        <v>13.0882165848701</v>
      </c>
      <c r="AW36" s="11">
        <f>13367.8803082709/(10^3)</f>
        <v>13.3678803082709</v>
      </c>
      <c r="AX36" s="11">
        <f>14066.7309529591/(10^3)</f>
        <v>14.0667309529591</v>
      </c>
      <c r="AY36" s="11">
        <f>14578.4366737625/(10^3)</f>
        <v>14.5784366737625</v>
      </c>
      <c r="AZ36" s="11">
        <f>14851.1264746203/(10^3)</f>
        <v>14.851126474620299</v>
      </c>
      <c r="BA36" s="11">
        <f>155.652747522082/(10^3)</f>
        <v>0.155652747522082</v>
      </c>
      <c r="BB36" s="11">
        <f>15997.8112577974/(10^3)</f>
        <v>15.9978112577974</v>
      </c>
      <c r="BC36" s="11">
        <f>14680.1861141656/(10^3)</f>
        <v>14.6801861141656</v>
      </c>
      <c r="BD36" s="11">
        <f>14479.7185429878/(10^3)</f>
        <v>14.479718542987801</v>
      </c>
      <c r="BE36" s="11">
        <f>14313.9615843481/(10^3)</f>
        <v>14.313961584348101</v>
      </c>
      <c r="BF36" s="11">
        <f>13949.8506667425/(10^3)</f>
        <v>13.949850666742501</v>
      </c>
      <c r="BG36" s="11">
        <f>1457102.08893117/(10^3)</f>
        <v>1457.1020889311701</v>
      </c>
      <c r="BH36" s="11">
        <f>14996.9569518386/(10^3)</f>
        <v>14.9969569518386</v>
      </c>
      <c r="BI36" s="11">
        <f>15079.8979512595/(10^3)</f>
        <v>15.0798979512595</v>
      </c>
      <c r="BJ36" s="11">
        <f>15368.7085128379/(10^3)</f>
        <v>15.3687085128379</v>
      </c>
      <c r="BK36" s="11">
        <f>16055.8568816148/(10^3)</f>
        <v>16.055856881614801</v>
      </c>
      <c r="BL36" s="11">
        <f>16160.3442404275/(10^3)</f>
        <v>16.160344240427499</v>
      </c>
      <c r="BM36" s="11">
        <f>162.85472542709/(10^3)</f>
        <v>0.16285472542708998</v>
      </c>
      <c r="BN36" s="11">
        <f>16797.5363534263/(10^3)</f>
        <v>16.797536353426302</v>
      </c>
      <c r="BO36" s="11">
        <f>15718.1481321809/(10^3)</f>
        <v>15.7181481321809</v>
      </c>
      <c r="BP36" s="11">
        <f>15657.1237273499/(10^3)</f>
        <v>15.6571237273499</v>
      </c>
      <c r="BQ36" s="11">
        <f>15464.1332275272/(10^3)</f>
        <v>15.464133227527199</v>
      </c>
      <c r="BR36" s="11">
        <f>15047.7001744606/(10^3)</f>
        <v>15.0477001744606</v>
      </c>
      <c r="BS36" s="11">
        <f>1528480.33039956/(10^3)</f>
        <v>1528.48033039956</v>
      </c>
      <c r="BT36" s="11">
        <f>15071.8438603484/(10^3)</f>
        <v>15.0718438603484</v>
      </c>
      <c r="BU36" s="11">
        <f>15668.7447285348/(10^3)</f>
        <v>15.668744728534801</v>
      </c>
      <c r="BV36" s="11">
        <f>15950.8915583788/(10^3)</f>
        <v>15.9508915583788</v>
      </c>
      <c r="BW36" s="11">
        <f>16682.6513849429/(10^3)</f>
        <v>16.682651384942901</v>
      </c>
      <c r="BX36" s="11">
        <f>17226.4700971059/(10^3)</f>
        <v>17.226470097105899</v>
      </c>
      <c r="BY36" s="11">
        <f>169.485932516811/(10^3)</f>
        <v>0.16948593251681102</v>
      </c>
      <c r="BZ36" s="11">
        <f>16948.5932516811/(10^3)</f>
        <v>16.9485932516811</v>
      </c>
      <c r="CA36" s="11">
        <f>15584.2886683498/(10^3)</f>
        <v>15.584288668349799</v>
      </c>
      <c r="CB36" s="11">
        <f>15069.8165241859/(10^3)</f>
        <v>15.069816524185901</v>
      </c>
      <c r="CC36" s="12"/>
      <c r="CZ36" s="11">
        <v>10.70644810810859</v>
      </c>
      <c r="DA36" s="11">
        <v>12.100535186006299</v>
      </c>
      <c r="DB36" s="11">
        <v>12.258807843592585</v>
      </c>
      <c r="DC36" s="11">
        <v>15.56527475220815</v>
      </c>
      <c r="DD36" s="11">
        <v>16.285472542709005</v>
      </c>
      <c r="DE36" s="11">
        <v>16.948593251681107</v>
      </c>
      <c r="DG36" s="11">
        <v>9.1306268637162376</v>
      </c>
      <c r="DH36" s="11">
        <v>10.314592202162531</v>
      </c>
      <c r="DI36" s="11">
        <v>11.493045578117441</v>
      </c>
      <c r="DJ36" s="11">
        <v>12.56399263229831</v>
      </c>
      <c r="DK36" s="11">
        <v>14.57102088931166</v>
      </c>
      <c r="DL36" s="11">
        <v>15.284803303995588</v>
      </c>
    </row>
    <row r="37" spans="4:116" outlineLevel="1" x14ac:dyDescent="0.25">
      <c r="D37" s="13" t="s">
        <v>9</v>
      </c>
      <c r="E37" s="13" t="s">
        <v>8</v>
      </c>
      <c r="F37" s="10" t="s">
        <v>151</v>
      </c>
      <c r="G37" s="13"/>
      <c r="H37" s="62"/>
      <c r="I37" s="11">
        <f>63104/(10^3)</f>
        <v>63.103999999999999</v>
      </c>
      <c r="J37" s="11">
        <f>65605.1398349723/(10^3)</f>
        <v>65.605139834972306</v>
      </c>
      <c r="K37" s="11">
        <f>6430081.38962512/(10^3)</f>
        <v>6430.0813896251202</v>
      </c>
      <c r="L37" s="11">
        <f>65404.1998863303/(10^3)</f>
        <v>65.404199886330304</v>
      </c>
      <c r="M37" s="11">
        <f>67868.1593902997/(10^3)</f>
        <v>67.868159390299695</v>
      </c>
      <c r="N37" s="11">
        <f>69341.7597231713/(10^3)</f>
        <v>69.341759723171307</v>
      </c>
      <c r="O37" s="11">
        <f>71038.7316654056/(10^3)</f>
        <v>71.038731665405606</v>
      </c>
      <c r="P37" s="11">
        <f>72285.7766508243/(10^3)</f>
        <v>72.285776650824289</v>
      </c>
      <c r="Q37" s="11">
        <f>741.568895271492/(10^3)</f>
        <v>0.74156889527149206</v>
      </c>
      <c r="R37" s="11">
        <f>77101.3803007807/(10^3)</f>
        <v>77.101380300780704</v>
      </c>
      <c r="S37" s="11">
        <f>74679.4802105745/(10^3)</f>
        <v>74.679480210574511</v>
      </c>
      <c r="T37" s="11">
        <f>74593.5491147882/(10^3)</f>
        <v>74.593549114788203</v>
      </c>
      <c r="U37" s="11">
        <f>74265.636225569/(10^3)</f>
        <v>74.265636225568997</v>
      </c>
      <c r="V37" s="11">
        <f>73424.5318805175/(10^3)</f>
        <v>73.424531880517506</v>
      </c>
      <c r="W37" s="11">
        <f>7126376.60210239/(10^3)</f>
        <v>7126.3766021023894</v>
      </c>
      <c r="X37" s="11">
        <f>73154.5462151192/(10^3)</f>
        <v>73.154546215119211</v>
      </c>
      <c r="Y37" s="11">
        <f>72228.3067328807/(10^3)</f>
        <v>72.228306732880696</v>
      </c>
      <c r="Z37" s="11">
        <f>76672.5273439875/(10^3)</f>
        <v>76.672527343987497</v>
      </c>
      <c r="AA37" s="11">
        <f>77353.0832922467/(10^3)</f>
        <v>77.353083292246694</v>
      </c>
      <c r="AB37" s="11">
        <f>80040.1436953949/(10^3)</f>
        <v>80.040143695394903</v>
      </c>
      <c r="AC37" s="11">
        <f>830.725210040145/(10^3)</f>
        <v>0.83072521004014499</v>
      </c>
      <c r="AD37" s="11">
        <f>80703.7305077965/(10^3)</f>
        <v>80.703730507796493</v>
      </c>
      <c r="AE37" s="11">
        <f>73053.5921313235/(10^3)</f>
        <v>73.053592131323498</v>
      </c>
      <c r="AF37" s="11">
        <f>69785.6595576919/(10^3)</f>
        <v>69.785659557691901</v>
      </c>
      <c r="AG37" s="11">
        <f>69148.7432412624/(10^3)</f>
        <v>69.148743241262409</v>
      </c>
      <c r="AH37" s="11">
        <f>68202.9711637505/(10^3)</f>
        <v>68.20297116375049</v>
      </c>
      <c r="AI37" s="11">
        <f>7114401.23947093/(10^3)</f>
        <v>7114.4012394709298</v>
      </c>
      <c r="AJ37" s="11">
        <f>69337.3232728393/(10^3)</f>
        <v>69.337323272839299</v>
      </c>
      <c r="AK37" s="11">
        <f>68981.086182302/(10^3)</f>
        <v>68.981086182301993</v>
      </c>
      <c r="AL37" s="11">
        <f>68533.7186369472/(10^3)</f>
        <v>68.533718636947199</v>
      </c>
      <c r="AM37" s="11">
        <f>66526.453548611/(10^3)</f>
        <v>66.526453548611002</v>
      </c>
      <c r="AN37" s="11">
        <f>69052.3000714065/(10^3)</f>
        <v>69.052300071406492</v>
      </c>
      <c r="AO37" s="11">
        <f>722.309236997645/(10^3)</f>
        <v>0.72230923699764504</v>
      </c>
      <c r="AP37" s="11">
        <f>74594.5412008476/(10^3)</f>
        <v>74.594541200847601</v>
      </c>
      <c r="AQ37" s="11">
        <f>73180.0981191716/(10^3)</f>
        <v>73.180098119171603</v>
      </c>
      <c r="AR37" s="11">
        <f>73815.3879346618/(10^3)</f>
        <v>73.8153879346618</v>
      </c>
      <c r="AS37" s="11">
        <f>74914.5569086159/(10^3)</f>
        <v>74.914556908615893</v>
      </c>
      <c r="AT37" s="11">
        <f>73927.4789295763/(10^3)</f>
        <v>73.92747892957631</v>
      </c>
      <c r="AU37" s="11">
        <f>7626561.97318426/(10^3)</f>
        <v>7626.5619731842598</v>
      </c>
      <c r="AV37" s="11">
        <f>76890.3471080579/(10^3)</f>
        <v>76.89034710805791</v>
      </c>
      <c r="AW37" s="11">
        <f>75518.0249154689/(10^3)</f>
        <v>75.518024915468899</v>
      </c>
      <c r="AX37" s="11">
        <f>76528.214354526/(10^3)</f>
        <v>76.528214354526</v>
      </c>
      <c r="AY37" s="11">
        <f>79491.5630536914/(10^3)</f>
        <v>79.491563053691394</v>
      </c>
      <c r="AZ37" s="11">
        <f>82413.4458156803/(10^3)</f>
        <v>82.413445815680305</v>
      </c>
      <c r="BA37" s="11">
        <f>858.000259721311/(10^3)</f>
        <v>0.858000259721311</v>
      </c>
      <c r="BB37" s="11">
        <f>83370.8545842302/(10^3)</f>
        <v>83.370854584230202</v>
      </c>
      <c r="BC37" s="11">
        <f>82916.0705904455/(10^3)</f>
        <v>82.9160705904455</v>
      </c>
      <c r="BD37" s="11">
        <f>82224.7047405898/(10^3)</f>
        <v>82.2247047405898</v>
      </c>
      <c r="BE37" s="11">
        <f>80737.8685572709/(10^3)</f>
        <v>80.737868557270886</v>
      </c>
      <c r="BF37" s="11">
        <f>81571.3902782246/(10^3)</f>
        <v>81.571390278224598</v>
      </c>
      <c r="BG37" s="11">
        <f>8394285.57732411/(10^3)</f>
        <v>8394.2855773241099</v>
      </c>
      <c r="BH37" s="11">
        <f>85190.1205387324/(10^3)</f>
        <v>85.190120538732401</v>
      </c>
      <c r="BI37" s="11">
        <f>82902.9300962141/(10^3)</f>
        <v>82.902930096214092</v>
      </c>
      <c r="BJ37" s="11">
        <f>84431.9646153946/(10^3)</f>
        <v>84.431964615394591</v>
      </c>
      <c r="BK37" s="11">
        <f>86581.2431080423/(10^3)</f>
        <v>86.581243108042301</v>
      </c>
      <c r="BL37" s="11">
        <f>87443.0495710327/(10^3)</f>
        <v>87.443049571032688</v>
      </c>
      <c r="BM37" s="11">
        <f>880.54325283677/(10^3)</f>
        <v>0.88054325283676993</v>
      </c>
      <c r="BN37" s="11">
        <f>88717.2872089323/(10^3)</f>
        <v>88.717287208932305</v>
      </c>
      <c r="BO37" s="11">
        <f>80567.3147074128/(10^3)</f>
        <v>80.567314707412805</v>
      </c>
      <c r="BP37" s="11">
        <f>76738.1480398967/(10^3)</f>
        <v>76.7381480398967</v>
      </c>
      <c r="BQ37" s="11">
        <f>75890.3112492439/(10^3)</f>
        <v>75.890311249243894</v>
      </c>
      <c r="BR37" s="11">
        <f>76267.0617987491/(10^3)</f>
        <v>76.267061798749097</v>
      </c>
      <c r="BS37" s="11">
        <f>7980403.88366599/(10^3)</f>
        <v>7980.4038836659902</v>
      </c>
      <c r="BT37" s="11">
        <f>83665.7585233667/(10^3)</f>
        <v>83.665758523366705</v>
      </c>
      <c r="BU37" s="11">
        <f>84837.1400395327/(10^3)</f>
        <v>84.837140039532699</v>
      </c>
      <c r="BV37" s="11">
        <f>91187.0052321787/(10^3)</f>
        <v>91.187005232178691</v>
      </c>
      <c r="BW37" s="11">
        <f>94116.1293785766/(10^3)</f>
        <v>94.116129378576602</v>
      </c>
      <c r="BX37" s="11">
        <f>97974.7649637518/(10^3)</f>
        <v>97.974764963751809</v>
      </c>
      <c r="BY37" s="11">
        <f>1004.51457683361/(10^3)</f>
        <v>1.0045145768336101</v>
      </c>
      <c r="BZ37" s="11">
        <f>100451.457683361/(10^3)</f>
        <v>100.451457683361</v>
      </c>
      <c r="CA37" s="11">
        <f>93179.5302769627/(10^3)</f>
        <v>93.179530276962709</v>
      </c>
      <c r="CB37" s="11">
        <f>89468.4195596795/(10^3)</f>
        <v>89.468419559679504</v>
      </c>
      <c r="CC37" s="12"/>
      <c r="CZ37" s="11">
        <v>74.156889527149204</v>
      </c>
      <c r="DA37" s="11">
        <v>83.072521004014519</v>
      </c>
      <c r="DB37" s="11">
        <v>72.230923699764489</v>
      </c>
      <c r="DC37" s="11">
        <v>85.800025972131124</v>
      </c>
      <c r="DD37" s="11">
        <v>88.054325283677017</v>
      </c>
      <c r="DE37" s="11">
        <v>100.45145768336063</v>
      </c>
      <c r="DG37" s="11">
        <v>64.300813896251157</v>
      </c>
      <c r="DH37" s="11">
        <v>71.263766021023926</v>
      </c>
      <c r="DI37" s="11">
        <v>71.144012394709321</v>
      </c>
      <c r="DJ37" s="11">
        <v>76.265619731842548</v>
      </c>
      <c r="DK37" s="11">
        <v>83.942855773241092</v>
      </c>
      <c r="DL37" s="11">
        <v>79.804038836659899</v>
      </c>
    </row>
    <row r="38" spans="4:116" outlineLevel="1" x14ac:dyDescent="0.25">
      <c r="D38" s="13" t="s">
        <v>11</v>
      </c>
      <c r="E38" s="13" t="s">
        <v>10</v>
      </c>
      <c r="F38" s="10" t="s">
        <v>150</v>
      </c>
      <c r="G38" s="13"/>
      <c r="H38" s="62"/>
      <c r="I38" s="11">
        <f>38142/(10^3)</f>
        <v>38.142000000000003</v>
      </c>
      <c r="J38" s="11">
        <f>38892.5481398175/(10^3)</f>
        <v>38.892548139817507</v>
      </c>
      <c r="K38" s="11">
        <f>3808581.31685623/(10^3)</f>
        <v>3808.5813168562299</v>
      </c>
      <c r="L38" s="11">
        <f>38271.565122024/(10^3)</f>
        <v>38.271565122024001</v>
      </c>
      <c r="M38" s="11">
        <f>37757.5580136799/(10^3)</f>
        <v>37.757558013679905</v>
      </c>
      <c r="N38" s="11">
        <f>38666.3526309472/(10^3)</f>
        <v>38.666352630947202</v>
      </c>
      <c r="O38" s="11">
        <f>39494.9762354244/(10^3)</f>
        <v>39.494976235424403</v>
      </c>
      <c r="P38" s="11">
        <f>40817.4503503987/(10^3)</f>
        <v>40.817450350398701</v>
      </c>
      <c r="Q38" s="11">
        <f>412.525851404297/(10^3)</f>
        <v>0.41252585140429698</v>
      </c>
      <c r="R38" s="11">
        <f>41333.0063279498/(10^3)</f>
        <v>41.333006327949796</v>
      </c>
      <c r="S38" s="11">
        <f>37469.3819962292/(10^3)</f>
        <v>37.469381996229195</v>
      </c>
      <c r="T38" s="11">
        <f>35649.0474827618/(10^3)</f>
        <v>35.649047482761802</v>
      </c>
      <c r="U38" s="11">
        <f>35357.3155487254/(10^3)</f>
        <v>35.357315548725396</v>
      </c>
      <c r="V38" s="11">
        <f>36315.0568273889/(10^3)</f>
        <v>36.315056827388901</v>
      </c>
      <c r="W38" s="11">
        <f>3596014.1114013/(10^3)</f>
        <v>3596.0141114012999</v>
      </c>
      <c r="X38" s="11">
        <f>36677.5829043238/(10^3)</f>
        <v>36.677582904323799</v>
      </c>
      <c r="Y38" s="11">
        <f>38062.3335896609/(10^3)</f>
        <v>38.062333589660902</v>
      </c>
      <c r="Z38" s="11">
        <f>38545.112786829/(10^3)</f>
        <v>38.545112786829002</v>
      </c>
      <c r="AA38" s="11">
        <f>39282.7358593561/(10^3)</f>
        <v>39.282735859356102</v>
      </c>
      <c r="AB38" s="11">
        <f>41098.7314516279/(10^3)</f>
        <v>41.098731451627899</v>
      </c>
      <c r="AC38" s="11">
        <f>416.26154429704/(10^3)</f>
        <v>0.41626154429704004</v>
      </c>
      <c r="AD38" s="11">
        <f>41691.8240071977/(10^3)</f>
        <v>41.691824007197695</v>
      </c>
      <c r="AE38" s="11">
        <f>39479.4418329442/(10^3)</f>
        <v>39.479441832944197</v>
      </c>
      <c r="AF38" s="11">
        <f>37968.5648867825/(10^3)</f>
        <v>37.968564886782502</v>
      </c>
      <c r="AG38" s="11">
        <f>37650.2700554181/(10^3)</f>
        <v>37.650270055418098</v>
      </c>
      <c r="AH38" s="11">
        <f>39007.0099059161/(10^3)</f>
        <v>39.0070099059161</v>
      </c>
      <c r="AI38" s="11">
        <f>3849623.0228371/(10^3)</f>
        <v>3849.6230228371001</v>
      </c>
      <c r="AJ38" s="11">
        <f>40023.8743736104/(10^3)</f>
        <v>40.023874373610404</v>
      </c>
      <c r="AK38" s="11">
        <f>41781.2596158716/(10^3)</f>
        <v>41.781259615871598</v>
      </c>
      <c r="AL38" s="11">
        <f>42784.0411809511/(10^3)</f>
        <v>42.7840411809511</v>
      </c>
      <c r="AM38" s="11">
        <f>44695.1807518515/(10^3)</f>
        <v>44.695180751851495</v>
      </c>
      <c r="AN38" s="11">
        <f>45135.0066234473/(10^3)</f>
        <v>45.135006623447296</v>
      </c>
      <c r="AO38" s="11">
        <f>454.610608254337/(10^3)</f>
        <v>0.45461060825433702</v>
      </c>
      <c r="AP38" s="11">
        <f>45010.7162080144/(10^3)</f>
        <v>45.010716208014394</v>
      </c>
      <c r="AQ38" s="11">
        <f>46265.73069215/(10^3)</f>
        <v>46.265730692150001</v>
      </c>
      <c r="AR38" s="11">
        <f>45251.7598339667/(10^3)</f>
        <v>45.251759833966702</v>
      </c>
      <c r="AS38" s="11">
        <f>46691.8398286813/(10^3)</f>
        <v>46.691839828681303</v>
      </c>
      <c r="AT38" s="11">
        <f>47187.778437021/(10^3)</f>
        <v>47.187778437021002</v>
      </c>
      <c r="AU38" s="11">
        <f>4894153.82721105/(10^3)</f>
        <v>4894.1538272110502</v>
      </c>
      <c r="AV38" s="11">
        <f>48221.1946435861/(10^3)</f>
        <v>48.221194643586102</v>
      </c>
      <c r="AW38" s="11">
        <f>50022.6963729276/(10^3)</f>
        <v>50.022696372927605</v>
      </c>
      <c r="AX38" s="11">
        <f>54284.0969721515/(10^3)</f>
        <v>54.284096972151502</v>
      </c>
      <c r="AY38" s="11">
        <f>54734.9265919819/(10^3)</f>
        <v>54.734926591981903</v>
      </c>
      <c r="AZ38" s="11">
        <f>56674.3785570311/(10^3)</f>
        <v>56.674378557031098</v>
      </c>
      <c r="BA38" s="11">
        <f>592.67145520512/(10^3)</f>
        <v>0.59267145520511999</v>
      </c>
      <c r="BB38" s="11">
        <f>60110.5729398711/(10^3)</f>
        <v>60.110572939871098</v>
      </c>
      <c r="BC38" s="11">
        <f>58817.0253593997/(10^3)</f>
        <v>58.817025359399693</v>
      </c>
      <c r="BD38" s="11">
        <f>56256.0019811324/(10^3)</f>
        <v>56.2560019811324</v>
      </c>
      <c r="BE38" s="11">
        <f>55552.5039563918/(10^3)</f>
        <v>55.552503956391803</v>
      </c>
      <c r="BF38" s="11">
        <f>56621.4614735834/(10^3)</f>
        <v>56.621461473583395</v>
      </c>
      <c r="BG38" s="11">
        <f>5812449.10043542/(10^3)</f>
        <v>5812.4491004354195</v>
      </c>
      <c r="BH38" s="11">
        <f>60199.2260921485/(10^3)</f>
        <v>60.1992260921485</v>
      </c>
      <c r="BI38" s="11">
        <f>60314.3971943562/(10^3)</f>
        <v>60.314397194356197</v>
      </c>
      <c r="BJ38" s="11">
        <f>61862.7837189443/(10^3)</f>
        <v>61.8627837189443</v>
      </c>
      <c r="BK38" s="11">
        <f>64164.7338920824/(10^3)</f>
        <v>64.164733892082396</v>
      </c>
      <c r="BL38" s="11">
        <f>65222.407074446/(10^3)</f>
        <v>65.222407074445996</v>
      </c>
      <c r="BM38" s="11">
        <f>671.707660013945/(10^3)</f>
        <v>0.671707660013945</v>
      </c>
      <c r="BN38" s="11">
        <f>67527.3224640118/(10^3)</f>
        <v>67.527322464011803</v>
      </c>
      <c r="BO38" s="11">
        <f>63221.8560560613/(10^3)</f>
        <v>63.221856056061299</v>
      </c>
      <c r="BP38" s="11">
        <f>60921.7453546655/(10^3)</f>
        <v>60.921745354665504</v>
      </c>
      <c r="BQ38" s="11">
        <f>59617.0136185391/(10^3)</f>
        <v>59.617013618539104</v>
      </c>
      <c r="BR38" s="11">
        <f>59077.1199269699/(10^3)</f>
        <v>59.0771199269699</v>
      </c>
      <c r="BS38" s="11">
        <f>6160978.37109759/(10^3)</f>
        <v>6160.9783710975898</v>
      </c>
      <c r="BT38" s="11">
        <f>59950.3616551457/(10^3)</f>
        <v>59.950361655145699</v>
      </c>
      <c r="BU38" s="11">
        <f>58958.021416017/(10^3)</f>
        <v>58.958021416016997</v>
      </c>
      <c r="BV38" s="11">
        <f>63532.8141948907/(10^3)</f>
        <v>63.532814194890697</v>
      </c>
      <c r="BW38" s="11">
        <f>65229.5029261748/(10^3)</f>
        <v>65.229502926174803</v>
      </c>
      <c r="BX38" s="11">
        <f>68464.9222719638/(10^3)</f>
        <v>68.4649222719638</v>
      </c>
      <c r="BY38" s="11">
        <f>691.782093595889/(10^3)</f>
        <v>0.69178209359588905</v>
      </c>
      <c r="BZ38" s="11">
        <f>69178.2093595889/(10^3)</f>
        <v>69.178209359588905</v>
      </c>
      <c r="CA38" s="11">
        <f>68130.098062898/(10^3)</f>
        <v>68.130098062898</v>
      </c>
      <c r="CB38" s="11">
        <f>66640.4262046421/(10^3)</f>
        <v>66.640426204642111</v>
      </c>
      <c r="CC38" s="12"/>
      <c r="CZ38" s="11">
        <v>41.252585140429744</v>
      </c>
      <c r="DA38" s="11">
        <v>41.626154429704044</v>
      </c>
      <c r="DB38" s="11">
        <v>45.461060825433677</v>
      </c>
      <c r="DC38" s="11">
        <v>59.267145520511988</v>
      </c>
      <c r="DD38" s="11">
        <v>67.170766001394512</v>
      </c>
      <c r="DE38" s="11">
        <v>69.178209359588877</v>
      </c>
      <c r="DG38" s="11">
        <v>38.085813168562311</v>
      </c>
      <c r="DH38" s="11">
        <v>35.96014111401297</v>
      </c>
      <c r="DI38" s="11">
        <v>38.496230228370955</v>
      </c>
      <c r="DJ38" s="11">
        <v>48.941538272110549</v>
      </c>
      <c r="DK38" s="11">
        <v>58.124491004354212</v>
      </c>
      <c r="DL38" s="11">
        <v>61.609783710975904</v>
      </c>
    </row>
    <row r="39" spans="4:116" outlineLevel="1" x14ac:dyDescent="0.25">
      <c r="D39" s="13" t="s">
        <v>13</v>
      </c>
      <c r="E39" s="13" t="s">
        <v>12</v>
      </c>
      <c r="F39" s="10" t="s">
        <v>150</v>
      </c>
      <c r="G39" s="13"/>
      <c r="H39" s="62"/>
      <c r="I39" s="11">
        <f>126472/(10^3)</f>
        <v>126.47199999999999</v>
      </c>
      <c r="J39" s="11">
        <f>128106.04712471/(10^3)</f>
        <v>128.10604712471002</v>
      </c>
      <c r="K39" s="11">
        <f>12677645.2311721/(10^3)</f>
        <v>12677.6452311721</v>
      </c>
      <c r="L39" s="11">
        <f>126159.128993255/(10^3)</f>
        <v>126.159128993255</v>
      </c>
      <c r="M39" s="11">
        <f>131283.925121373/(10^3)</f>
        <v>131.28392512137299</v>
      </c>
      <c r="N39" s="11">
        <f>143142.772042024/(10^3)</f>
        <v>143.14277204202401</v>
      </c>
      <c r="O39" s="11">
        <f>147166.636897429/(10^3)</f>
        <v>147.16663689742902</v>
      </c>
      <c r="P39" s="11">
        <f>150954.431614354/(10^3)</f>
        <v>150.95443161435398</v>
      </c>
      <c r="Q39" s="11">
        <f>1519.39347083092/(10^3)</f>
        <v>1.51939347083092</v>
      </c>
      <c r="R39" s="11">
        <f>151661.44648974/(10^3)</f>
        <v>151.66144648974</v>
      </c>
      <c r="S39" s="11">
        <f>137395.559714776/(10^3)</f>
        <v>137.395559714776</v>
      </c>
      <c r="T39" s="11">
        <f>131417.239286944/(10^3)</f>
        <v>131.41723928694401</v>
      </c>
      <c r="U39" s="11">
        <f>127997.334134965/(10^3)</f>
        <v>127.997334134965</v>
      </c>
      <c r="V39" s="11">
        <f>128460.627267732/(10^3)</f>
        <v>128.46062726773201</v>
      </c>
      <c r="W39" s="11">
        <f>12522389.0147854/(10^3)</f>
        <v>12522.3890147854</v>
      </c>
      <c r="X39" s="11">
        <f>123011.585899631/(10^3)</f>
        <v>123.011585899631</v>
      </c>
      <c r="Y39" s="11">
        <f>121765.794586905/(10^3)</f>
        <v>121.765794586905</v>
      </c>
      <c r="Z39" s="11">
        <f>128128.526492379/(10^3)</f>
        <v>128.128526492379</v>
      </c>
      <c r="AA39" s="11">
        <f>129363.300784319/(10^3)</f>
        <v>129.36330078431899</v>
      </c>
      <c r="AB39" s="11">
        <f>132990.452823356/(10^3)</f>
        <v>132.99045282335601</v>
      </c>
      <c r="AC39" s="11">
        <f>1369.23690201736/(10^3)</f>
        <v>1.36923690201736</v>
      </c>
      <c r="AD39" s="11">
        <f>138042.97921302/(10^3)</f>
        <v>138.04297921302</v>
      </c>
      <c r="AE39" s="11">
        <f>124863.471160153/(10^3)</f>
        <v>124.863471160153</v>
      </c>
      <c r="AF39" s="11">
        <f>121661.046858642/(10^3)</f>
        <v>121.66104685864201</v>
      </c>
      <c r="AG39" s="11">
        <f>118302.482616434/(10^3)</f>
        <v>118.30248261643401</v>
      </c>
      <c r="AH39" s="11">
        <f>122806.952806665/(10^3)</f>
        <v>122.806952806665</v>
      </c>
      <c r="AI39" s="11">
        <f>12739086.8816757/(10^3)</f>
        <v>12739.086881675699</v>
      </c>
      <c r="AJ39" s="11">
        <f>133449.294948196/(10^3)</f>
        <v>133.44929494819601</v>
      </c>
      <c r="AK39" s="11">
        <f>136877.844775387/(10^3)</f>
        <v>136.87784477538699</v>
      </c>
      <c r="AL39" s="11">
        <f>137868.338764914/(10^3)</f>
        <v>137.868338764914</v>
      </c>
      <c r="AM39" s="11">
        <f>141434.792238152/(10^3)</f>
        <v>141.434792238152</v>
      </c>
      <c r="AN39" s="11">
        <f>137986.203769516/(10^3)</f>
        <v>137.98620376951601</v>
      </c>
      <c r="AO39" s="11">
        <f>1346.39679076009/(10^3)</f>
        <v>1.34639679076009</v>
      </c>
      <c r="AP39" s="11">
        <f>138173.765522083/(10^3)</f>
        <v>138.17376552208302</v>
      </c>
      <c r="AQ39" s="11">
        <f>139202.963569826/(10^3)</f>
        <v>139.20296356982601</v>
      </c>
      <c r="AR39" s="11">
        <f>135457.934567108/(10^3)</f>
        <v>135.457934567108</v>
      </c>
      <c r="AS39" s="11">
        <f>136839.76590062/(10^3)</f>
        <v>136.83976590061999</v>
      </c>
      <c r="AT39" s="11">
        <f>135379.840095604/(10^3)</f>
        <v>135.37984009560401</v>
      </c>
      <c r="AU39" s="11">
        <f>14115205.323881/(10^3)</f>
        <v>14115.205323881</v>
      </c>
      <c r="AV39" s="11">
        <f>144066.261960922/(10^3)</f>
        <v>144.06626196092202</v>
      </c>
      <c r="AW39" s="11">
        <f>140122.586423444/(10^3)</f>
        <v>140.12258642344401</v>
      </c>
      <c r="AX39" s="11">
        <f>148418.31886543/(10^3)</f>
        <v>148.41831886543</v>
      </c>
      <c r="AY39" s="11">
        <f>153088.595187611/(10^3)</f>
        <v>153.08859518761099</v>
      </c>
      <c r="AZ39" s="11">
        <f>153818.267603984/(10^3)</f>
        <v>153.818267603984</v>
      </c>
      <c r="BA39" s="11">
        <f>1543.5660984738/(10^3)</f>
        <v>1.5435660984738</v>
      </c>
      <c r="BB39" s="11">
        <f>154640.325002838/(10^3)</f>
        <v>154.64032500283801</v>
      </c>
      <c r="BC39" s="11">
        <f>148828.7672547/(10^3)</f>
        <v>148.82876725470001</v>
      </c>
      <c r="BD39" s="11">
        <f>145321.91461415/(10^3)</f>
        <v>145.32191461415002</v>
      </c>
      <c r="BE39" s="11">
        <f>142272.585290225/(10^3)</f>
        <v>142.27258529022498</v>
      </c>
      <c r="BF39" s="11">
        <f>145684.220418905/(10^3)</f>
        <v>145.684220418905</v>
      </c>
      <c r="BG39" s="11">
        <f>14398685.0685351/(10^3)</f>
        <v>14398.6850685351</v>
      </c>
      <c r="BH39" s="11">
        <f>150199.284849786/(10^3)</f>
        <v>150.19928484978598</v>
      </c>
      <c r="BI39" s="11">
        <f>155891.042181344/(10^3)</f>
        <v>155.89104218134401</v>
      </c>
      <c r="BJ39" s="11">
        <f>159048.866141629/(10^3)</f>
        <v>159.04886614162899</v>
      </c>
      <c r="BK39" s="11">
        <f>163665.307005514/(10^3)</f>
        <v>163.66530700551402</v>
      </c>
      <c r="BL39" s="11">
        <f>166871.85594038/(10^3)</f>
        <v>166.87185594037999</v>
      </c>
      <c r="BM39" s="11">
        <f>1750.63097346128/(10^3)</f>
        <v>1.7506309734612802</v>
      </c>
      <c r="BN39" s="11">
        <f>180278.061486219/(10^3)</f>
        <v>180.278061486219</v>
      </c>
      <c r="BO39" s="11">
        <f>169031.111508709/(10^3)</f>
        <v>169.03111150870899</v>
      </c>
      <c r="BP39" s="11">
        <f>168158.530146537/(10^3)</f>
        <v>168.158530146537</v>
      </c>
      <c r="BQ39" s="11">
        <f>167037.11729434/(10^3)</f>
        <v>167.03711729433999</v>
      </c>
      <c r="BR39" s="11">
        <f>164758.971861359/(10^3)</f>
        <v>164.75897186135899</v>
      </c>
      <c r="BS39" s="11">
        <f>16523883.8643583/(10^3)</f>
        <v>16523.8838643583</v>
      </c>
      <c r="BT39" s="11">
        <f>169749.086205414/(10^3)</f>
        <v>169.74908620541399</v>
      </c>
      <c r="BU39" s="11">
        <f>175497.864608372/(10^3)</f>
        <v>175.497864608372</v>
      </c>
      <c r="BV39" s="11">
        <f>181447.191138818/(10^3)</f>
        <v>181.447191138818</v>
      </c>
      <c r="BW39" s="11">
        <f>181506.811626995/(10^3)</f>
        <v>181.50681162699502</v>
      </c>
      <c r="BX39" s="11">
        <f>181654.568289271/(10^3)</f>
        <v>181.654568289271</v>
      </c>
      <c r="BY39" s="11">
        <f>1923.29763220784/(10^3)</f>
        <v>1.9232976322078401</v>
      </c>
      <c r="BZ39" s="11">
        <f>192329.763220784/(10^3)</f>
        <v>192.329763220784</v>
      </c>
      <c r="CA39" s="11">
        <f>178036.670249133/(10^3)</f>
        <v>178.03667024913298</v>
      </c>
      <c r="CB39" s="11">
        <f>175763.793498087/(10^3)</f>
        <v>175.76379349808701</v>
      </c>
      <c r="CC39" s="12"/>
      <c r="CZ39" s="11">
        <v>151.93934708309186</v>
      </c>
      <c r="DA39" s="11">
        <v>136.92369020173638</v>
      </c>
      <c r="DB39" s="11">
        <v>134.63967907600889</v>
      </c>
      <c r="DC39" s="11">
        <v>154.3566098473805</v>
      </c>
      <c r="DD39" s="11">
        <v>175.06309734612807</v>
      </c>
      <c r="DE39" s="11">
        <v>192.3297632207844</v>
      </c>
      <c r="DG39" s="11">
        <v>126.77645231172143</v>
      </c>
      <c r="DH39" s="11">
        <v>125.22389014785375</v>
      </c>
      <c r="DI39" s="11">
        <v>127.39086881675699</v>
      </c>
      <c r="DJ39" s="11">
        <v>141.15205323881003</v>
      </c>
      <c r="DK39" s="11">
        <v>143.98685068535073</v>
      </c>
      <c r="DL39" s="11">
        <v>165.23883864358282</v>
      </c>
    </row>
    <row r="40" spans="4:116" outlineLevel="1" x14ac:dyDescent="0.25">
      <c r="D40" s="13" t="s">
        <v>15</v>
      </c>
      <c r="E40" s="13" t="s">
        <v>14</v>
      </c>
      <c r="F40" s="10" t="s">
        <v>150</v>
      </c>
      <c r="G40" s="13"/>
      <c r="H40" s="62"/>
      <c r="I40" s="11">
        <f>38874/(10^3)</f>
        <v>38.874000000000002</v>
      </c>
      <c r="J40" s="11">
        <f>37813.44164729/(10^3)</f>
        <v>37.813441647289999</v>
      </c>
      <c r="K40" s="11">
        <f>3673689.79980489/(10^3)</f>
        <v>3673.6897998048898</v>
      </c>
      <c r="L40" s="11">
        <f>38543.7013142863/(10^3)</f>
        <v>38.543701314286302</v>
      </c>
      <c r="M40" s="11">
        <f>39129.6088233113/(10^3)</f>
        <v>39.129608823311294</v>
      </c>
      <c r="N40" s="11">
        <f>41210.4167271136/(10^3)</f>
        <v>41.210416727113603</v>
      </c>
      <c r="O40" s="11">
        <f>43202.4912643806/(10^3)</f>
        <v>43.202491264380605</v>
      </c>
      <c r="P40" s="11">
        <f>43381.9310619937/(10^3)</f>
        <v>43.381931061993704</v>
      </c>
      <c r="Q40" s="11">
        <f>451.447438130983/(10^3)</f>
        <v>0.45144743813098304</v>
      </c>
      <c r="R40" s="11">
        <f>45667.7654735913/(10^3)</f>
        <v>45.667765473591302</v>
      </c>
      <c r="S40" s="11">
        <f>45249.2580137482/(10^3)</f>
        <v>45.249258013748197</v>
      </c>
      <c r="T40" s="11">
        <f>44658.130470762/(10^3)</f>
        <v>44.658130470762003</v>
      </c>
      <c r="U40" s="11">
        <f>44483.2213434538/(10^3)</f>
        <v>44.483221343453799</v>
      </c>
      <c r="V40" s="11">
        <f>46415.2804865878/(10^3)</f>
        <v>46.415280486587797</v>
      </c>
      <c r="W40" s="11">
        <f>4656434.68207477/(10^3)</f>
        <v>4656.4346820747705</v>
      </c>
      <c r="X40" s="11">
        <f>45422.8640176478/(10^3)</f>
        <v>45.422864017647797</v>
      </c>
      <c r="Y40" s="11">
        <f>47673.7759352419/(10^3)</f>
        <v>47.673775935241899</v>
      </c>
      <c r="Z40" s="11">
        <f>50669.4642459807/(10^3)</f>
        <v>50.669464245980699</v>
      </c>
      <c r="AA40" s="11">
        <f>51336.0237916087/(10^3)</f>
        <v>51.336023791608696</v>
      </c>
      <c r="AB40" s="11">
        <f>53139.0719188361/(10^3)</f>
        <v>53.139071918836102</v>
      </c>
      <c r="AC40" s="11">
        <f>532.025907903153/(10^3)</f>
        <v>0.53202590790315296</v>
      </c>
      <c r="AD40" s="11">
        <f>52239.798093391/(10^3)</f>
        <v>52.239798093391002</v>
      </c>
      <c r="AE40" s="11">
        <f>49789.9412016892/(10^3)</f>
        <v>49.789941201689203</v>
      </c>
      <c r="AF40" s="11">
        <f>48676.8930826984/(10^3)</f>
        <v>48.676893082698399</v>
      </c>
      <c r="AG40" s="11">
        <f>47721.9709055198/(10^3)</f>
        <v>47.721970905519804</v>
      </c>
      <c r="AH40" s="11">
        <f>49852.3388413727/(10^3)</f>
        <v>49.852338841372699</v>
      </c>
      <c r="AI40" s="11">
        <f>5225129.93248621/(10^3)</f>
        <v>5225.1299324862102</v>
      </c>
      <c r="AJ40" s="11">
        <f>53638.9946363062/(10^3)</f>
        <v>53.638994636306194</v>
      </c>
      <c r="AK40" s="11">
        <f>54292.3425999143/(10^3)</f>
        <v>54.292342599914299</v>
      </c>
      <c r="AL40" s="11">
        <f>59670.0240899006/(10^3)</f>
        <v>59.6700240899006</v>
      </c>
      <c r="AM40" s="11">
        <f>61033.8309970469/(10^3)</f>
        <v>61.033830997046898</v>
      </c>
      <c r="AN40" s="11">
        <f>61823.5080702741/(10^3)</f>
        <v>61.823508070274102</v>
      </c>
      <c r="AO40" s="11">
        <f>628.945526683551/(10^3)</f>
        <v>0.62894552668355097</v>
      </c>
      <c r="AP40" s="11">
        <f>65574.2848419895/(10^3)</f>
        <v>65.574284841989495</v>
      </c>
      <c r="AQ40" s="11">
        <f>66329.6036374335/(10^3)</f>
        <v>66.329603637433493</v>
      </c>
      <c r="AR40" s="11">
        <f>66150.5456207479/(10^3)</f>
        <v>66.150545620747906</v>
      </c>
      <c r="AS40" s="11">
        <f>66170.4840147716/(10^3)</f>
        <v>66.170484014771603</v>
      </c>
      <c r="AT40" s="11">
        <f>64925.5199173308/(10^3)</f>
        <v>64.925519917330803</v>
      </c>
      <c r="AU40" s="11">
        <f>6661821.90307744/(10^3)</f>
        <v>6661.8219030774408</v>
      </c>
      <c r="AV40" s="11">
        <f>68167.5582041392/(10^3)</f>
        <v>68.167558204139198</v>
      </c>
      <c r="AW40" s="11">
        <f>71441.8321319687/(10^3)</f>
        <v>71.441832131968695</v>
      </c>
      <c r="AX40" s="11">
        <f>74801.5075482862/(10^3)</f>
        <v>74.801507548286196</v>
      </c>
      <c r="AY40" s="11">
        <f>76303.0801101217/(10^3)</f>
        <v>76.303080110121698</v>
      </c>
      <c r="AZ40" s="11">
        <f>78154.9440644816/(10^3)</f>
        <v>78.154944064481612</v>
      </c>
      <c r="BA40" s="11">
        <f>790.179749627536/(10^3)</f>
        <v>0.79017974962753601</v>
      </c>
      <c r="BB40" s="11">
        <f>81261.9981879186/(10^3)</f>
        <v>81.261998187918593</v>
      </c>
      <c r="BC40" s="11">
        <f>74321.5702941135/(10^3)</f>
        <v>74.321570294113499</v>
      </c>
      <c r="BD40" s="11">
        <f>71558.4207757749/(10^3)</f>
        <v>71.558420775774891</v>
      </c>
      <c r="BE40" s="11">
        <f>70049.3278451351/(10^3)</f>
        <v>70.04932784513511</v>
      </c>
      <c r="BF40" s="11">
        <f>70940.83967467/(10^3)</f>
        <v>70.940839674670002</v>
      </c>
      <c r="BG40" s="11">
        <f>7213205.23621876/(10^3)</f>
        <v>7213.2052362187596</v>
      </c>
      <c r="BH40" s="11">
        <f>71028.2018296098/(10^3)</f>
        <v>71.028201829609799</v>
      </c>
      <c r="BI40" s="11">
        <f>72861.0480495141/(10^3)</f>
        <v>72.861048049514096</v>
      </c>
      <c r="BJ40" s="11">
        <f>77960.2543382527/(10^3)</f>
        <v>77.960254338252696</v>
      </c>
      <c r="BK40" s="11">
        <f>78148.7100649807/(10^3)</f>
        <v>78.148710064980691</v>
      </c>
      <c r="BL40" s="11">
        <f>81930.5398997057/(10^3)</f>
        <v>81.930539899705707</v>
      </c>
      <c r="BM40" s="11">
        <f>853.151598993679/(10^3)</f>
        <v>0.85315159899367909</v>
      </c>
      <c r="BN40" s="11">
        <f>82896.0143050266/(10^3)</f>
        <v>82.896014305026611</v>
      </c>
      <c r="BO40" s="11">
        <f>74906.4283359434/(10^3)</f>
        <v>74.906428335943403</v>
      </c>
      <c r="BP40" s="11">
        <f>71915.3013189097/(10^3)</f>
        <v>71.915301318909698</v>
      </c>
      <c r="BQ40" s="11">
        <f>70523.2797327144/(10^3)</f>
        <v>70.523279732714414</v>
      </c>
      <c r="BR40" s="11">
        <f>72092.5396350147/(10^3)</f>
        <v>72.092539635014703</v>
      </c>
      <c r="BS40" s="11">
        <f>7029308.08139101/(10^3)</f>
        <v>7029.3080813910101</v>
      </c>
      <c r="BT40" s="11">
        <f>69870.4374609791/(10^3)</f>
        <v>69.870437460979105</v>
      </c>
      <c r="BU40" s="11">
        <f>73032.7712593489/(10^3)</f>
        <v>73.032771259348891</v>
      </c>
      <c r="BV40" s="11">
        <f>77892.1370375246/(10^3)</f>
        <v>77.892137037524606</v>
      </c>
      <c r="BW40" s="11">
        <f>81460.8364328175/(10^3)</f>
        <v>81.460836432817487</v>
      </c>
      <c r="BX40" s="11">
        <f>85293.6732215835/(10^3)</f>
        <v>85.293673221583504</v>
      </c>
      <c r="BY40" s="11">
        <f>915.772136397316/(10^3)</f>
        <v>0.91577213639731603</v>
      </c>
      <c r="BZ40" s="11">
        <f>91577.2136397316/(10^3)</f>
        <v>91.57721363973161</v>
      </c>
      <c r="CA40" s="11">
        <f>86134.0059118/(10^3)</f>
        <v>86.134005911800003</v>
      </c>
      <c r="CB40" s="11">
        <f>84369.1356663449/(10^3)</f>
        <v>84.369135666344903</v>
      </c>
      <c r="CC40" s="12"/>
      <c r="CZ40" s="11">
        <v>45.144743813098323</v>
      </c>
      <c r="DA40" s="11">
        <v>53.202590790315249</v>
      </c>
      <c r="DB40" s="11">
        <v>62.894552668355082</v>
      </c>
      <c r="DC40" s="11">
        <v>79.017974962753584</v>
      </c>
      <c r="DD40" s="11">
        <v>85.315159899367941</v>
      </c>
      <c r="DE40" s="11">
        <v>91.577213639731625</v>
      </c>
      <c r="DG40" s="11">
        <v>36.73689799804891</v>
      </c>
      <c r="DH40" s="11">
        <v>46.564346820747694</v>
      </c>
      <c r="DI40" s="11">
        <v>52.251299324862117</v>
      </c>
      <c r="DJ40" s="11">
        <v>66.618219030774412</v>
      </c>
      <c r="DK40" s="11">
        <v>72.132052362187636</v>
      </c>
      <c r="DL40" s="11">
        <v>70.293080813910066</v>
      </c>
    </row>
    <row r="41" spans="4:116" outlineLevel="1" x14ac:dyDescent="0.25">
      <c r="D41" s="13" t="s">
        <v>16</v>
      </c>
      <c r="E41" s="13" t="s">
        <v>2</v>
      </c>
      <c r="F41" s="10" t="s">
        <v>150</v>
      </c>
      <c r="G41" s="13"/>
      <c r="H41" s="62"/>
      <c r="I41" s="11">
        <f>88935/(10^3)</f>
        <v>88.935000000000002</v>
      </c>
      <c r="J41" s="11">
        <f>87688.4725757636/(10^3)</f>
        <v>87.688472575763598</v>
      </c>
      <c r="K41" s="11">
        <f>8779998.07937906/(10^3)</f>
        <v>8779.9980793790601</v>
      </c>
      <c r="L41" s="11">
        <f>86961.2776914815/(10^3)</f>
        <v>86.961277691481499</v>
      </c>
      <c r="M41" s="11">
        <f>89362.6622452874/(10^3)</f>
        <v>89.362662245287396</v>
      </c>
      <c r="N41" s="11">
        <f>91160.1325877952/(10^3)</f>
        <v>91.160132587795204</v>
      </c>
      <c r="O41" s="11">
        <f>93852.4440780111/(10^3)</f>
        <v>93.852444078011104</v>
      </c>
      <c r="P41" s="11">
        <f>96211.4410105154/(10^3)</f>
        <v>96.211441010515401</v>
      </c>
      <c r="Q41" s="11">
        <f>971.6694822159/(10^3)</f>
        <v>0.97166948221589999</v>
      </c>
      <c r="R41" s="11">
        <f>96688.1002182402/(10^3)</f>
        <v>96.688100218240194</v>
      </c>
      <c r="S41" s="11">
        <f>92496.8344928984/(10^3)</f>
        <v>92.496834492898401</v>
      </c>
      <c r="T41" s="11">
        <f>90994.2447736934/(10^3)</f>
        <v>90.994244773693396</v>
      </c>
      <c r="U41" s="11">
        <f>88412.1357611804/(10^3)</f>
        <v>88.412135761180394</v>
      </c>
      <c r="V41" s="11">
        <f>86894.7012940859/(10^3)</f>
        <v>86.894701294085905</v>
      </c>
      <c r="W41" s="11">
        <f>8815344.30279069/(10^3)</f>
        <v>8815.3443027906906</v>
      </c>
      <c r="X41" s="11">
        <f>89473.9224826788/(10^3)</f>
        <v>89.473922482678802</v>
      </c>
      <c r="Y41" s="11">
        <f>91084.9824775743/(10^3)</f>
        <v>91.0849824775743</v>
      </c>
      <c r="Z41" s="11">
        <f>97026.3248636258/(10^3)</f>
        <v>97.026324863625803</v>
      </c>
      <c r="AA41" s="11">
        <f>100343.625998503/(10^3)</f>
        <v>100.343625998503</v>
      </c>
      <c r="AB41" s="11">
        <f>102246.546759224/(10^3)</f>
        <v>102.246546759224</v>
      </c>
      <c r="AC41" s="11">
        <f>1061.91437404676/(10^3)</f>
        <v>1.06191437404676</v>
      </c>
      <c r="AD41" s="11">
        <f>109687.60150418/(10^3)</f>
        <v>109.68760150417999</v>
      </c>
      <c r="AE41" s="11">
        <f>106539.761758062/(10^3)</f>
        <v>106.539761758062</v>
      </c>
      <c r="AF41" s="11">
        <f>106762.849857524/(10^3)</f>
        <v>106.76284985752399</v>
      </c>
      <c r="AG41" s="11">
        <f>111198.106826341/(10^3)</f>
        <v>111.198106826341</v>
      </c>
      <c r="AH41" s="11">
        <f>113956.100204511/(10^3)</f>
        <v>113.956100204511</v>
      </c>
      <c r="AI41" s="11">
        <f>11922852.8592648/(10^3)</f>
        <v>11922.8528592648</v>
      </c>
      <c r="AJ41" s="11">
        <f>123107.329477423/(10^3)</f>
        <v>123.10732947742301</v>
      </c>
      <c r="AK41" s="11">
        <f>122753.648641526/(10^3)</f>
        <v>122.753648641526</v>
      </c>
      <c r="AL41" s="11">
        <f>120707.312562122/(10^3)</f>
        <v>120.707312562122</v>
      </c>
      <c r="AM41" s="11">
        <f>121117.014898863/(10^3)</f>
        <v>121.11701489886299</v>
      </c>
      <c r="AN41" s="11">
        <f>123347.577844852/(10^3)</f>
        <v>123.347577844852</v>
      </c>
      <c r="AO41" s="11">
        <f>1241.63936096502/(10^3)</f>
        <v>1.24163936096502</v>
      </c>
      <c r="AP41" s="11">
        <f>128020.443916564/(10^3)</f>
        <v>128.02044391656401</v>
      </c>
      <c r="AQ41" s="11">
        <f>126138.442073942/(10^3)</f>
        <v>126.138442073942</v>
      </c>
      <c r="AR41" s="11">
        <f>127580.324793295/(10^3)</f>
        <v>127.58032479329501</v>
      </c>
      <c r="AS41" s="11">
        <f>126769.578215841/(10^3)</f>
        <v>126.76957821584099</v>
      </c>
      <c r="AT41" s="11">
        <f>123932.987503175/(10^3)</f>
        <v>123.932987503175</v>
      </c>
      <c r="AU41" s="11">
        <f>12674737.1255739/(10^3)</f>
        <v>12674.7371255739</v>
      </c>
      <c r="AV41" s="11">
        <f>132239.117475861/(10^3)</f>
        <v>132.23911747586101</v>
      </c>
      <c r="AW41" s="11">
        <f>133571.824187416/(10^3)</f>
        <v>133.57182418741601</v>
      </c>
      <c r="AX41" s="11">
        <f>140647.115176937/(10^3)</f>
        <v>140.64711517693698</v>
      </c>
      <c r="AY41" s="11">
        <f>146707.653967245/(10^3)</f>
        <v>146.70765396724499</v>
      </c>
      <c r="AZ41" s="11">
        <f>153590.065833406/(10^3)</f>
        <v>153.59006583340599</v>
      </c>
      <c r="BA41" s="11">
        <f>1559.97841411085/(10^3)</f>
        <v>1.5599784141108501</v>
      </c>
      <c r="BB41" s="11">
        <f>162117.74674821/(10^3)</f>
        <v>162.11774674820998</v>
      </c>
      <c r="BC41" s="11">
        <f>148094.495045918/(10^3)</f>
        <v>148.09449504591802</v>
      </c>
      <c r="BD41" s="11">
        <f>142639.797034499/(10^3)</f>
        <v>142.639797034499</v>
      </c>
      <c r="BE41" s="11">
        <f>141088.538859705/(10^3)</f>
        <v>141.08853885970501</v>
      </c>
      <c r="BF41" s="11">
        <f>137086.425256107/(10^3)</f>
        <v>137.08642525610699</v>
      </c>
      <c r="BG41" s="11">
        <f>13931824.0663648/(10^3)</f>
        <v>13931.824066364801</v>
      </c>
      <c r="BH41" s="11">
        <f>142944.11013656/(10^3)</f>
        <v>142.94411013656</v>
      </c>
      <c r="BI41" s="11">
        <f>148360.115951976/(10^3)</f>
        <v>148.36011595197601</v>
      </c>
      <c r="BJ41" s="11">
        <f>156751.605925693/(10^3)</f>
        <v>156.75160592569301</v>
      </c>
      <c r="BK41" s="11">
        <f>159028.454375074/(10^3)</f>
        <v>159.02845437507401</v>
      </c>
      <c r="BL41" s="11">
        <f>165476.695343963/(10^3)</f>
        <v>165.47669534396297</v>
      </c>
      <c r="BM41" s="11">
        <f>1725.13348667849/(10^3)</f>
        <v>1.72513348667849</v>
      </c>
      <c r="BN41" s="11">
        <f>174523.481100395/(10^3)</f>
        <v>174.523481100395</v>
      </c>
      <c r="BO41" s="11">
        <f>157192.517883409/(10^3)</f>
        <v>157.19251788340898</v>
      </c>
      <c r="BP41" s="11">
        <f>154694.824740205/(10^3)</f>
        <v>154.69482474020498</v>
      </c>
      <c r="BQ41" s="11">
        <f>152606.706752922/(10^3)</f>
        <v>152.60670675292201</v>
      </c>
      <c r="BR41" s="11">
        <f>159027.743197733/(10^3)</f>
        <v>159.027743197733</v>
      </c>
      <c r="BS41" s="11">
        <f>16063385.0454856/(10^3)</f>
        <v>16063.3850454856</v>
      </c>
      <c r="BT41" s="11">
        <f>162707.018729019/(10^3)</f>
        <v>162.70701872901901</v>
      </c>
      <c r="BU41" s="11">
        <f>164985.844970546/(10^3)</f>
        <v>164.985844970546</v>
      </c>
      <c r="BV41" s="11">
        <f>165205.873458109/(10^3)</f>
        <v>165.20587345810901</v>
      </c>
      <c r="BW41" s="11">
        <f>173359.682998199/(10^3)</f>
        <v>173.35968299819899</v>
      </c>
      <c r="BX41" s="11">
        <f>173434.831433948/(10^3)</f>
        <v>173.43483143394801</v>
      </c>
      <c r="BY41" s="11">
        <f>1854.79228721914/(10^3)</f>
        <v>1.85479228721914</v>
      </c>
      <c r="BZ41" s="11">
        <f>185479.228721914/(10^3)</f>
        <v>185.47922872191401</v>
      </c>
      <c r="CA41" s="11">
        <f>184813.765910902/(10^3)</f>
        <v>184.81376591090199</v>
      </c>
      <c r="CB41" s="11">
        <f>177961.161178807/(10^3)</f>
        <v>177.961161178807</v>
      </c>
      <c r="CC41" s="12"/>
      <c r="CZ41" s="11">
        <v>97.166948221590005</v>
      </c>
      <c r="DA41" s="11">
        <v>106.1914374046758</v>
      </c>
      <c r="DB41" s="11">
        <v>124.1639360965022</v>
      </c>
      <c r="DC41" s="11">
        <v>155.99784141108486</v>
      </c>
      <c r="DD41" s="11">
        <v>172.51334866784859</v>
      </c>
      <c r="DE41" s="11">
        <v>185.47922872191393</v>
      </c>
      <c r="DG41" s="11">
        <v>87.799980793790596</v>
      </c>
      <c r="DH41" s="11">
        <v>88.153443027906889</v>
      </c>
      <c r="DI41" s="11">
        <v>119.22852859264819</v>
      </c>
      <c r="DJ41" s="11">
        <v>126.74737125573937</v>
      </c>
      <c r="DK41" s="11">
        <v>139.3182406636476</v>
      </c>
      <c r="DL41" s="11">
        <v>160.63385045485609</v>
      </c>
    </row>
    <row r="42" spans="4:116" outlineLevel="1" x14ac:dyDescent="0.25">
      <c r="D42" s="13" t="s">
        <v>18</v>
      </c>
      <c r="E42" s="13" t="s">
        <v>17</v>
      </c>
      <c r="F42" s="10" t="s">
        <v>149</v>
      </c>
      <c r="G42" s="13"/>
      <c r="H42" s="62"/>
      <c r="I42" s="11">
        <f>11631/(10^3)</f>
        <v>11.631</v>
      </c>
      <c r="J42" s="11">
        <f>12120.8203566045/(10^3)</f>
        <v>12.120820356604499</v>
      </c>
      <c r="K42" s="11">
        <f>1202266.26126103/(10^3)</f>
        <v>1202.2662612610302</v>
      </c>
      <c r="L42" s="11">
        <f>12229.9076991998/(10^3)</f>
        <v>12.229907699199801</v>
      </c>
      <c r="M42" s="11">
        <f>12073.1364384403/(10^3)</f>
        <v>12.073136438440301</v>
      </c>
      <c r="N42" s="11">
        <f>12575.7608525854/(10^3)</f>
        <v>12.575760852585399</v>
      </c>
      <c r="O42" s="11">
        <f>12672.93684505/(10^3)</f>
        <v>12.67293684505</v>
      </c>
      <c r="P42" s="11">
        <f>12885.7882068291/(10^3)</f>
        <v>12.885788206829099</v>
      </c>
      <c r="Q42" s="11">
        <f>132.490426774895/(10^3)</f>
        <v>0.132490426774895</v>
      </c>
      <c r="R42" s="11">
        <f>13716.1447679003/(10^3)</f>
        <v>13.7161447679003</v>
      </c>
      <c r="S42" s="11">
        <f>13501.8049606608/(10^3)</f>
        <v>13.501804960660801</v>
      </c>
      <c r="T42" s="11">
        <f>13224.3788616208/(10^3)</f>
        <v>13.224378861620801</v>
      </c>
      <c r="U42" s="11">
        <f>12906.7465383413/(10^3)</f>
        <v>12.9067465383413</v>
      </c>
      <c r="V42" s="11">
        <f>12717.971933682/(10^3)</f>
        <v>12.717971933682</v>
      </c>
      <c r="W42" s="11">
        <f>1277301.73714221/(10^3)</f>
        <v>1277.30173714221</v>
      </c>
      <c r="X42" s="11">
        <f>13155.8956218657/(10^3)</f>
        <v>13.155895621865699</v>
      </c>
      <c r="Y42" s="11">
        <f>12778.2230524348/(10^3)</f>
        <v>12.7782230524348</v>
      </c>
      <c r="Z42" s="11">
        <f>13795.5769642426/(10^3)</f>
        <v>13.795576964242601</v>
      </c>
      <c r="AA42" s="11">
        <f>14341.3349577174/(10^3)</f>
        <v>14.3413349577174</v>
      </c>
      <c r="AB42" s="11">
        <f>14671.334931465/(10^3)</f>
        <v>14.671334931465001</v>
      </c>
      <c r="AC42" s="11">
        <f>152.264236112646/(10^3)</f>
        <v>0.152264236112646</v>
      </c>
      <c r="AD42" s="11">
        <f>15979.5916624139/(10^3)</f>
        <v>15.979591662413901</v>
      </c>
      <c r="AE42" s="11">
        <f>16454.908301937/(10^3)</f>
        <v>16.454908301936999</v>
      </c>
      <c r="AF42" s="11">
        <f>16543.1097843946/(10^3)</f>
        <v>16.543109784394602</v>
      </c>
      <c r="AG42" s="11">
        <f>17113.6709994397/(10^3)</f>
        <v>17.113670999439698</v>
      </c>
      <c r="AH42" s="11">
        <f>16881.9560901755/(10^3)</f>
        <v>16.8819560901755</v>
      </c>
      <c r="AI42" s="11">
        <f>1729931.40571672/(10^3)</f>
        <v>1729.9314057167201</v>
      </c>
      <c r="AJ42" s="11">
        <f>17079.788645972/(10^3)</f>
        <v>17.079788645971998</v>
      </c>
      <c r="AK42" s="11">
        <f>17246.9645905954/(10^3)</f>
        <v>17.246964590595397</v>
      </c>
      <c r="AL42" s="11">
        <f>17120.0146102444/(10^3)</f>
        <v>17.1200146102444</v>
      </c>
      <c r="AM42" s="11">
        <f>17490.3196722364/(10^3)</f>
        <v>17.490319672236399</v>
      </c>
      <c r="AN42" s="11">
        <f>17637.8753930688/(10^3)</f>
        <v>17.6378753930688</v>
      </c>
      <c r="AO42" s="11">
        <f>178.596506689986/(10^3)</f>
        <v>0.178596506689986</v>
      </c>
      <c r="AP42" s="11">
        <f>18343.2937382085/(10^3)</f>
        <v>18.343293738208502</v>
      </c>
      <c r="AQ42" s="11">
        <f>18287.7682233629/(10^3)</f>
        <v>18.2877682233629</v>
      </c>
      <c r="AR42" s="11">
        <f>18127.4467025736/(10^3)</f>
        <v>18.1274467025736</v>
      </c>
      <c r="AS42" s="11">
        <f>18167.0051639398/(10^3)</f>
        <v>18.167005163939802</v>
      </c>
      <c r="AT42" s="11">
        <f>18635.8922584558/(10^3)</f>
        <v>18.635892258455797</v>
      </c>
      <c r="AU42" s="11">
        <f>1943042.04989302/(10^3)</f>
        <v>1943.04204989302</v>
      </c>
      <c r="AV42" s="11">
        <f>19458.7490727988/(10^3)</f>
        <v>19.458749072798799</v>
      </c>
      <c r="AW42" s="11">
        <f>20349.7244474612/(10^3)</f>
        <v>20.349724447461202</v>
      </c>
      <c r="AX42" s="11">
        <f>20391.0487485264/(10^3)</f>
        <v>20.391048748526398</v>
      </c>
      <c r="AY42" s="11">
        <f>20462.0151510581/(10^3)</f>
        <v>20.4620151510581</v>
      </c>
      <c r="AZ42" s="11">
        <f>21312.9100858535/(10^3)</f>
        <v>21.312910085853499</v>
      </c>
      <c r="BA42" s="11">
        <f>220.62186764257/(10^3)</f>
        <v>0.22062186764257</v>
      </c>
      <c r="BB42" s="11">
        <f>21411.0579843501/(10^3)</f>
        <v>21.411057984350101</v>
      </c>
      <c r="BC42" s="11">
        <f>21179.037934341/(10^3)</f>
        <v>21.179037934341</v>
      </c>
      <c r="BD42" s="11">
        <f>21125.3587722527/(10^3)</f>
        <v>21.125358772252699</v>
      </c>
      <c r="BE42" s="11">
        <f>20926.5173910887/(10^3)</f>
        <v>20.926517391088698</v>
      </c>
      <c r="BF42" s="11">
        <f>21768.1444482788/(10^3)</f>
        <v>21.7681444482788</v>
      </c>
      <c r="BG42" s="11">
        <f>2277047.17366209/(10^3)</f>
        <v>2277.0471736620902</v>
      </c>
      <c r="BH42" s="11">
        <f>22089.6927952496/(10^3)</f>
        <v>22.089692795249601</v>
      </c>
      <c r="BI42" s="11">
        <f>22907.8075054544/(10^3)</f>
        <v>22.9078075054544</v>
      </c>
      <c r="BJ42" s="11">
        <f>24742.4331553762/(10^3)</f>
        <v>24.742433155376197</v>
      </c>
      <c r="BK42" s="11">
        <f>25029.5307534825/(10^3)</f>
        <v>25.029530753482501</v>
      </c>
      <c r="BL42" s="11">
        <f>25387.211380925/(10^3)</f>
        <v>25.387211380924999</v>
      </c>
      <c r="BM42" s="11">
        <f>259.862204466185/(10^3)</f>
        <v>0.25986220446618502</v>
      </c>
      <c r="BN42" s="11">
        <f>26369.6961865225/(10^3)</f>
        <v>26.3696961865225</v>
      </c>
      <c r="BO42" s="11">
        <f>24962.8738929226/(10^3)</f>
        <v>24.962873892922598</v>
      </c>
      <c r="BP42" s="11">
        <f>24048.803861191/(10^3)</f>
        <v>24.048803861191001</v>
      </c>
      <c r="BQ42" s="11">
        <f>23761.0131571059/(10^3)</f>
        <v>23.7610131571059</v>
      </c>
      <c r="BR42" s="11">
        <f>24402.1705262003/(10^3)</f>
        <v>24.402170526200301</v>
      </c>
      <c r="BS42" s="11">
        <f>2434700.98546125/(10^3)</f>
        <v>2434.7009854612497</v>
      </c>
      <c r="BT42" s="11">
        <f>23924.3728692607/(10^3)</f>
        <v>23.924372869260701</v>
      </c>
      <c r="BU42" s="11">
        <f>23667.4112473039/(10^3)</f>
        <v>23.6674112473039</v>
      </c>
      <c r="BV42" s="11">
        <f>24391.1442828795/(10^3)</f>
        <v>24.391144282879502</v>
      </c>
      <c r="BW42" s="11">
        <f>24774.6692504385/(10^3)</f>
        <v>24.7746692504385</v>
      </c>
      <c r="BX42" s="11">
        <f>25116.1186208653/(10^3)</f>
        <v>25.116118620865301</v>
      </c>
      <c r="BY42" s="11">
        <f>259.96603741728/(10^3)</f>
        <v>0.25996603741728003</v>
      </c>
      <c r="BZ42" s="11">
        <f>25996.603741728/(10^3)</f>
        <v>25.996603741727998</v>
      </c>
      <c r="CA42" s="11">
        <f>24682.9368685891/(10^3)</f>
        <v>24.682936868589099</v>
      </c>
      <c r="CB42" s="11">
        <f>23707.0234124652/(10^3)</f>
        <v>23.707023412465201</v>
      </c>
      <c r="CC42" s="12"/>
      <c r="CZ42" s="11">
        <v>13.24904267748947</v>
      </c>
      <c r="DA42" s="11">
        <v>15.226423611264563</v>
      </c>
      <c r="DB42" s="11">
        <v>17.859650668998558</v>
      </c>
      <c r="DC42" s="11">
        <v>22.062186764257042</v>
      </c>
      <c r="DD42" s="11">
        <v>25.986220446618471</v>
      </c>
      <c r="DE42" s="11">
        <v>25.996603741728009</v>
      </c>
      <c r="DG42" s="11">
        <v>12.022662612610333</v>
      </c>
      <c r="DH42" s="11">
        <v>12.773017371422057</v>
      </c>
      <c r="DI42" s="11">
        <v>17.299314057167201</v>
      </c>
      <c r="DJ42" s="11">
        <v>19.430420498930225</v>
      </c>
      <c r="DK42" s="11">
        <v>22.770471736620848</v>
      </c>
      <c r="DL42" s="11">
        <v>24.34700985461248</v>
      </c>
    </row>
    <row r="43" spans="4:116" outlineLevel="1" x14ac:dyDescent="0.25">
      <c r="D43" s="13" t="s">
        <v>20</v>
      </c>
      <c r="E43" s="13" t="s">
        <v>19</v>
      </c>
      <c r="F43" s="10" t="s">
        <v>151</v>
      </c>
      <c r="G43" s="13"/>
      <c r="H43" s="62"/>
      <c r="I43" s="11">
        <f>8547/(10^3)</f>
        <v>8.5470000000000006</v>
      </c>
      <c r="J43" s="11">
        <f>8597.2885937607/(10^3)</f>
        <v>8.5972885937607</v>
      </c>
      <c r="K43" s="11">
        <f>842248.226160666/(10^3)</f>
        <v>842.24822616066592</v>
      </c>
      <c r="L43" s="11">
        <f>8428.01169210842/(10^3)</f>
        <v>8.42801169210842</v>
      </c>
      <c r="M43" s="11">
        <f>8743.20308851128/(10^3)</f>
        <v>8.7432030885112795</v>
      </c>
      <c r="N43" s="11">
        <f>8870.29055296078/(10^3)</f>
        <v>8.8702905529607801</v>
      </c>
      <c r="O43" s="11">
        <f>8898.46646629166/(10^3)</f>
        <v>8.8984664662916604</v>
      </c>
      <c r="P43" s="11">
        <f>9059.15041252801/(10^3)</f>
        <v>9.0591504125280107</v>
      </c>
      <c r="Q43" s="11">
        <f>92.2237962467284/(10^3)</f>
        <v>9.2223796246728398E-2</v>
      </c>
      <c r="R43" s="11">
        <f>9138.46936878571/(10^3)</f>
        <v>9.1384693687857101</v>
      </c>
      <c r="S43" s="11">
        <f>8650.23334127357/(10^3)</f>
        <v>8.6502333412735695</v>
      </c>
      <c r="T43" s="11">
        <f>8325.10389466203/(10^3)</f>
        <v>8.3251038946620302</v>
      </c>
      <c r="U43" s="11">
        <f>8177.6422473621/(10^3)</f>
        <v>8.1776422473620993</v>
      </c>
      <c r="V43" s="11">
        <f>8357.03357755834/(10^3)</f>
        <v>8.3570335775583402</v>
      </c>
      <c r="W43" s="11">
        <f>817607.292768166/(10^3)</f>
        <v>817.60729276816608</v>
      </c>
      <c r="X43" s="11">
        <f>8388.57255393894/(10^3)</f>
        <v>8.3885725539389409</v>
      </c>
      <c r="Y43" s="11">
        <f>8558.26300795657/(10^3)</f>
        <v>8.5582630079565689</v>
      </c>
      <c r="Z43" s="11">
        <f>8800.55454637144/(10^3)</f>
        <v>8.8005545463714405</v>
      </c>
      <c r="AA43" s="11">
        <f>9055.42585012218/(10^3)</f>
        <v>9.0554258501221785</v>
      </c>
      <c r="AB43" s="11">
        <f>9162.09372993139/(10^3)</f>
        <v>9.1620937299313905</v>
      </c>
      <c r="AC43" s="11">
        <f>94.6913713275757/(10^3)</f>
        <v>9.4691371327575699E-2</v>
      </c>
      <c r="AD43" s="11">
        <f>9317.79943096405/(10^3)</f>
        <v>9.3177994309640511</v>
      </c>
      <c r="AE43" s="11">
        <f>9345.90247253024/(10^3)</f>
        <v>9.3459024725302413</v>
      </c>
      <c r="AF43" s="11">
        <f>9689.47130932641/(10^3)</f>
        <v>9.6894713093264109</v>
      </c>
      <c r="AG43" s="11">
        <f>9715.42925552592/(10^3)</f>
        <v>9.7154292555259207</v>
      </c>
      <c r="AH43" s="11">
        <f>9764.49216142547/(10^3)</f>
        <v>9.7644921614254709</v>
      </c>
      <c r="AI43" s="11">
        <f>978744.193705106/(10^3)</f>
        <v>978.744193705106</v>
      </c>
      <c r="AJ43" s="11">
        <f>9838.58645516705/(10^3)</f>
        <v>9.8385864551670501</v>
      </c>
      <c r="AK43" s="11">
        <f>10179.5016275912/(10^3)</f>
        <v>10.1795016275912</v>
      </c>
      <c r="AL43" s="11">
        <f>10176.4856171577/(10^3)</f>
        <v>10.176485617157699</v>
      </c>
      <c r="AM43" s="11">
        <f>10360.6802389283/(10^3)</f>
        <v>10.3606802389283</v>
      </c>
      <c r="AN43" s="11">
        <f>10865.6815255803/(10^3)</f>
        <v>10.8656815255803</v>
      </c>
      <c r="AO43" s="11">
        <f>108.794540090395/(10^3)</f>
        <v>0.10879454009039501</v>
      </c>
      <c r="AP43" s="11">
        <f>10970.2669549689/(10^3)</f>
        <v>10.970266954968899</v>
      </c>
      <c r="AQ43" s="11">
        <f>10883.0882194166/(10^3)</f>
        <v>10.883088219416601</v>
      </c>
      <c r="AR43" s="11">
        <f>10672.4857972262/(10^3)</f>
        <v>10.6724857972262</v>
      </c>
      <c r="AS43" s="11">
        <f>10997.9438116307/(10^3)</f>
        <v>10.9979438116307</v>
      </c>
      <c r="AT43" s="11">
        <f>11098.1765334924/(10^3)</f>
        <v>11.098176533492401</v>
      </c>
      <c r="AU43" s="11">
        <f>1102660.12124945/(10^3)</f>
        <v>1102.66012124945</v>
      </c>
      <c r="AV43" s="11">
        <f>11375.6447373498/(10^3)</f>
        <v>11.3756447373498</v>
      </c>
      <c r="AW43" s="11">
        <f>11357.9541118684/(10^3)</f>
        <v>11.357954111868398</v>
      </c>
      <c r="AX43" s="11">
        <f>11871.8345168153/(10^3)</f>
        <v>11.8718345168153</v>
      </c>
      <c r="AY43" s="11">
        <f>12352.7958579171/(10^3)</f>
        <v>12.352795857917101</v>
      </c>
      <c r="AZ43" s="11">
        <f>12426.7467653446/(10^3)</f>
        <v>12.4267467653446</v>
      </c>
      <c r="BA43" s="11">
        <f>126.252901256047/(10^3)</f>
        <v>0.12625290125604699</v>
      </c>
      <c r="BB43" s="11">
        <f>12649.9578909341/(10^3)</f>
        <v>12.6499578909341</v>
      </c>
      <c r="BC43" s="11">
        <f>11928.7091828105/(10^3)</f>
        <v>11.928709182810501</v>
      </c>
      <c r="BD43" s="11">
        <f>11670.6279498118/(10^3)</f>
        <v>11.6706279498118</v>
      </c>
      <c r="BE43" s="11">
        <f>11573.1928756998/(10^3)</f>
        <v>11.573192875699801</v>
      </c>
      <c r="BF43" s="11">
        <f>11721.660842824/(10^3)</f>
        <v>11.721660842823999</v>
      </c>
      <c r="BG43" s="11">
        <f>1226408.96976448/(10^3)</f>
        <v>1226.4089697644799</v>
      </c>
      <c r="BH43" s="11">
        <f>12813.9386412034/(10^3)</f>
        <v>12.8139386412034</v>
      </c>
      <c r="BI43" s="11">
        <f>12536.9700506686/(10^3)</f>
        <v>12.5369700506686</v>
      </c>
      <c r="BJ43" s="11">
        <f>13620.6236018014/(10^3)</f>
        <v>13.6206236018014</v>
      </c>
      <c r="BK43" s="11">
        <f>14051.701421508/(10^3)</f>
        <v>14.051701421508</v>
      </c>
      <c r="BL43" s="11">
        <f>14290.1225836565/(10^3)</f>
        <v>14.290122583656501</v>
      </c>
      <c r="BM43" s="11">
        <f>149.698892025085/(10^3)</f>
        <v>0.14969889202508499</v>
      </c>
      <c r="BN43" s="11">
        <f>15627.4448631303/(10^3)</f>
        <v>15.6274448631303</v>
      </c>
      <c r="BO43" s="11">
        <f>14846.5336706321/(10^3)</f>
        <v>14.8465336706321</v>
      </c>
      <c r="BP43" s="11">
        <f>14190.825992231/(10^3)</f>
        <v>14.190825992231002</v>
      </c>
      <c r="BQ43" s="11">
        <f>13886.0284041918/(10^3)</f>
        <v>13.8860284041918</v>
      </c>
      <c r="BR43" s="11">
        <f>14060.984368616/(10^3)</f>
        <v>14.060984368615999</v>
      </c>
      <c r="BS43" s="11">
        <f>1416185.31593486/(10^3)</f>
        <v>1416.18531593486</v>
      </c>
      <c r="BT43" s="11">
        <f>14594.6270143547/(10^3)</f>
        <v>14.594627014354701</v>
      </c>
      <c r="BU43" s="11">
        <f>14799.0385958509/(10^3)</f>
        <v>14.799038595850899</v>
      </c>
      <c r="BV43" s="11">
        <f>15132.6589689621/(10^3)</f>
        <v>15.132658968962099</v>
      </c>
      <c r="BW43" s="11">
        <f>15419.6472725879/(10^3)</f>
        <v>15.4196472725879</v>
      </c>
      <c r="BX43" s="11">
        <f>15913.9278225137/(10^3)</f>
        <v>15.913927822513701</v>
      </c>
      <c r="BY43" s="11">
        <f>157.658690485284/(10^3)</f>
        <v>0.15765869048528403</v>
      </c>
      <c r="BZ43" s="11">
        <f>15765.8690485284/(10^3)</f>
        <v>15.765869048528401</v>
      </c>
      <c r="CA43" s="11">
        <f>15988.3136249901/(10^3)</f>
        <v>15.9883136249901</v>
      </c>
      <c r="CB43" s="11">
        <f>16669.7212649389/(10^3)</f>
        <v>16.6697212649389</v>
      </c>
      <c r="CC43" s="12"/>
      <c r="CZ43" s="11">
        <v>9.222379624672838</v>
      </c>
      <c r="DA43" s="11">
        <v>9.4691371327575737</v>
      </c>
      <c r="DB43" s="11">
        <v>10.879454009039458</v>
      </c>
      <c r="DC43" s="11">
        <v>12.625290125604733</v>
      </c>
      <c r="DD43" s="11">
        <v>14.969889202508455</v>
      </c>
      <c r="DE43" s="11">
        <v>15.765869048528394</v>
      </c>
      <c r="DG43" s="11">
        <v>8.4224822616066621</v>
      </c>
      <c r="DH43" s="11">
        <v>8.1760729276816591</v>
      </c>
      <c r="DI43" s="11">
        <v>9.7874419370510601</v>
      </c>
      <c r="DJ43" s="11">
        <v>11.0266012124945</v>
      </c>
      <c r="DK43" s="11">
        <v>12.264089697644778</v>
      </c>
      <c r="DL43" s="11">
        <v>14.161853159348567</v>
      </c>
    </row>
    <row r="44" spans="4:116" outlineLevel="1" x14ac:dyDescent="0.25">
      <c r="D44" s="13" t="s">
        <v>21</v>
      </c>
      <c r="E44" s="13" t="s">
        <v>12</v>
      </c>
      <c r="F44" s="10" t="s">
        <v>150</v>
      </c>
      <c r="G44" s="13"/>
      <c r="H44" s="62"/>
      <c r="I44" s="11">
        <f>3873/(10^3)</f>
        <v>3.8730000000000002</v>
      </c>
      <c r="J44" s="11">
        <f>3963.58476468704/(10^3)</f>
        <v>3.9635847646870404</v>
      </c>
      <c r="K44" s="11">
        <f>410422.669276306/(10^3)</f>
        <v>410.42266927630601</v>
      </c>
      <c r="L44" s="11">
        <f>4186.86352790048/(10^3)</f>
        <v>4.1868635279004804</v>
      </c>
      <c r="M44" s="11">
        <f>4282.41329021539/(10^3)</f>
        <v>4.2824132902153895</v>
      </c>
      <c r="N44" s="11">
        <f>4399.35584976757/(10^3)</f>
        <v>4.39935584976757</v>
      </c>
      <c r="O44" s="11">
        <f>4511.269580497/(10^3)</f>
        <v>4.5112695804970002</v>
      </c>
      <c r="P44" s="11">
        <f>4631.65923109303/(10^3)</f>
        <v>4.63165923109303</v>
      </c>
      <c r="Q44" s="11">
        <f>48.2034975017675/(10^3)</f>
        <v>4.82034975017675E-2</v>
      </c>
      <c r="R44" s="11">
        <f>5053.32926822926/(10^3)</f>
        <v>5.0533292682292608</v>
      </c>
      <c r="S44" s="11">
        <f>4806.69206896633/(10^3)</f>
        <v>4.8066920689663304</v>
      </c>
      <c r="T44" s="11">
        <f>4743.5855694347/(10^3)</f>
        <v>4.7435855694346998</v>
      </c>
      <c r="U44" s="11">
        <f>4629.22151786515/(10^3)</f>
        <v>4.6292215178651501</v>
      </c>
      <c r="V44" s="11">
        <f>4787.84419462789/(10^3)</f>
        <v>4.7878441946278896</v>
      </c>
      <c r="W44" s="11">
        <f>477101.644371767/(10^3)</f>
        <v>477.10164437176701</v>
      </c>
      <c r="X44" s="11">
        <f>4853.65676024913/(10^3)</f>
        <v>4.8536567602491294</v>
      </c>
      <c r="Y44" s="11">
        <f>4737.12052476524/(10^3)</f>
        <v>4.7371205247652393</v>
      </c>
      <c r="Z44" s="11">
        <f>4911.63699938157/(10^3)</f>
        <v>4.9116369993815701</v>
      </c>
      <c r="AA44" s="11">
        <f>5004.29534325295/(10^3)</f>
        <v>5.0042953432529504</v>
      </c>
      <c r="AB44" s="11">
        <f>5250.9433743542/(10^3)</f>
        <v>5.2509433743542004</v>
      </c>
      <c r="AC44" s="11">
        <f>54.3749259627071/(10^3)</f>
        <v>5.4374925962707106E-2</v>
      </c>
      <c r="AD44" s="11">
        <f>5483.63623168444/(10^3)</f>
        <v>5.4836362316844394</v>
      </c>
      <c r="AE44" s="11">
        <f>5471.9880562171/(10^3)</f>
        <v>5.4719880562170999</v>
      </c>
      <c r="AF44" s="11">
        <f>5625.08168351704/(10^3)</f>
        <v>5.6250816835170401</v>
      </c>
      <c r="AG44" s="11">
        <f>5504.74025727876/(10^3)</f>
        <v>5.50474025727876</v>
      </c>
      <c r="AH44" s="11">
        <f>5432.26645545027/(10^3)</f>
        <v>5.4322664554502698</v>
      </c>
      <c r="AI44" s="11">
        <f>557889.137704989/(10^3)</f>
        <v>557.88913770498903</v>
      </c>
      <c r="AJ44" s="11">
        <f>5486.44399524804/(10^3)</f>
        <v>5.4864439952480399</v>
      </c>
      <c r="AK44" s="11">
        <f>5402.65329259303/(10^3)</f>
        <v>5.4026532925930297</v>
      </c>
      <c r="AL44" s="11">
        <f>5308.6556115556/(10^3)</f>
        <v>5.3086556115556007</v>
      </c>
      <c r="AM44" s="11">
        <f>5433.85253240215/(10^3)</f>
        <v>5.4338525324021498</v>
      </c>
      <c r="AN44" s="11">
        <f>5642.81205536485/(10^3)</f>
        <v>5.6428120553648498</v>
      </c>
      <c r="AO44" s="11">
        <f>56.8380470470696/(10^3)</f>
        <v>5.6838047047069601E-2</v>
      </c>
      <c r="AP44" s="11">
        <f>5530.02919799945/(10^3)</f>
        <v>5.5300291979994496</v>
      </c>
      <c r="AQ44" s="11">
        <f>5555.57235831307/(10^3)</f>
        <v>5.5555723583130705</v>
      </c>
      <c r="AR44" s="11">
        <f>5553.62637896259/(10^3)</f>
        <v>5.5536263789625897</v>
      </c>
      <c r="AS44" s="11">
        <f>5413.80079023428/(10^3)</f>
        <v>5.41380079023428</v>
      </c>
      <c r="AT44" s="11">
        <f>5622.45761859631/(10^3)</f>
        <v>5.62245761859631</v>
      </c>
      <c r="AU44" s="11">
        <f>572205.691139534/(10^3)</f>
        <v>572.205691139534</v>
      </c>
      <c r="AV44" s="11">
        <f>5808.06091113603/(10^3)</f>
        <v>5.80806091113603</v>
      </c>
      <c r="AW44" s="11">
        <f>5909.82335549362/(10^3)</f>
        <v>5.9098233554936197</v>
      </c>
      <c r="AX44" s="11">
        <f>5998.94289727161/(10^3)</f>
        <v>5.9989428972716095</v>
      </c>
      <c r="AY44" s="11">
        <f>6198.46256911315/(10^3)</f>
        <v>6.1984625691131496</v>
      </c>
      <c r="AZ44" s="11">
        <f>6298.04018042657/(10^3)</f>
        <v>6.29804018042657</v>
      </c>
      <c r="BA44" s="11">
        <f>63.9104592790099/(10^3)</f>
        <v>6.3910459279009901E-2</v>
      </c>
      <c r="BB44" s="11">
        <f>6289.57925079665/(10^3)</f>
        <v>6.2895792507966499</v>
      </c>
      <c r="BC44" s="11">
        <f>6210.80461367511/(10^3)</f>
        <v>6.2108046136751103</v>
      </c>
      <c r="BD44" s="11">
        <f>6160.32011886565/(10^3)</f>
        <v>6.1603201188656502</v>
      </c>
      <c r="BE44" s="11">
        <f>6006.2088884359/(10^3)</f>
        <v>6.0062088884359</v>
      </c>
      <c r="BF44" s="11">
        <f>6139.51359133242/(10^3)</f>
        <v>6.1395135913324204</v>
      </c>
      <c r="BG44" s="11">
        <f>640189.061376236/(10^3)</f>
        <v>640.18906137623605</v>
      </c>
      <c r="BH44" s="11">
        <f>6576.57208497151/(10^3)</f>
        <v>6.5765720849715095</v>
      </c>
      <c r="BI44" s="11">
        <f>6650.4187306148/(10^3)</f>
        <v>6.6504187306147999</v>
      </c>
      <c r="BJ44" s="11">
        <f>7286.93103848622/(10^3)</f>
        <v>7.2869310384862205</v>
      </c>
      <c r="BK44" s="11">
        <f>7367.75414347517/(10^3)</f>
        <v>7.3677541434751701</v>
      </c>
      <c r="BL44" s="11">
        <f>7727.17414308627/(10^3)</f>
        <v>7.7271741430862706</v>
      </c>
      <c r="BM44" s="11">
        <f>79.4617405124392/(10^3)</f>
        <v>7.9461740512439205E-2</v>
      </c>
      <c r="BN44" s="11">
        <f>8088.71228568146/(10^3)</f>
        <v>8.0887122856814599</v>
      </c>
      <c r="BO44" s="11">
        <f>8067.97205314992/(10^3)</f>
        <v>8.0679720531499193</v>
      </c>
      <c r="BP44" s="11">
        <f>7972.31796726496/(10^3)</f>
        <v>7.97231796726496</v>
      </c>
      <c r="BQ44" s="11">
        <f>7928.57282777924/(10^3)</f>
        <v>7.9285728277792398</v>
      </c>
      <c r="BR44" s="11">
        <f>8177.68829091873/(10^3)</f>
        <v>8.177688290918729</v>
      </c>
      <c r="BS44" s="11">
        <f>848206.119221747/(10^3)</f>
        <v>848.20611922174703</v>
      </c>
      <c r="BT44" s="11">
        <f>8442.25309376845/(10^3)</f>
        <v>8.4422530937684499</v>
      </c>
      <c r="BU44" s="11">
        <f>8390.29644615297/(10^3)</f>
        <v>8.3902964461529699</v>
      </c>
      <c r="BV44" s="11">
        <f>9135.80996846024/(10^3)</f>
        <v>9.1358099684602401</v>
      </c>
      <c r="BW44" s="11">
        <f>9258.32982990473/(10^3)</f>
        <v>9.2583298299047296</v>
      </c>
      <c r="BX44" s="11">
        <f>9617.29685389422/(10^3)</f>
        <v>9.6172968538942207</v>
      </c>
      <c r="BY44" s="11">
        <f>96.9788442944904/(10^3)</f>
        <v>9.6978844294490399E-2</v>
      </c>
      <c r="BZ44" s="11">
        <f>9697.88442944904/(10^3)</f>
        <v>9.6978844294490401</v>
      </c>
      <c r="CA44" s="11">
        <f>9730.14600268273/(10^3)</f>
        <v>9.73014600268273</v>
      </c>
      <c r="CB44" s="11">
        <f>9715.57932732975/(10^3)</f>
        <v>9.715579327329749</v>
      </c>
      <c r="CC44" s="12"/>
      <c r="CZ44" s="11">
        <v>4.8203497501767449</v>
      </c>
      <c r="DA44" s="11">
        <v>5.4374925962707072</v>
      </c>
      <c r="DB44" s="11">
        <v>5.6838047047069615</v>
      </c>
      <c r="DC44" s="11">
        <v>6.3910459279009935</v>
      </c>
      <c r="DD44" s="11">
        <v>7.9461740512439203</v>
      </c>
      <c r="DE44" s="11">
        <v>9.6978844294490436</v>
      </c>
      <c r="DG44" s="11">
        <v>4.1042266927630573</v>
      </c>
      <c r="DH44" s="11">
        <v>4.771016443717671</v>
      </c>
      <c r="DI44" s="11">
        <v>5.5788913770498869</v>
      </c>
      <c r="DJ44" s="11">
        <v>5.7220569113953426</v>
      </c>
      <c r="DK44" s="11">
        <v>6.4018906137623617</v>
      </c>
      <c r="DL44" s="11">
        <v>8.482061192217472</v>
      </c>
    </row>
    <row r="45" spans="4:116" outlineLevel="1" x14ac:dyDescent="0.25">
      <c r="D45" s="13" t="s">
        <v>22</v>
      </c>
      <c r="E45" s="13" t="s">
        <v>19</v>
      </c>
      <c r="F45" s="10" t="s">
        <v>151</v>
      </c>
      <c r="G45" s="13"/>
      <c r="H45" s="62"/>
      <c r="I45" s="11">
        <f>14129/(10^3)</f>
        <v>14.129</v>
      </c>
      <c r="J45" s="11">
        <f>14191.1480210142/(10^3)</f>
        <v>14.1911480210142</v>
      </c>
      <c r="K45" s="11">
        <f>1452531.5023539/(10^3)</f>
        <v>1452.5315023539001</v>
      </c>
      <c r="L45" s="11">
        <f>14253.2037834054/(10^3)</f>
        <v>14.2532037834054</v>
      </c>
      <c r="M45" s="11">
        <f>14674.9477379626/(10^3)</f>
        <v>14.674947737962601</v>
      </c>
      <c r="N45" s="11">
        <f>14755.7781853296/(10^3)</f>
        <v>14.7557781853296</v>
      </c>
      <c r="O45" s="11">
        <f>15408.1108136368/(10^3)</f>
        <v>15.408110813636799</v>
      </c>
      <c r="P45" s="11">
        <f>15829.8352639023/(10^3)</f>
        <v>15.8298352639023</v>
      </c>
      <c r="Q45" s="11">
        <f>159.863653188096/(10^3)</f>
        <v>0.15986365318809601</v>
      </c>
      <c r="R45" s="11">
        <f>15882.4627185683/(10^3)</f>
        <v>15.8824627185683</v>
      </c>
      <c r="S45" s="11">
        <f>16250.2222029375/(10^3)</f>
        <v>16.250222202937501</v>
      </c>
      <c r="T45" s="11">
        <f>15976.9182376558/(10^3)</f>
        <v>15.9769182376558</v>
      </c>
      <c r="U45" s="11">
        <f>16493.5921627798/(10^3)</f>
        <v>16.493592162779802</v>
      </c>
      <c r="V45" s="11">
        <f>16334.7017748978/(10^3)</f>
        <v>16.334701774897798</v>
      </c>
      <c r="W45" s="11">
        <f>1673783.40558836/(10^3)</f>
        <v>1673.78340558836</v>
      </c>
      <c r="X45" s="11">
        <f>16700.6890218766/(10^3)</f>
        <v>16.700689021876599</v>
      </c>
      <c r="Y45" s="11">
        <f>16444.1683349813/(10^3)</f>
        <v>16.444168334981299</v>
      </c>
      <c r="Z45" s="11">
        <f>17724.7732773834/(10^3)</f>
        <v>17.724773277383399</v>
      </c>
      <c r="AA45" s="11">
        <f>17765.7507174199/(10^3)</f>
        <v>17.765750717419902</v>
      </c>
      <c r="AB45" s="11">
        <f>18254.8303272338/(10^3)</f>
        <v>18.254830327233801</v>
      </c>
      <c r="AC45" s="11">
        <f>182.679550008659/(10^3)</f>
        <v>0.18267955000865899</v>
      </c>
      <c r="AD45" s="11">
        <f>18632.5133172658/(10^3)</f>
        <v>18.632513317265797</v>
      </c>
      <c r="AE45" s="11">
        <f>18376.9087193529/(10^3)</f>
        <v>18.376908719352901</v>
      </c>
      <c r="AF45" s="11">
        <f>18241.2681641965/(10^3)</f>
        <v>18.241268164196498</v>
      </c>
      <c r="AG45" s="11">
        <f>17853.061129953/(10^3)</f>
        <v>17.853061129952998</v>
      </c>
      <c r="AH45" s="11">
        <f>18715.1939595466/(10^3)</f>
        <v>18.7151939595466</v>
      </c>
      <c r="AI45" s="11">
        <f>1829045.96188958/(10^3)</f>
        <v>1829.04596188958</v>
      </c>
      <c r="AJ45" s="11">
        <f>18138.6046061475/(10^3)</f>
        <v>18.138604606147499</v>
      </c>
      <c r="AK45" s="11">
        <f>18757.5661113576/(10^3)</f>
        <v>18.757566111357598</v>
      </c>
      <c r="AL45" s="11">
        <f>19297.5443969771/(10^3)</f>
        <v>19.297544396977102</v>
      </c>
      <c r="AM45" s="11">
        <f>19743.8183483142/(10^3)</f>
        <v>19.7438183483142</v>
      </c>
      <c r="AN45" s="11">
        <f>20714.417320581/(10^3)</f>
        <v>20.714417320580999</v>
      </c>
      <c r="AO45" s="11">
        <f>216.39262425474/(10^3)</f>
        <v>0.21639262425474001</v>
      </c>
      <c r="AP45" s="11">
        <f>22707.9576780142/(10^3)</f>
        <v>22.7079576780142</v>
      </c>
      <c r="AQ45" s="11">
        <f>23824.7277722045/(10^3)</f>
        <v>23.824727772204501</v>
      </c>
      <c r="AR45" s="11">
        <f>24283.2573670238/(10^3)</f>
        <v>24.283257367023801</v>
      </c>
      <c r="AS45" s="11">
        <f>25457.949467027/(10^3)</f>
        <v>25.457949467026999</v>
      </c>
      <c r="AT45" s="11">
        <f>25749.4893299829/(10^3)</f>
        <v>25.749489329982897</v>
      </c>
      <c r="AU45" s="11">
        <f>2691961.76532104/(10^3)</f>
        <v>2691.9617653210403</v>
      </c>
      <c r="AV45" s="11">
        <f>26735.7802362933/(10^3)</f>
        <v>26.735780236293301</v>
      </c>
      <c r="AW45" s="11">
        <f>26420.0788428245/(10^3)</f>
        <v>26.420078842824498</v>
      </c>
      <c r="AX45" s="11">
        <f>28679.9252109185/(10^3)</f>
        <v>28.679925210918501</v>
      </c>
      <c r="AY45" s="11">
        <f>30045.5703930142/(10^3)</f>
        <v>30.045570393014202</v>
      </c>
      <c r="AZ45" s="11">
        <f>30265.0473589915/(10^3)</f>
        <v>30.265047358991499</v>
      </c>
      <c r="BA45" s="11">
        <f>310.931744069582/(10^3)</f>
        <v>0.31093174406958202</v>
      </c>
      <c r="BB45" s="11">
        <f>30351.8264114562/(10^3)</f>
        <v>30.351826411456202</v>
      </c>
      <c r="BC45" s="11">
        <f>28914.7224836339/(10^3)</f>
        <v>28.914722483633902</v>
      </c>
      <c r="BD45" s="11">
        <f>28715.2946462719/(10^3)</f>
        <v>28.7152946462719</v>
      </c>
      <c r="BE45" s="11">
        <f>27925.9099595052/(10^3)</f>
        <v>27.925909959505198</v>
      </c>
      <c r="BF45" s="11">
        <f>29178.9793801007/(10^3)</f>
        <v>29.178979380100699</v>
      </c>
      <c r="BG45" s="11">
        <f>2993631.78709634/(10^3)</f>
        <v>2993.6317870963403</v>
      </c>
      <c r="BH45" s="11">
        <f>29810.1177786952/(10^3)</f>
        <v>29.810117778695201</v>
      </c>
      <c r="BI45" s="11">
        <f>30877.7158723322/(10^3)</f>
        <v>30.8777158723322</v>
      </c>
      <c r="BJ45" s="11">
        <f>31480.2906993496/(10^3)</f>
        <v>31.480290699349599</v>
      </c>
      <c r="BK45" s="11">
        <f>32662.7533174864/(10^3)</f>
        <v>32.662753317486398</v>
      </c>
      <c r="BL45" s="11">
        <f>33335.9005850788/(10^3)</f>
        <v>33.335900585078804</v>
      </c>
      <c r="BM45" s="11">
        <f>335.148434022894/(10^3)</f>
        <v>0.33514843402289396</v>
      </c>
      <c r="BN45" s="11">
        <f>33736.9758222224/(10^3)</f>
        <v>33.736975822222398</v>
      </c>
      <c r="BO45" s="11">
        <f>30593.6409333999/(10^3)</f>
        <v>30.5936409333999</v>
      </c>
      <c r="BP45" s="11">
        <f>29884.5069096256/(10^3)</f>
        <v>29.8845069096256</v>
      </c>
      <c r="BQ45" s="11">
        <f>29558.7432222461/(10^3)</f>
        <v>29.5587432222461</v>
      </c>
      <c r="BR45" s="11">
        <f>30755.0754357338/(10^3)</f>
        <v>30.755075435733801</v>
      </c>
      <c r="BS45" s="11">
        <f>3034006.78267265/(10^3)</f>
        <v>3034.0067826726504</v>
      </c>
      <c r="BT45" s="11">
        <f>30324.1071843544/(10^3)</f>
        <v>30.3241071843544</v>
      </c>
      <c r="BU45" s="11">
        <f>29868.7942958273/(10^3)</f>
        <v>29.8687942958273</v>
      </c>
      <c r="BV45" s="11">
        <f>32759.3375869957/(10^3)</f>
        <v>32.759337586995699</v>
      </c>
      <c r="BW45" s="11">
        <f>33823.7422094179/(10^3)</f>
        <v>33.823742209417901</v>
      </c>
      <c r="BX45" s="11">
        <f>34230.2312895643/(10^3)</f>
        <v>34.230231289564294</v>
      </c>
      <c r="BY45" s="11">
        <f>341.652624555487/(10^3)</f>
        <v>0.34165262455548701</v>
      </c>
      <c r="BZ45" s="11">
        <f>34165.2624555487/(10^3)</f>
        <v>34.165262455548699</v>
      </c>
      <c r="CA45" s="11">
        <f>35192.6194380747/(10^3)</f>
        <v>35.192619438074694</v>
      </c>
      <c r="CB45" s="11">
        <f>35363.9195660963/(10^3)</f>
        <v>35.3639195660963</v>
      </c>
      <c r="CC45" s="12"/>
      <c r="CZ45" s="11">
        <v>15.986365318809591</v>
      </c>
      <c r="DA45" s="11">
        <v>18.267955000865875</v>
      </c>
      <c r="DB45" s="11">
        <v>21.639262425473998</v>
      </c>
      <c r="DC45" s="11">
        <v>31.093174406958216</v>
      </c>
      <c r="DD45" s="11">
        <v>33.514843402289358</v>
      </c>
      <c r="DE45" s="11">
        <v>34.165262455548671</v>
      </c>
      <c r="DG45" s="11">
        <v>14.525315023539045</v>
      </c>
      <c r="DH45" s="11">
        <v>16.737834055883585</v>
      </c>
      <c r="DI45" s="11">
        <v>18.29045961889577</v>
      </c>
      <c r="DJ45" s="11">
        <v>26.919617653210437</v>
      </c>
      <c r="DK45" s="11">
        <v>29.936317870963407</v>
      </c>
      <c r="DL45" s="11">
        <v>30.3400678267265</v>
      </c>
    </row>
    <row r="46" spans="4:116" outlineLevel="1" x14ac:dyDescent="0.25">
      <c r="D46" s="13" t="s">
        <v>24</v>
      </c>
      <c r="E46" s="13" t="s">
        <v>23</v>
      </c>
      <c r="F46" s="10" t="s">
        <v>149</v>
      </c>
      <c r="G46" s="13"/>
      <c r="H46" s="62"/>
      <c r="I46" s="11">
        <f>9021/(10^3)</f>
        <v>9.0210000000000008</v>
      </c>
      <c r="J46" s="11">
        <f>8829.82505395545/(10^3)</f>
        <v>8.8298250539554495</v>
      </c>
      <c r="K46" s="11">
        <f>871257.11053177/(10^3)</f>
        <v>871.25711053177008</v>
      </c>
      <c r="L46" s="11">
        <f>8962.96449948715/(10^3)</f>
        <v>8.9629644994871498</v>
      </c>
      <c r="M46" s="11">
        <f>8842.6135225878/(10^3)</f>
        <v>8.8426135225878006</v>
      </c>
      <c r="N46" s="11">
        <f>9020.70303499169/(10^3)</f>
        <v>9.0207030349916888</v>
      </c>
      <c r="O46" s="11">
        <f>8790.37380968185/(10^3)</f>
        <v>8.7903738096818511</v>
      </c>
      <c r="P46" s="11">
        <f>8550.33954547081/(10^3)</f>
        <v>8.5503395454708091</v>
      </c>
      <c r="Q46" s="11">
        <f>88.9284467821273/(10^3)</f>
        <v>8.8928446782127302E-2</v>
      </c>
      <c r="R46" s="11">
        <f>8746.54582217501/(10^3)</f>
        <v>8.7465458221750101</v>
      </c>
      <c r="S46" s="11">
        <f>8722.88451627276/(10^3)</f>
        <v>8.7228845162727602</v>
      </c>
      <c r="T46" s="11">
        <f>9050.48667788886/(10^3)</f>
        <v>9.0504866778888609</v>
      </c>
      <c r="U46" s="11">
        <f>8794.18776435603/(10^3)</f>
        <v>8.79418776435603</v>
      </c>
      <c r="V46" s="11">
        <f>8537.18304952614/(10^3)</f>
        <v>8.5371830495261403</v>
      </c>
      <c r="W46" s="11">
        <f>877543.072596034/(10^3)</f>
        <v>877.54307259603399</v>
      </c>
      <c r="X46" s="11">
        <f>9210.35654310906/(10^3)</f>
        <v>9.210356543109059</v>
      </c>
      <c r="Y46" s="11">
        <f>9017.97035589993/(10^3)</f>
        <v>9.01797035589993</v>
      </c>
      <c r="Z46" s="11">
        <f>9259.71525131342/(10^3)</f>
        <v>9.2597152513134198</v>
      </c>
      <c r="AA46" s="11">
        <f>9615.15522968383/(10^3)</f>
        <v>9.6151552296838307</v>
      </c>
      <c r="AB46" s="11">
        <f>9784.56608194809/(10^3)</f>
        <v>9.7845660819480909</v>
      </c>
      <c r="AC46" s="11">
        <f>99.2612165290682/(10^3)</f>
        <v>9.9261216529068191E-2</v>
      </c>
      <c r="AD46" s="11">
        <f>9757.50075783411/(10^3)</f>
        <v>9.7575007578341104</v>
      </c>
      <c r="AE46" s="11">
        <f>9856.35681145216/(10^3)</f>
        <v>9.8563568114521605</v>
      </c>
      <c r="AF46" s="11">
        <f>10272.1452015297/(10^3)</f>
        <v>10.2721452015297</v>
      </c>
      <c r="AG46" s="11">
        <f>10399.6004413374/(10^3)</f>
        <v>10.3996004413374</v>
      </c>
      <c r="AH46" s="11">
        <f>10542.0623408278/(10^3)</f>
        <v>10.542062340827801</v>
      </c>
      <c r="AI46" s="11">
        <f>1032649.84230035/(10^3)</f>
        <v>1032.64984230035</v>
      </c>
      <c r="AJ46" s="11">
        <f>10496.6966595583/(10^3)</f>
        <v>10.4966966595583</v>
      </c>
      <c r="AK46" s="11">
        <f>10570.7721095656/(10^3)</f>
        <v>10.570772109565599</v>
      </c>
      <c r="AL46" s="11">
        <f>11014.9651348723/(10^3)</f>
        <v>11.0149651348723</v>
      </c>
      <c r="AM46" s="11">
        <f>11203.7057422483/(10^3)</f>
        <v>11.2037057422483</v>
      </c>
      <c r="AN46" s="11">
        <f>11282.841170604/(10^3)</f>
        <v>11.282841170604</v>
      </c>
      <c r="AO46" s="11">
        <f>116.738499510236/(10^3)</f>
        <v>0.116738499510236</v>
      </c>
      <c r="AP46" s="11">
        <f>11471.0616823973/(10^3)</f>
        <v>11.4710616823973</v>
      </c>
      <c r="AQ46" s="11">
        <f>11966.7525786447/(10^3)</f>
        <v>11.9667525786447</v>
      </c>
      <c r="AR46" s="11">
        <f>11838.7158099876/(10^3)</f>
        <v>11.838715809987599</v>
      </c>
      <c r="AS46" s="11">
        <f>11878.6939215423/(10^3)</f>
        <v>11.8786939215423</v>
      </c>
      <c r="AT46" s="11">
        <f>11647.7620379498/(10^3)</f>
        <v>11.6477620379498</v>
      </c>
      <c r="AU46" s="11">
        <f>1150928.86337577/(10^3)</f>
        <v>1150.9288633757699</v>
      </c>
      <c r="AV46" s="11">
        <f>11362.2603630724/(10^3)</f>
        <v>11.362260363072402</v>
      </c>
      <c r="AW46" s="11">
        <f>11812.0904327962/(10^3)</f>
        <v>11.8120904327962</v>
      </c>
      <c r="AX46" s="11">
        <f>12656.365495854/(10^3)</f>
        <v>12.656365495853999</v>
      </c>
      <c r="AY46" s="11">
        <f>13094.2538935757/(10^3)</f>
        <v>13.094253893575701</v>
      </c>
      <c r="AZ46" s="11">
        <f>13722.2793516132/(10^3)</f>
        <v>13.722279351613201</v>
      </c>
      <c r="BA46" s="11">
        <f>137.758529543507/(10^3)</f>
        <v>0.13775852954350701</v>
      </c>
      <c r="BB46" s="11">
        <f>14214.9548851356/(10^3)</f>
        <v>14.214954885135599</v>
      </c>
      <c r="BC46" s="11">
        <f>13969.2791564937/(10^3)</f>
        <v>13.9692791564937</v>
      </c>
      <c r="BD46" s="11">
        <f>13858.8411039557/(10^3)</f>
        <v>13.858841103955699</v>
      </c>
      <c r="BE46" s="11">
        <f>13540.3734407338/(10^3)</f>
        <v>13.5403734407338</v>
      </c>
      <c r="BF46" s="11">
        <f>14033.5824395778/(10^3)</f>
        <v>14.033582439577801</v>
      </c>
      <c r="BG46" s="11">
        <f>1472725.9001832/(10^3)</f>
        <v>1472.7259001831999</v>
      </c>
      <c r="BH46" s="11">
        <f>14714.4883143668/(10^3)</f>
        <v>14.714488314366799</v>
      </c>
      <c r="BI46" s="11">
        <f>14405.8336655321/(10^3)</f>
        <v>14.4058336655321</v>
      </c>
      <c r="BJ46" s="11">
        <f>15280.9564973177/(10^3)</f>
        <v>15.2809564973177</v>
      </c>
      <c r="BK46" s="11">
        <f>16003.1269524402/(10^3)</f>
        <v>16.003126952440201</v>
      </c>
      <c r="BL46" s="11">
        <f>16359.075433477/(10^3)</f>
        <v>16.359075433477003</v>
      </c>
      <c r="BM46" s="11">
        <f>166.223906905601/(10^3)</f>
        <v>0.16622390690560102</v>
      </c>
      <c r="BN46" s="11">
        <f>16676.416976618/(10^3)</f>
        <v>16.676416976617997</v>
      </c>
      <c r="BO46" s="11">
        <f>15442.454506307/(10^3)</f>
        <v>15.442454506307</v>
      </c>
      <c r="BP46" s="11">
        <f>14967.4246897544/(10^3)</f>
        <v>14.967424689754401</v>
      </c>
      <c r="BQ46" s="11">
        <f>14692.8921302041/(10^3)</f>
        <v>14.6928921302041</v>
      </c>
      <c r="BR46" s="11">
        <f>14304.6881403372/(10^3)</f>
        <v>14.3046881403372</v>
      </c>
      <c r="BS46" s="11">
        <f>1421618.92199707/(10^3)</f>
        <v>1421.6189219970702</v>
      </c>
      <c r="BT46" s="11">
        <f>13992.7225965133/(10^3)</f>
        <v>13.9927225965133</v>
      </c>
      <c r="BU46" s="11">
        <f>13696.7723497219/(10^3)</f>
        <v>13.696772349721899</v>
      </c>
      <c r="BV46" s="11">
        <f>14427.8754069393/(10^3)</f>
        <v>14.4278754069393</v>
      </c>
      <c r="BW46" s="11">
        <f>15030.8841402792/(10^3)</f>
        <v>15.0308841402792</v>
      </c>
      <c r="BX46" s="11">
        <f>15555.2330716273/(10^3)</f>
        <v>15.555233071627301</v>
      </c>
      <c r="BY46" s="11">
        <f>165.310138461905/(10^3)</f>
        <v>0.16531013846190501</v>
      </c>
      <c r="BZ46" s="11">
        <f>16531.0138461904/(10^3)</f>
        <v>16.531013846190397</v>
      </c>
      <c r="CA46" s="11">
        <f>17248.1973022764/(10^3)</f>
        <v>17.248197302276399</v>
      </c>
      <c r="CB46" s="11">
        <f>17526.1065168317/(10^3)</f>
        <v>17.5261065168317</v>
      </c>
      <c r="CC46" s="12"/>
      <c r="CZ46" s="11">
        <v>8.8928446782127271</v>
      </c>
      <c r="DA46" s="11">
        <v>9.926121652906815</v>
      </c>
      <c r="DB46" s="11">
        <v>11.673849951023596</v>
      </c>
      <c r="DC46" s="11">
        <v>13.775852954350661</v>
      </c>
      <c r="DD46" s="11">
        <v>16.62239069056006</v>
      </c>
      <c r="DE46" s="11">
        <v>16.531013846190451</v>
      </c>
      <c r="DG46" s="11">
        <v>8.7125711053176964</v>
      </c>
      <c r="DH46" s="11">
        <v>8.7754307259603355</v>
      </c>
      <c r="DI46" s="11">
        <v>10.326498423003533</v>
      </c>
      <c r="DJ46" s="11">
        <v>11.509288633757722</v>
      </c>
      <c r="DK46" s="11">
        <v>14.72725900183203</v>
      </c>
      <c r="DL46" s="11">
        <v>14.216189219970737</v>
      </c>
    </row>
    <row r="47" spans="4:116" outlineLevel="1" x14ac:dyDescent="0.25">
      <c r="D47" s="13" t="s">
        <v>26</v>
      </c>
      <c r="E47" s="13" t="s">
        <v>25</v>
      </c>
      <c r="F47" s="10" t="s">
        <v>149</v>
      </c>
      <c r="G47" s="13"/>
      <c r="H47" s="62"/>
      <c r="I47" s="11">
        <f>3297/(10^3)</f>
        <v>3.2970000000000002</v>
      </c>
      <c r="J47" s="11">
        <f>3283.10942419749/(10^3)</f>
        <v>3.2831094241974901</v>
      </c>
      <c r="K47" s="11">
        <f>320325.129561002/(10^3)</f>
        <v>320.32512956100203</v>
      </c>
      <c r="L47" s="11">
        <f>3305.57729470536/(10^3)</f>
        <v>3.3055772947053601</v>
      </c>
      <c r="M47" s="11">
        <f>3301.54208809813/(10^3)</f>
        <v>3.3015420880981301</v>
      </c>
      <c r="N47" s="11">
        <f>3334.67479985359/(10^3)</f>
        <v>3.3346747998535897</v>
      </c>
      <c r="O47" s="11">
        <f>3448.86735778431/(10^3)</f>
        <v>3.4488673577843101</v>
      </c>
      <c r="P47" s="11">
        <f>3393.76249282315/(10^3)</f>
        <v>3.39376249282315</v>
      </c>
      <c r="Q47" s="11">
        <f>33.4680072578179/(10^3)</f>
        <v>3.34680072578179E-2</v>
      </c>
      <c r="R47" s="11">
        <f>3322.11433714691/(10^3)</f>
        <v>3.3221143371469104</v>
      </c>
      <c r="S47" s="11">
        <f>3446.54795830508/(10^3)</f>
        <v>3.44654795830508</v>
      </c>
      <c r="T47" s="11">
        <f>3474.66257539325/(10^3)</f>
        <v>3.4746625753932499</v>
      </c>
      <c r="U47" s="11">
        <f>3551.58169130366/(10^3)</f>
        <v>3.5515816913036602</v>
      </c>
      <c r="V47" s="11">
        <f>3576.52377112818/(10^3)</f>
        <v>3.5765237711281803</v>
      </c>
      <c r="W47" s="11">
        <f>364960.495357591/(10^3)</f>
        <v>364.96049535759101</v>
      </c>
      <c r="X47" s="11">
        <f>3636.04823906304/(10^3)</f>
        <v>3.6360482390630402</v>
      </c>
      <c r="Y47" s="11">
        <f>3669.16631918497/(10^3)</f>
        <v>3.6691663191849697</v>
      </c>
      <c r="Z47" s="11">
        <f>4028.57218825076/(10^3)</f>
        <v>4.0285721882507604</v>
      </c>
      <c r="AA47" s="11">
        <f>4095.07926109927/(10^3)</f>
        <v>4.0950792610992695</v>
      </c>
      <c r="AB47" s="11">
        <f>4290.53472268733/(10^3)</f>
        <v>4.2905347226873296</v>
      </c>
      <c r="AC47" s="11">
        <f>43.4081672192781/(10^3)</f>
        <v>4.34081672192781E-2</v>
      </c>
      <c r="AD47" s="11">
        <f>4334.8871423337/(10^3)</f>
        <v>4.3348871423336997</v>
      </c>
      <c r="AE47" s="11">
        <f>4475.5072007833/(10^3)</f>
        <v>4.4755072007832997</v>
      </c>
      <c r="AF47" s="11">
        <f>4551.23775780964/(10^3)</f>
        <v>4.5512377578096403</v>
      </c>
      <c r="AG47" s="11">
        <f>4433.11829959206/(10^3)</f>
        <v>4.4331182995920599</v>
      </c>
      <c r="AH47" s="11">
        <f>4516.82762378587/(10^3)</f>
        <v>4.5168276237858702</v>
      </c>
      <c r="AI47" s="11">
        <f>450942.685694143/(10^3)</f>
        <v>450.94268569414299</v>
      </c>
      <c r="AJ47" s="11">
        <f>4573.99491505497/(10^3)</f>
        <v>4.5739949150549704</v>
      </c>
      <c r="AK47" s="11">
        <f>4535.62960018491/(10^3)</f>
        <v>4.5356296001849099</v>
      </c>
      <c r="AL47" s="11">
        <f>4482.8311570751/(10^3)</f>
        <v>4.4828311570751005</v>
      </c>
      <c r="AM47" s="11">
        <f>4659.35605628651/(10^3)</f>
        <v>4.6593560562865095</v>
      </c>
      <c r="AN47" s="11">
        <f>4760.47707327027/(10^3)</f>
        <v>4.7604770732702697</v>
      </c>
      <c r="AO47" s="11">
        <f>47.8882765719769/(10^3)</f>
        <v>4.7888276571976904E-2</v>
      </c>
      <c r="AP47" s="11">
        <f>4937.73744041558/(10^3)</f>
        <v>4.9377374404155798</v>
      </c>
      <c r="AQ47" s="11">
        <f>5140.11582830044/(10^3)</f>
        <v>5.1401158283004396</v>
      </c>
      <c r="AR47" s="11">
        <f>5351.92586268485/(10^3)</f>
        <v>5.3519258626848494</v>
      </c>
      <c r="AS47" s="11">
        <f>5618.79019820191/(10^3)</f>
        <v>5.6187901982019106</v>
      </c>
      <c r="AT47" s="11">
        <f>5563.95714811909/(10^3)</f>
        <v>5.5639571481190897</v>
      </c>
      <c r="AU47" s="11">
        <f>543197.068395529/(10^3)</f>
        <v>543.19706839552896</v>
      </c>
      <c r="AV47" s="11">
        <f>5473.65866744246/(10^3)</f>
        <v>5.4736586674424599</v>
      </c>
      <c r="AW47" s="11">
        <f>5554.36154305526/(10^3)</f>
        <v>5.5543615430552595</v>
      </c>
      <c r="AX47" s="11">
        <f>5923.43307617489/(10^3)</f>
        <v>5.9234330761748897</v>
      </c>
      <c r="AY47" s="11">
        <f>5985.79108411441/(10^3)</f>
        <v>5.9857910841144104</v>
      </c>
      <c r="AZ47" s="11">
        <f>6044.94912882207/(10^3)</f>
        <v>6.0449491288220694</v>
      </c>
      <c r="BA47" s="11">
        <f>61.2970967113945/(10^3)</f>
        <v>6.1297096711394501E-2</v>
      </c>
      <c r="BB47" s="11">
        <f>6369.26426891543/(10^3)</f>
        <v>6.3692642689154297</v>
      </c>
      <c r="BC47" s="11">
        <f>5974.60174562747/(10^3)</f>
        <v>5.9746017456274707</v>
      </c>
      <c r="BD47" s="11">
        <f>5382.83401244583/(10^3)</f>
        <v>5.38283401244583</v>
      </c>
      <c r="BE47" s="11">
        <f>5207.85904323827/(10^3)</f>
        <v>5.2078590432382699</v>
      </c>
      <c r="BF47" s="11">
        <f>5428.80733412915/(10^3)</f>
        <v>5.4288073341291501</v>
      </c>
      <c r="BG47" s="11">
        <f>564567.51651338/(10^3)</f>
        <v>564.56751651338004</v>
      </c>
      <c r="BH47" s="11">
        <f>5874.02744043756/(10^3)</f>
        <v>5.8740274404375592</v>
      </c>
      <c r="BI47" s="11">
        <f>6124.29392652907/(10^3)</f>
        <v>6.1242939265290701</v>
      </c>
      <c r="BJ47" s="11">
        <f>6436.28747924558/(10^3)</f>
        <v>6.4362874792455793</v>
      </c>
      <c r="BK47" s="11">
        <f>6617.72590406198/(10^3)</f>
        <v>6.61772590406198</v>
      </c>
      <c r="BL47" s="11">
        <f>6836.22383602001/(10^3)</f>
        <v>6.83622383602001</v>
      </c>
      <c r="BM47" s="11">
        <f>69.4524724895442/(10^3)</f>
        <v>6.9452472489544212E-2</v>
      </c>
      <c r="BN47" s="11">
        <f>6943.3684149295/(10^3)</f>
        <v>6.9433684149295001</v>
      </c>
      <c r="BO47" s="11">
        <f>6565.0682297837/(10^3)</f>
        <v>6.5650682297836997</v>
      </c>
      <c r="BP47" s="11">
        <f>6373.40106057449/(10^3)</f>
        <v>6.3734010605744897</v>
      </c>
      <c r="BQ47" s="11">
        <f>6256.09820609719/(10^3)</f>
        <v>6.2560982060971897</v>
      </c>
      <c r="BR47" s="11">
        <f>6166.28652322865/(10^3)</f>
        <v>6.1662865232286501</v>
      </c>
      <c r="BS47" s="11">
        <f>608770.180501227/(10^3)</f>
        <v>608.77018050122706</v>
      </c>
      <c r="BT47" s="11">
        <f>6044.84631736966/(10^3)</f>
        <v>6.04484631736966</v>
      </c>
      <c r="BU47" s="11">
        <f>6163.52906565489/(10^3)</f>
        <v>6.16352906565489</v>
      </c>
      <c r="BV47" s="11">
        <f>6761.54008488155/(10^3)</f>
        <v>6.7615400848815499</v>
      </c>
      <c r="BW47" s="11">
        <f>6764.34819355281/(10^3)</f>
        <v>6.7643481935528094</v>
      </c>
      <c r="BX47" s="11">
        <f>6928.92124150057/(10^3)</f>
        <v>6.9289212415005705</v>
      </c>
      <c r="BY47" s="11">
        <f>73.5162927912726/(10^3)</f>
        <v>7.35162927912726E-2</v>
      </c>
      <c r="BZ47" s="11">
        <f>7351.62927912726/(10^3)</f>
        <v>7.3516292791272599</v>
      </c>
      <c r="CA47" s="11">
        <f>7553.30805769541/(10^3)</f>
        <v>7.5533080576954097</v>
      </c>
      <c r="CB47" s="11">
        <f>7875.30378315502/(10^3)</f>
        <v>7.8753037831550197</v>
      </c>
      <c r="CC47" s="12"/>
      <c r="CZ47" s="11">
        <v>3.3468007257817929</v>
      </c>
      <c r="DA47" s="11">
        <v>4.3408167219278146</v>
      </c>
      <c r="DB47" s="11">
        <v>4.7888276571976949</v>
      </c>
      <c r="DC47" s="11">
        <v>6.1297096711394454</v>
      </c>
      <c r="DD47" s="11">
        <v>6.9452472489544164</v>
      </c>
      <c r="DE47" s="11">
        <v>7.3516292791272608</v>
      </c>
      <c r="DG47" s="11">
        <v>3.2032512956100225</v>
      </c>
      <c r="DH47" s="11">
        <v>3.6496049535759059</v>
      </c>
      <c r="DI47" s="11">
        <v>4.5094268569414346</v>
      </c>
      <c r="DJ47" s="11">
        <v>5.431970683955293</v>
      </c>
      <c r="DK47" s="11">
        <v>5.6456751651338024</v>
      </c>
      <c r="DL47" s="11">
        <v>6.0877018050122755</v>
      </c>
    </row>
    <row r="48" spans="4:116" outlineLevel="1" x14ac:dyDescent="0.25">
      <c r="D48" s="13" t="s">
        <v>28</v>
      </c>
      <c r="E48" s="13" t="s">
        <v>27</v>
      </c>
      <c r="F48" s="10" t="s">
        <v>149</v>
      </c>
      <c r="G48" s="13"/>
      <c r="H48" s="62"/>
      <c r="I48" s="11">
        <f>9801/(10^3)</f>
        <v>9.8010000000000002</v>
      </c>
      <c r="J48" s="11">
        <f>10013.829594804/(10^3)</f>
        <v>10.013829594803999</v>
      </c>
      <c r="K48" s="11">
        <f>985417.230893603/(10^3)</f>
        <v>985.41723089360289</v>
      </c>
      <c r="L48" s="11">
        <f>10093.8677435981/(10^3)</f>
        <v>10.0938677435981</v>
      </c>
      <c r="M48" s="11">
        <f>10062.8638736757/(10^3)</f>
        <v>10.062863873675701</v>
      </c>
      <c r="N48" s="11">
        <f>9979.02696902874/(10^3)</f>
        <v>9.979026969028741</v>
      </c>
      <c r="O48" s="11">
        <f>10427.1751118534/(10^3)</f>
        <v>10.4271751118534</v>
      </c>
      <c r="P48" s="11">
        <f>10561.9149166641/(10^3)</f>
        <v>10.561914916664101</v>
      </c>
      <c r="Q48" s="11">
        <f>105.495047149954/(10^3)</f>
        <v>0.105495047149954</v>
      </c>
      <c r="R48" s="11">
        <f>10691.3865664597/(10^3)</f>
        <v>10.6913865664597</v>
      </c>
      <c r="S48" s="11">
        <f>11169.138315075/(10^3)</f>
        <v>11.169138315075001</v>
      </c>
      <c r="T48" s="11">
        <f>11456.923017662/(10^3)</f>
        <v>11.456923017662</v>
      </c>
      <c r="U48" s="11">
        <f>11216.042293082/(10^3)</f>
        <v>11.216042293082001</v>
      </c>
      <c r="V48" s="11">
        <f>11603.775702764/(10^3)</f>
        <v>11.603775702764</v>
      </c>
      <c r="W48" s="11">
        <f>1166047.42905833/(10^3)</f>
        <v>1166.04742905833</v>
      </c>
      <c r="X48" s="11">
        <f>12239.1267179114/(10^3)</f>
        <v>12.2391267179114</v>
      </c>
      <c r="Y48" s="11">
        <f>12516.281535361/(10^3)</f>
        <v>12.516281535361001</v>
      </c>
      <c r="Z48" s="11">
        <f>13121.1029120355/(10^3)</f>
        <v>13.1211029120355</v>
      </c>
      <c r="AA48" s="11">
        <f>13228.5369863264/(10^3)</f>
        <v>13.2285369863264</v>
      </c>
      <c r="AB48" s="11">
        <f>13875.569859974/(10^3)</f>
        <v>13.875569859974</v>
      </c>
      <c r="AC48" s="11">
        <f>139.390310663371/(10^3)</f>
        <v>0.13939031066337099</v>
      </c>
      <c r="AD48" s="11">
        <f>14257.3276558057/(10^3)</f>
        <v>14.2573276558057</v>
      </c>
      <c r="AE48" s="11">
        <f>14160.4531364808/(10^3)</f>
        <v>14.1604531364808</v>
      </c>
      <c r="AF48" s="11">
        <f>14342.2105296353/(10^3)</f>
        <v>14.342210529635301</v>
      </c>
      <c r="AG48" s="11">
        <f>14994.9371516409/(10^3)</f>
        <v>14.994937151640899</v>
      </c>
      <c r="AH48" s="11">
        <f>15587.0999492815/(10^3)</f>
        <v>15.587099949281502</v>
      </c>
      <c r="AI48" s="11">
        <f>1592836.76014245/(10^3)</f>
        <v>1592.83676014245</v>
      </c>
      <c r="AJ48" s="11">
        <f>15962.2375103134/(10^3)</f>
        <v>15.9622375103134</v>
      </c>
      <c r="AK48" s="11">
        <f>15807.5700878243/(10^3)</f>
        <v>15.807570087824301</v>
      </c>
      <c r="AL48" s="11">
        <f>15350.4307180254/(10^3)</f>
        <v>15.3504307180254</v>
      </c>
      <c r="AM48" s="11">
        <f>15521.5376581957/(10^3)</f>
        <v>15.521537658195701</v>
      </c>
      <c r="AN48" s="11">
        <f>16289.2349133417/(10^3)</f>
        <v>16.289234913341698</v>
      </c>
      <c r="AO48" s="11">
        <f>163.351827338881/(10^3)</f>
        <v>0.16335182733888101</v>
      </c>
      <c r="AP48" s="11">
        <f>16366.4154935713/(10^3)</f>
        <v>16.366415493571299</v>
      </c>
      <c r="AQ48" s="11">
        <f>16078.5649007321/(10^3)</f>
        <v>16.078564900732101</v>
      </c>
      <c r="AR48" s="11">
        <f>16717.0680483126/(10^3)</f>
        <v>16.717068048312601</v>
      </c>
      <c r="AS48" s="11">
        <f>16253.9197046016/(10^3)</f>
        <v>16.2539197046016</v>
      </c>
      <c r="AT48" s="11">
        <f>16889.1776624887/(10^3)</f>
        <v>16.889177662488699</v>
      </c>
      <c r="AU48" s="11">
        <f>1660763.13999274/(10^3)</f>
        <v>1660.76313999274</v>
      </c>
      <c r="AV48" s="11">
        <f>16977.0015475813/(10^3)</f>
        <v>16.977001547581303</v>
      </c>
      <c r="AW48" s="11">
        <f>17178.6735237029/(10^3)</f>
        <v>17.178673523702898</v>
      </c>
      <c r="AX48" s="11">
        <f>17980.5958057021/(10^3)</f>
        <v>17.980595805702102</v>
      </c>
      <c r="AY48" s="11">
        <f>18664.2967359318/(10^3)</f>
        <v>18.664296735931799</v>
      </c>
      <c r="AZ48" s="11">
        <f>18742.9193560509/(10^3)</f>
        <v>18.742919356050901</v>
      </c>
      <c r="BA48" s="11">
        <f>192.696408076612/(10^3)</f>
        <v>0.19269640807661198</v>
      </c>
      <c r="BB48" s="11">
        <f>20195.4612698582/(10^3)</f>
        <v>20.1954612698582</v>
      </c>
      <c r="BC48" s="11">
        <f>18176.8847384015/(10^3)</f>
        <v>18.176884738401498</v>
      </c>
      <c r="BD48" s="11">
        <f>17011.9534872211/(10^3)</f>
        <v>17.011953487221099</v>
      </c>
      <c r="BE48" s="11">
        <f>16542.8018188986/(10^3)</f>
        <v>16.542801818898599</v>
      </c>
      <c r="BF48" s="11">
        <f>16102.851194752/(10^3)</f>
        <v>16.102851194751999</v>
      </c>
      <c r="BG48" s="11">
        <f>1613424.88346332/(10^3)</f>
        <v>1613.4248834633202</v>
      </c>
      <c r="BH48" s="11">
        <f>16149.5998957313/(10^3)</f>
        <v>16.149599895731299</v>
      </c>
      <c r="BI48" s="11">
        <f>16713.5170589999/(10^3)</f>
        <v>16.713517058999901</v>
      </c>
      <c r="BJ48" s="11">
        <f>17845.2269725386/(10^3)</f>
        <v>17.845226972538601</v>
      </c>
      <c r="BK48" s="11">
        <f>18119.320346776/(10^3)</f>
        <v>18.119320346776</v>
      </c>
      <c r="BL48" s="11">
        <f>18915.1718523477/(10^3)</f>
        <v>18.915171852347701</v>
      </c>
      <c r="BM48" s="11">
        <f>192.081277990292/(10^3)</f>
        <v>0.19208127799029198</v>
      </c>
      <c r="BN48" s="11">
        <f>19676.4407631197/(10^3)</f>
        <v>19.6764407631197</v>
      </c>
      <c r="BO48" s="11">
        <f>18288.4103451984/(10^3)</f>
        <v>18.2884103451984</v>
      </c>
      <c r="BP48" s="11">
        <f>17591.1139014498/(10^3)</f>
        <v>17.591113901449802</v>
      </c>
      <c r="BQ48" s="11">
        <f>17421.3576900347/(10^3)</f>
        <v>17.4213576900347</v>
      </c>
      <c r="BR48" s="11">
        <f>17253.287924491/(10^3)</f>
        <v>17.253287924491001</v>
      </c>
      <c r="BS48" s="11">
        <f>1724899.69876054/(10^3)</f>
        <v>1724.8996987605401</v>
      </c>
      <c r="BT48" s="11">
        <f>16926.4315683194/(10^3)</f>
        <v>16.926431568319401</v>
      </c>
      <c r="BU48" s="11">
        <f>17501.4470972674/(10^3)</f>
        <v>17.501447097267398</v>
      </c>
      <c r="BV48" s="11">
        <f>18760.77048277/(10^3)</f>
        <v>18.760770482769999</v>
      </c>
      <c r="BW48" s="11">
        <f>19372.4115493069/(10^3)</f>
        <v>19.3724115493069</v>
      </c>
      <c r="BX48" s="11">
        <f>20064.8210598204/(10^3)</f>
        <v>20.0648210598204</v>
      </c>
      <c r="BY48" s="11">
        <f>206.136961234018/(10^3)</f>
        <v>0.20613696123401801</v>
      </c>
      <c r="BZ48" s="11">
        <f>20613.6961234018/(10^3)</f>
        <v>20.613696123401802</v>
      </c>
      <c r="CA48" s="11">
        <f>20674.1339722996/(10^3)</f>
        <v>20.6741339722996</v>
      </c>
      <c r="CB48" s="11">
        <f>21326.9833882863/(10^3)</f>
        <v>21.326983388286298</v>
      </c>
      <c r="CC48" s="12"/>
      <c r="CZ48" s="11">
        <v>10.549504714995393</v>
      </c>
      <c r="DA48" s="11">
        <v>13.939031066337085</v>
      </c>
      <c r="DB48" s="11">
        <v>16.335182733888086</v>
      </c>
      <c r="DC48" s="11">
        <v>19.269640807661208</v>
      </c>
      <c r="DD48" s="11">
        <v>19.208127799029185</v>
      </c>
      <c r="DE48" s="11">
        <v>20.613696123401834</v>
      </c>
      <c r="DG48" s="11">
        <v>9.8541723089360289</v>
      </c>
      <c r="DH48" s="11">
        <v>11.660474290583339</v>
      </c>
      <c r="DI48" s="11">
        <v>15.928367601424521</v>
      </c>
      <c r="DJ48" s="11">
        <v>16.607631399927367</v>
      </c>
      <c r="DK48" s="11">
        <v>16.134248834633162</v>
      </c>
      <c r="DL48" s="11">
        <v>17.248996987605381</v>
      </c>
    </row>
    <row r="49" spans="4:116" outlineLevel="1" x14ac:dyDescent="0.25">
      <c r="D49" s="13" t="s">
        <v>30</v>
      </c>
      <c r="E49" s="13" t="s">
        <v>29</v>
      </c>
      <c r="F49" s="10" t="s">
        <v>150</v>
      </c>
      <c r="G49" s="13"/>
      <c r="H49" s="6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>
        <f>494.756498483366/(10^3)</f>
        <v>0.494756498483366</v>
      </c>
      <c r="AE49" s="11">
        <f>455.636474756108/(10^3)</f>
        <v>0.45563647475610797</v>
      </c>
      <c r="AF49" s="11">
        <f>434.82312673707/(10^3)</f>
        <v>0.43482312673707002</v>
      </c>
      <c r="AG49" s="11">
        <f>430.103325027242/(10^3)</f>
        <v>0.43010332502724202</v>
      </c>
      <c r="AH49" s="11">
        <f>430.504352730254/(10^3)</f>
        <v>0.430504352730254</v>
      </c>
      <c r="AI49" s="11">
        <f>43659.9698269685/(10^3)</f>
        <v>43.659969826968506</v>
      </c>
      <c r="AJ49" s="11">
        <f>454.192835713878/(10^3)</f>
        <v>0.45419283571387803</v>
      </c>
      <c r="AK49" s="11">
        <f>461.58213443993/(10^3)</f>
        <v>0.46158213443992996</v>
      </c>
      <c r="AL49" s="11">
        <f>497.545808357809/(10^3)</f>
        <v>0.49754580835780898</v>
      </c>
      <c r="AM49" s="11">
        <f>497.686645692624/(10^3)</f>
        <v>0.497686645692624</v>
      </c>
      <c r="AN49" s="11">
        <f>500.85594180562/(10^3)</f>
        <v>0.50085594180561999</v>
      </c>
      <c r="AO49" s="11">
        <f>5.06038024793617/(10^3)</f>
        <v>5.0603802479361696E-3</v>
      </c>
      <c r="AP49" s="11">
        <f>520.3051303059/(10^3)</f>
        <v>0.52030513030589998</v>
      </c>
      <c r="AQ49" s="11">
        <f>484.979946886137/(10^3)</f>
        <v>0.48497994688613699</v>
      </c>
      <c r="AR49" s="11">
        <f>473.128489826166/(10^3)</f>
        <v>0.47312848982616601</v>
      </c>
      <c r="AS49" s="11">
        <f>462.754332435947/(10^3)</f>
        <v>0.46275433243594699</v>
      </c>
      <c r="AT49" s="11">
        <f>481.592657056815/(10^3)</f>
        <v>0.48159265705681503</v>
      </c>
      <c r="AU49" s="11">
        <f>47898.9436324766/(10^3)</f>
        <v>47.898943632476602</v>
      </c>
      <c r="AV49" s="11">
        <f>498.675720725613/(10^3)</f>
        <v>0.498675720725613</v>
      </c>
      <c r="AW49" s="11">
        <f>515.642146139107/(10^3)</f>
        <v>0.51564214613910697</v>
      </c>
      <c r="AX49" s="11">
        <f>566.928751331825/(10^3)</f>
        <v>0.56692875133182496</v>
      </c>
      <c r="AY49" s="11">
        <f>578.685805627727/(10^3)</f>
        <v>0.57868580562772698</v>
      </c>
      <c r="AZ49" s="11">
        <f>590.507594555786/(10^3)</f>
        <v>0.59050759455578605</v>
      </c>
      <c r="BA49" s="11">
        <f>6.13464419854516/(10^3)</f>
        <v>6.1346441985451593E-3</v>
      </c>
      <c r="BB49" s="11">
        <f>604.878158005889/(10^3)</f>
        <v>0.60487815800588896</v>
      </c>
      <c r="BC49" s="11">
        <f>567.371373789783/(10^3)</f>
        <v>0.56737137378978297</v>
      </c>
      <c r="BD49" s="11">
        <f>538.990261889527/(10^3)</f>
        <v>0.53899026188952703</v>
      </c>
      <c r="BE49" s="11">
        <f>496.857799641033/(10^3)</f>
        <v>0.49685779964103299</v>
      </c>
      <c r="BF49" s="11">
        <f>510.248167764314/(10^3)</f>
        <v>0.51024816776431403</v>
      </c>
      <c r="BG49" s="11">
        <f>49778.6993374258/(10^3)</f>
        <v>49.778699337425799</v>
      </c>
      <c r="BH49" s="11">
        <f>498.31688929485/(10^3)</f>
        <v>0.49831688929485002</v>
      </c>
      <c r="BI49" s="11">
        <f>505.094893513386/(10^3)</f>
        <v>0.50509489351338599</v>
      </c>
      <c r="BJ49" s="11">
        <f>553.56286346844/(10^3)</f>
        <v>0.55356286346843997</v>
      </c>
      <c r="BK49" s="11">
        <f>571.005223289563/(10^3)</f>
        <v>0.57100522328956305</v>
      </c>
      <c r="BL49" s="11">
        <f>586.912071981864/(10^3)</f>
        <v>0.58691207198186401</v>
      </c>
      <c r="BM49" s="11">
        <f>5.93857655692684/(10^3)</f>
        <v>5.9385765569268398E-3</v>
      </c>
      <c r="BN49" s="11">
        <f>592.827937087441/(10^3)</f>
        <v>0.59282793708744097</v>
      </c>
      <c r="BO49" s="11">
        <f>557.949624116986/(10^3)</f>
        <v>0.55794962411698601</v>
      </c>
      <c r="BP49" s="11">
        <f>550.003122985354/(10^3)</f>
        <v>0.55000312298535403</v>
      </c>
      <c r="BQ49" s="11">
        <f>546.769959277312/(10^3)</f>
        <v>0.54676995927731198</v>
      </c>
      <c r="BR49" s="11">
        <f>532.222119930569/(10^3)</f>
        <v>0.532222119930569</v>
      </c>
      <c r="BS49" s="11">
        <f>52109.7362744571/(10^3)</f>
        <v>52.109736274457099</v>
      </c>
      <c r="BT49" s="11">
        <f>508.735267556605/(10^3)</f>
        <v>0.50873526755660503</v>
      </c>
      <c r="BU49" s="11">
        <f>516.791360610361/(10^3)</f>
        <v>0.51679136061036102</v>
      </c>
      <c r="BV49" s="11">
        <f>541.43504418502/(10^3)</f>
        <v>0.54143504418502009</v>
      </c>
      <c r="BW49" s="11">
        <f>551.254398481029/(10^3)</f>
        <v>0.55125439848102908</v>
      </c>
      <c r="BX49" s="11">
        <f>562.193037030577/(10^3)</f>
        <v>0.56219303703057699</v>
      </c>
      <c r="BY49" s="11">
        <f>5.62436658623082/(10^3)</f>
        <v>5.6243665862308195E-3</v>
      </c>
      <c r="BZ49" s="11">
        <f>562.436658623082/(10^3)</f>
        <v>0.56243665862308201</v>
      </c>
      <c r="CA49" s="11">
        <f>516.01422439569/(10^3)</f>
        <v>0.51601422439569</v>
      </c>
      <c r="CB49" s="11">
        <f>510.089847433544/(10^3)</f>
        <v>0.51008984743354402</v>
      </c>
      <c r="CC49" s="12"/>
      <c r="CZ49" s="11">
        <v>0.38367030761331583</v>
      </c>
      <c r="DA49" s="11">
        <v>0.49111864048158399</v>
      </c>
      <c r="DB49" s="11">
        <v>0.50603802479361659</v>
      </c>
      <c r="DC49" s="11">
        <v>0.61346441985451572</v>
      </c>
      <c r="DD49" s="11">
        <v>0.59385765569268401</v>
      </c>
      <c r="DE49" s="11">
        <v>0.56243665862308223</v>
      </c>
      <c r="DG49" s="11">
        <v>0.36462325108455257</v>
      </c>
      <c r="DH49" s="11">
        <v>0.42195163928156587</v>
      </c>
      <c r="DI49" s="11">
        <v>0.4365996982696852</v>
      </c>
      <c r="DJ49" s="11">
        <v>0.47898943632476643</v>
      </c>
      <c r="DK49" s="11">
        <v>0.49778699337425775</v>
      </c>
      <c r="DL49" s="11">
        <v>0.52109736274457108</v>
      </c>
    </row>
    <row r="50" spans="4:116" outlineLevel="1" x14ac:dyDescent="0.25">
      <c r="D50" s="13" t="s">
        <v>31</v>
      </c>
      <c r="E50" s="13">
        <v>1</v>
      </c>
      <c r="F50" s="10" t="s">
        <v>150</v>
      </c>
      <c r="G50" s="13"/>
      <c r="H50" s="62"/>
      <c r="I50" s="11">
        <f>1305/(10^3)</f>
        <v>1.3049999999999999</v>
      </c>
      <c r="J50" s="11">
        <f>1354.22361268069/(10^3)</f>
        <v>1.3542236126806899</v>
      </c>
      <c r="K50" s="11">
        <f>137354.686846063/(10^3)</f>
        <v>137.354686846063</v>
      </c>
      <c r="L50" s="11">
        <f>1354.68829227785/(10^3)</f>
        <v>1.35468829227785</v>
      </c>
      <c r="M50" s="11">
        <f>1361.41322932611/(10^3)</f>
        <v>1.3614132293261101</v>
      </c>
      <c r="N50" s="11">
        <f>1342.47409598859/(10^3)</f>
        <v>1.3424740959885901</v>
      </c>
      <c r="O50" s="11">
        <f>1385.99115451935/(10^3)</f>
        <v>1.38599115451935</v>
      </c>
      <c r="P50" s="11">
        <f>1402.67445480358/(10^3)</f>
        <v>1.4026744548035799</v>
      </c>
      <c r="Q50" s="11">
        <f>13.6807555294973/(10^3)</f>
        <v>1.3680755529497301E-2</v>
      </c>
      <c r="R50" s="11">
        <f>1400.45535891972/(10^3)</f>
        <v>1.4004553589197202</v>
      </c>
      <c r="S50" s="11">
        <f>1466.13258478699/(10^3)</f>
        <v>1.4661325847869899</v>
      </c>
      <c r="T50" s="11">
        <f>1459.48493101056/(10^3)</f>
        <v>1.4594849310105602</v>
      </c>
      <c r="U50" s="11">
        <f>1463.46910313637/(10^3)</f>
        <v>1.46346910313637</v>
      </c>
      <c r="V50" s="11">
        <f>1433.86933494708/(10^3)</f>
        <v>1.4338693349470799</v>
      </c>
      <c r="W50" s="11">
        <f>149173.773854674/(10^3)</f>
        <v>149.17377385467398</v>
      </c>
      <c r="X50" s="11">
        <f>1495.87484835939/(10^3)</f>
        <v>1.49587484835939</v>
      </c>
      <c r="Y50" s="11">
        <f>1504.43738060575/(10^3)</f>
        <v>1.5044373806057498</v>
      </c>
      <c r="Z50" s="11">
        <f>1644.26465370251/(10^3)</f>
        <v>1.6442646537025101</v>
      </c>
      <c r="AA50" s="11">
        <f>1645.14249318922/(10^3)</f>
        <v>1.64514249318922</v>
      </c>
      <c r="AB50" s="11">
        <f>1708.74720900761/(10^3)</f>
        <v>1.7087472090076101</v>
      </c>
      <c r="AC50" s="11">
        <f>17.6290421490639/(10^3)</f>
        <v>1.7629042149063898E-2</v>
      </c>
      <c r="AD50" s="11">
        <f>1836.91980837266/(10^3)</f>
        <v>1.8369198083726601</v>
      </c>
      <c r="AE50" s="11">
        <f>1702.69500007917/(10^3)</f>
        <v>1.7026950000791701</v>
      </c>
      <c r="AF50" s="11">
        <f>1668.74284845063/(10^3)</f>
        <v>1.6687428484506299</v>
      </c>
      <c r="AG50" s="11">
        <f>1637.62158780336/(10^3)</f>
        <v>1.63762158780336</v>
      </c>
      <c r="AH50" s="11">
        <f>1658.18335417143/(10^3)</f>
        <v>1.6581833541714299</v>
      </c>
      <c r="AI50" s="11">
        <f>167026.042144989/(10^3)</f>
        <v>167.02604214498902</v>
      </c>
      <c r="AJ50" s="11">
        <f>1640.57109197114/(10^3)</f>
        <v>1.64057109197114</v>
      </c>
      <c r="AK50" s="11">
        <f>1627.66497288094/(10^3)</f>
        <v>1.62766497288094</v>
      </c>
      <c r="AL50" s="11">
        <f>1666.55047042652/(10^3)</f>
        <v>1.6665504704265199</v>
      </c>
      <c r="AM50" s="11">
        <f>1668.24822405695/(10^3)</f>
        <v>1.6682482240569501</v>
      </c>
      <c r="AN50" s="11">
        <f>1703.59287654981/(10^3)</f>
        <v>1.7035928765498098</v>
      </c>
      <c r="AO50" s="11">
        <f>17.8448368422796/(10^3)</f>
        <v>1.7844836842279603E-2</v>
      </c>
      <c r="AP50" s="11">
        <f>1829.97951778994/(10^3)</f>
        <v>1.8299795177899401</v>
      </c>
      <c r="AQ50" s="11">
        <f>1754.83386099714/(10^3)</f>
        <v>1.7548338609971399</v>
      </c>
      <c r="AR50" s="11">
        <f>1712.75534268522/(10^3)</f>
        <v>1.71275534268522</v>
      </c>
      <c r="AS50" s="11">
        <f>1697.51652659063/(10^3)</f>
        <v>1.69751652659063</v>
      </c>
      <c r="AT50" s="11">
        <f>1732.43104710071/(10^3)</f>
        <v>1.7324310471007101</v>
      </c>
      <c r="AU50" s="11">
        <f>181277.892623196/(10^3)</f>
        <v>181.27789262319601</v>
      </c>
      <c r="AV50" s="11">
        <f>1852.83100512765/(10^3)</f>
        <v>1.85283100512765</v>
      </c>
      <c r="AW50" s="11">
        <f>1927.55005965053/(10^3)</f>
        <v>1.9275500596505302</v>
      </c>
      <c r="AX50" s="11">
        <f>1998.38271659789/(10^3)</f>
        <v>1.99838271659789</v>
      </c>
      <c r="AY50" s="11">
        <f>2043.20275758076/(10^3)</f>
        <v>2.0432027575807599</v>
      </c>
      <c r="AZ50" s="11">
        <f>2060.40078005071/(10^3)</f>
        <v>2.0604007800507103</v>
      </c>
      <c r="BA50" s="11">
        <f>20.6083765370908/(10^3)</f>
        <v>2.0608376537090797E-2</v>
      </c>
      <c r="BB50" s="11">
        <f>2136.5913814708/(10^3)</f>
        <v>2.1365913814708</v>
      </c>
      <c r="BC50" s="11">
        <f>2056.81814396112/(10^3)</f>
        <v>2.0568181439611197</v>
      </c>
      <c r="BD50" s="11">
        <f>2005.90531583786/(10^3)</f>
        <v>2.0059053158378601</v>
      </c>
      <c r="BE50" s="11">
        <f>1967.92586162429/(10^3)</f>
        <v>1.9679258616242901</v>
      </c>
      <c r="BF50" s="11">
        <f>2048.05139358345/(10^3)</f>
        <v>2.0480513935834503</v>
      </c>
      <c r="BG50" s="11">
        <f>200634.335130407/(10^3)</f>
        <v>200.63433513040701</v>
      </c>
      <c r="BH50" s="11">
        <f>2042.03896095809/(10^3)</f>
        <v>2.0420389609580898</v>
      </c>
      <c r="BI50" s="11">
        <f>2064.79677206073/(10^3)</f>
        <v>2.0647967720607299</v>
      </c>
      <c r="BJ50" s="11">
        <f>2180.8768101648/(10^3)</f>
        <v>2.1808768101648002</v>
      </c>
      <c r="BK50" s="11">
        <f>2226.0421932191/(10^3)</f>
        <v>2.2260421932191004</v>
      </c>
      <c r="BL50" s="11">
        <f>2294.7913553934/(10^3)</f>
        <v>2.2947913553934001</v>
      </c>
      <c r="BM50" s="11">
        <f>23.1000429498548/(10^3)</f>
        <v>2.31000429498548E-2</v>
      </c>
      <c r="BN50" s="11">
        <f>2331.64505975287/(10^3)</f>
        <v>2.3316450597528702</v>
      </c>
      <c r="BO50" s="11">
        <f>2136.74151153562/(10^3)</f>
        <v>2.1367415115356199</v>
      </c>
      <c r="BP50" s="11">
        <f>2067.09667606732/(10^3)</f>
        <v>2.0670966760673202</v>
      </c>
      <c r="BQ50" s="11">
        <f>2047.50551516245/(10^3)</f>
        <v>2.0475055151624497</v>
      </c>
      <c r="BR50" s="11">
        <f>2035.34011564352/(10^3)</f>
        <v>2.0353401156435198</v>
      </c>
      <c r="BS50" s="11">
        <f>200948.694299611/(10^3)</f>
        <v>200.94869429961099</v>
      </c>
      <c r="BT50" s="11">
        <f>1985.7128464067/(10^3)</f>
        <v>1.9857128464067</v>
      </c>
      <c r="BU50" s="11">
        <f>2051.62260480696/(10^3)</f>
        <v>2.0516226048069601</v>
      </c>
      <c r="BV50" s="11">
        <f>2184.45372910454/(10^3)</f>
        <v>2.1844537291045398</v>
      </c>
      <c r="BW50" s="11">
        <f>2247.61094015471/(10^3)</f>
        <v>2.24761094015471</v>
      </c>
      <c r="BX50" s="11">
        <f>2335.232263649/(10^3)</f>
        <v>2.3352322636489999</v>
      </c>
      <c r="BY50" s="11">
        <f>23.930553869198/(10^3)</f>
        <v>2.3930553869198002E-2</v>
      </c>
      <c r="BZ50" s="11">
        <f>2393.0553869198/(10^3)</f>
        <v>2.3930553869198001</v>
      </c>
      <c r="CA50" s="11">
        <f>2374.34568724426/(10^3)</f>
        <v>2.3743456872442597</v>
      </c>
      <c r="CB50" s="11">
        <f>2299.7799251594/(10^3)</f>
        <v>2.2997799251594002</v>
      </c>
      <c r="CC50" s="12"/>
      <c r="CZ50" s="11">
        <v>1.3680755529497253</v>
      </c>
      <c r="DA50" s="11">
        <v>1.7629042149063905</v>
      </c>
      <c r="DB50" s="11">
        <v>1.7844836842279554</v>
      </c>
      <c r="DC50" s="11">
        <v>2.0608376537090836</v>
      </c>
      <c r="DD50" s="11">
        <v>2.3100042949854793</v>
      </c>
      <c r="DE50" s="11">
        <v>2.3930553869197957</v>
      </c>
      <c r="DG50" s="11">
        <v>1.3735468684606296</v>
      </c>
      <c r="DH50" s="11">
        <v>1.4917377385467443</v>
      </c>
      <c r="DI50" s="11">
        <v>1.6702604214498906</v>
      </c>
      <c r="DJ50" s="11">
        <v>1.8127789262319616</v>
      </c>
      <c r="DK50" s="11">
        <v>2.0063433513040745</v>
      </c>
      <c r="DL50" s="11">
        <v>2.0094869429961113</v>
      </c>
    </row>
    <row r="51" spans="4:116" outlineLevel="1" x14ac:dyDescent="0.25">
      <c r="D51" s="13" t="s">
        <v>32</v>
      </c>
      <c r="E51" s="13" t="s">
        <v>27</v>
      </c>
      <c r="F51" s="10" t="s">
        <v>149</v>
      </c>
      <c r="G51" s="13"/>
      <c r="H51" s="62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>
        <f>1018.18370482859/(10^3)</f>
        <v>1.01818370482859</v>
      </c>
      <c r="AU51" s="11">
        <f>100379.824563193/(10^3)</f>
        <v>100.379824563193</v>
      </c>
      <c r="AV51" s="11">
        <f>987.115938457596/(10^3)</f>
        <v>0.98711593845759604</v>
      </c>
      <c r="AW51" s="11">
        <f>1033.99941736539/(10^3)</f>
        <v>1.0339994173653899</v>
      </c>
      <c r="AX51" s="11">
        <f>1074.03126307903/(10^3)</f>
        <v>1.0740312630790299</v>
      </c>
      <c r="AY51" s="11">
        <f>1116.32614264745/(10^3)</f>
        <v>1.11632614264745</v>
      </c>
      <c r="AZ51" s="11">
        <f>1133.20798573573/(10^3)</f>
        <v>1.13320798573573</v>
      </c>
      <c r="BA51" s="11">
        <f>11.2915184741677/(10^3)</f>
        <v>1.12915184741677E-2</v>
      </c>
      <c r="BB51" s="11">
        <f>1128.77275835917/(10^3)</f>
        <v>1.12877275835917</v>
      </c>
      <c r="BC51" s="11">
        <f>1122.01883252662/(10^3)</f>
        <v>1.1220188325266198</v>
      </c>
      <c r="BD51" s="11">
        <f>1119.83052283948/(10^3)</f>
        <v>1.11983052283948</v>
      </c>
      <c r="BE51" s="11">
        <f>1034.35901595319/(10^3)</f>
        <v>1.0343590159531899</v>
      </c>
      <c r="BF51" s="11">
        <f>1047.92801426/(10^3)</f>
        <v>1.04792801426</v>
      </c>
      <c r="BG51" s="11">
        <f>102290.70111174/(10^3)</f>
        <v>102.29070111173999</v>
      </c>
      <c r="BH51" s="11">
        <f>1001.74923120999/(10^3)</f>
        <v>1.00174923120999</v>
      </c>
      <c r="BI51" s="11">
        <f>1027.9253824972/(10^3)</f>
        <v>1.0279253824971999</v>
      </c>
      <c r="BJ51" s="11">
        <f>1129.75637927188/(10^3)</f>
        <v>1.1297563792718799</v>
      </c>
      <c r="BK51" s="11">
        <f>1146.16560735629/(10^3)</f>
        <v>1.1461656073562898</v>
      </c>
      <c r="BL51" s="11">
        <f>1149.56524488483/(10^3)</f>
        <v>1.1495652448848299</v>
      </c>
      <c r="BM51" s="11">
        <f>11.5336993092376/(10^3)</f>
        <v>1.1533699309237599E-2</v>
      </c>
      <c r="BN51" s="11">
        <f>1139.31401892466/(10^3)</f>
        <v>1.13931401892466</v>
      </c>
      <c r="BO51" s="11">
        <f>1132.95596275093/(10^3)</f>
        <v>1.13295596275093</v>
      </c>
      <c r="BP51" s="11">
        <f>1123.88820020749/(10^3)</f>
        <v>1.1238882002074899</v>
      </c>
      <c r="BQ51" s="11">
        <f>1103.3101083616/(10^3)</f>
        <v>1.1033101083615999</v>
      </c>
      <c r="BR51" s="11">
        <f>1084.589037137/(10^3)</f>
        <v>1.0845890371370002</v>
      </c>
      <c r="BS51" s="11">
        <f>108256.046783215/(10^3)</f>
        <v>108.256046783215</v>
      </c>
      <c r="BT51" s="11">
        <f>1059.17042895869/(10^3)</f>
        <v>1.0591704289586901</v>
      </c>
      <c r="BU51" s="11">
        <f>1037.89422832658/(10^3)</f>
        <v>1.0378942283265802</v>
      </c>
      <c r="BV51" s="11">
        <f>1127.13142325373/(10^3)</f>
        <v>1.1271314232537299</v>
      </c>
      <c r="BW51" s="11">
        <f>1181.81370396748/(10^3)</f>
        <v>1.1818137039674801</v>
      </c>
      <c r="BX51" s="11">
        <f>1183.20009569467/(10^3)</f>
        <v>1.18320009569467</v>
      </c>
      <c r="BY51" s="11">
        <f>12.6003830516774/(10^3)</f>
        <v>1.26003830516774E-2</v>
      </c>
      <c r="BZ51" s="11">
        <f>1260.03830516774/(10^3)</f>
        <v>1.26003830516774</v>
      </c>
      <c r="CA51" s="11">
        <f>1250.72903364198/(10^3)</f>
        <v>1.2507290336419801</v>
      </c>
      <c r="CB51" s="11">
        <f>1214.62395225518/(10^3)</f>
        <v>1.2146239522551801</v>
      </c>
      <c r="CC51" s="12"/>
      <c r="CZ51" s="11">
        <v>0.79540843441563425</v>
      </c>
      <c r="DA51" s="11">
        <v>1.1243380085994867</v>
      </c>
      <c r="DB51" s="11">
        <v>1.1378172671220332</v>
      </c>
      <c r="DC51" s="11">
        <v>1.1291518474167652</v>
      </c>
      <c r="DD51" s="11">
        <v>1.1533699309237648</v>
      </c>
      <c r="DE51" s="11">
        <v>1.2600383051677384</v>
      </c>
      <c r="DG51" s="11">
        <v>0.72660572929113498</v>
      </c>
      <c r="DH51" s="11">
        <v>0.9231735062709443</v>
      </c>
      <c r="DI51" s="11">
        <v>0.98675704875340342</v>
      </c>
      <c r="DJ51" s="11">
        <v>1.0037982456319274</v>
      </c>
      <c r="DK51" s="11">
        <v>1.0229070111173979</v>
      </c>
      <c r="DL51" s="11">
        <v>1.082560467832151</v>
      </c>
    </row>
    <row r="52" spans="4:116" outlineLevel="1" x14ac:dyDescent="0.25">
      <c r="D52" s="13" t="s">
        <v>34</v>
      </c>
      <c r="E52" s="13" t="s">
        <v>33</v>
      </c>
      <c r="F52" s="10" t="s">
        <v>150</v>
      </c>
      <c r="G52" s="13"/>
      <c r="H52" s="6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>
        <f>8.59733089124487/(10^3)</f>
        <v>8.5973308912448698E-3</v>
      </c>
      <c r="BB52" s="11">
        <f>878.501638682409/(10^3)</f>
        <v>0.87850163868240894</v>
      </c>
      <c r="BC52" s="11">
        <f>855.752781370791/(10^3)</f>
        <v>0.85575278137079103</v>
      </c>
      <c r="BD52" s="11">
        <f>821.843334540762/(10^3)</f>
        <v>0.82184333454076208</v>
      </c>
      <c r="BE52" s="11">
        <f>783.414226840093/(10^3)</f>
        <v>0.78341422684009299</v>
      </c>
      <c r="BF52" s="11">
        <f>813.315697647968/(10^3)</f>
        <v>0.81331569764796807</v>
      </c>
      <c r="BG52" s="11">
        <f>84336.3492554194/(10^3)</f>
        <v>84.336349255419393</v>
      </c>
      <c r="BH52" s="11">
        <f>878.95713783347/(10^3)</f>
        <v>0.87895713783347007</v>
      </c>
      <c r="BI52" s="11">
        <f>883.668751911304/(10^3)</f>
        <v>0.88366875191130401</v>
      </c>
      <c r="BJ52" s="11">
        <f>898.087009898801/(10^3)</f>
        <v>0.89808700989880108</v>
      </c>
      <c r="BK52" s="11">
        <f>918.301910050102/(10^3)</f>
        <v>0.91830191005010209</v>
      </c>
      <c r="BL52" s="11">
        <f>948.579975596082/(10^3)</f>
        <v>0.94857997559608198</v>
      </c>
      <c r="BM52" s="11">
        <f>9.69061941875833/(10^3)</f>
        <v>9.6906194187583294E-3</v>
      </c>
      <c r="BN52" s="11">
        <f>992.523056355016/(10^3)</f>
        <v>0.99252305635501603</v>
      </c>
      <c r="BO52" s="11">
        <f>941.191186200098/(10^3)</f>
        <v>0.9411911862000979</v>
      </c>
      <c r="BP52" s="11">
        <f>919.572452909526/(10^3)</f>
        <v>0.91957245290952594</v>
      </c>
      <c r="BQ52" s="11">
        <f>919.549870187248/(10^3)</f>
        <v>0.91954987018724799</v>
      </c>
      <c r="BR52" s="11">
        <f>910.989246949806/(10^3)</f>
        <v>0.91098924694980599</v>
      </c>
      <c r="BS52" s="11">
        <f>89150.5608971332/(10^3)</f>
        <v>89.150560897133204</v>
      </c>
      <c r="BT52" s="11">
        <f>886.121640677477/(10^3)</f>
        <v>0.88612164067747701</v>
      </c>
      <c r="BU52" s="11">
        <f>913.410469524263/(10^3)</f>
        <v>0.91341046952426297</v>
      </c>
      <c r="BV52" s="11">
        <f>977.580956623992/(10^3)</f>
        <v>0.97758095662399203</v>
      </c>
      <c r="BW52" s="11">
        <f>1001.22499346396/(10^3)</f>
        <v>1.0012249934639601</v>
      </c>
      <c r="BX52" s="11">
        <f>1046.08409397434/(10^3)</f>
        <v>1.0460840939743401</v>
      </c>
      <c r="BY52" s="11">
        <f>10.5648378794853/(10^3)</f>
        <v>1.0564837879485299E-2</v>
      </c>
      <c r="BZ52" s="11">
        <f>1056.48378794853/(10^3)</f>
        <v>1.05648378794853</v>
      </c>
      <c r="CA52" s="11">
        <f>951.152748020201/(10^3)</f>
        <v>0.951152748020201</v>
      </c>
      <c r="CB52" s="11">
        <f>933.569460267483/(10^3)</f>
        <v>0.933569460267483</v>
      </c>
      <c r="CC52" s="12"/>
      <c r="CZ52" s="11">
        <v>0.64719788905665121</v>
      </c>
      <c r="DA52" s="11">
        <v>0.80260053313543345</v>
      </c>
      <c r="DB52" s="11">
        <v>0.92039329244076096</v>
      </c>
      <c r="DC52" s="11">
        <v>0.85973308912448654</v>
      </c>
      <c r="DD52" s="11">
        <v>0.96906194187583261</v>
      </c>
      <c r="DE52" s="11">
        <v>1.0564837879485254</v>
      </c>
      <c r="DG52" s="11">
        <v>0.595659226969531</v>
      </c>
      <c r="DH52" s="11">
        <v>0.66358464230997127</v>
      </c>
      <c r="DI52" s="11">
        <v>0.76154380015214762</v>
      </c>
      <c r="DJ52" s="11">
        <v>0.79974281736412067</v>
      </c>
      <c r="DK52" s="11">
        <v>0.84336349255419374</v>
      </c>
      <c r="DL52" s="11">
        <v>0.8915056089713318</v>
      </c>
    </row>
    <row r="53" spans="4:116" outlineLevel="1" x14ac:dyDescent="0.25">
      <c r="D53" s="13" t="s">
        <v>36</v>
      </c>
      <c r="E53" s="13" t="s">
        <v>35</v>
      </c>
      <c r="F53" s="10" t="s">
        <v>150</v>
      </c>
      <c r="G53" s="13"/>
      <c r="H53" s="62"/>
      <c r="I53" s="11">
        <f>917/(10^3)</f>
        <v>0.91700000000000004</v>
      </c>
      <c r="J53" s="11">
        <f>927.316237191708/(10^3)</f>
        <v>0.92731623719170797</v>
      </c>
      <c r="K53" s="11">
        <f>95789.8131674846/(10^3)</f>
        <v>95.789813167484596</v>
      </c>
      <c r="L53" s="11">
        <f>997.139055510187/(10^3)</f>
        <v>0.997139055510187</v>
      </c>
      <c r="M53" s="11">
        <f>987.618316935446/(10^3)</f>
        <v>0.98761831693544599</v>
      </c>
      <c r="N53" s="11">
        <f>1001.39285453049/(10^3)</f>
        <v>1.00139285453049</v>
      </c>
      <c r="O53" s="11">
        <f>1021.0560364748/(10^3)</f>
        <v>1.0210560364748</v>
      </c>
      <c r="P53" s="11">
        <f>1052.79332172763/(10^3)</f>
        <v>1.05279332172763</v>
      </c>
      <c r="Q53" s="11">
        <f>11.0263723487764/(10^3)</f>
        <v>1.10263723487764E-2</v>
      </c>
      <c r="R53" s="11">
        <f>1121.73686895856/(10^3)</f>
        <v>1.1217368689585601</v>
      </c>
      <c r="S53" s="11">
        <f>1109.85494670776/(10^3)</f>
        <v>1.1098549467077601</v>
      </c>
      <c r="T53" s="11">
        <f>1088.58381432097/(10^3)</f>
        <v>1.0885838143209701</v>
      </c>
      <c r="U53" s="11">
        <f>1099.82215719183/(10^3)</f>
        <v>1.0998221571918301</v>
      </c>
      <c r="V53" s="11">
        <f>1085.93904064338/(10^3)</f>
        <v>1.08593904064338</v>
      </c>
      <c r="W53" s="11">
        <f>110320.194519781/(10^3)</f>
        <v>110.320194519781</v>
      </c>
      <c r="X53" s="11">
        <f>1109.68173201072/(10^3)</f>
        <v>1.10968173201072</v>
      </c>
      <c r="Y53" s="11">
        <f>1134.08180751061/(10^3)</f>
        <v>1.1340818075106098</v>
      </c>
      <c r="Z53" s="11">
        <f>1189.82180763216/(10^3)</f>
        <v>1.1898218076321601</v>
      </c>
      <c r="AA53" s="11">
        <f>1217.18463810939/(10^3)</f>
        <v>1.21718463810939</v>
      </c>
      <c r="AB53" s="11">
        <f>1223.78757088853/(10^3)</f>
        <v>1.22378757088853</v>
      </c>
      <c r="AC53" s="11">
        <f>12.4801305268222/(10^3)</f>
        <v>1.2480130526822199E-2</v>
      </c>
      <c r="AD53" s="11">
        <f>1286.35183761806/(10^3)</f>
        <v>1.28635183761806</v>
      </c>
      <c r="AE53" s="11">
        <f>1201.14006187984/(10^3)</f>
        <v>1.20114006187984</v>
      </c>
      <c r="AF53" s="11">
        <f>1153.89913405901/(10^3)</f>
        <v>1.1538991340590101</v>
      </c>
      <c r="AG53" s="11">
        <f>1146.04610005641/(10^3)</f>
        <v>1.1460461000564102</v>
      </c>
      <c r="AH53" s="11">
        <f>1193.25437175556/(10^3)</f>
        <v>1.1932543717555599</v>
      </c>
      <c r="AI53" s="11">
        <f>119175.300652932/(10^3)</f>
        <v>119.17530065293199</v>
      </c>
      <c r="AJ53" s="11">
        <f>1166.1705804158/(10^3)</f>
        <v>1.1661705804158</v>
      </c>
      <c r="AK53" s="11">
        <f>1195.30502268116/(10^3)</f>
        <v>1.1953050226811599</v>
      </c>
      <c r="AL53" s="11">
        <f>1293.97239804956/(10^3)</f>
        <v>1.2939723980495601</v>
      </c>
      <c r="AM53" s="11">
        <f>1357.86823578482/(10^3)</f>
        <v>1.35786823578482</v>
      </c>
      <c r="AN53" s="11">
        <f>1418.43661476462/(10^3)</f>
        <v>1.4184366147646199</v>
      </c>
      <c r="AO53" s="11">
        <f>14.3185208730739/(10^3)</f>
        <v>1.4318520873073901E-2</v>
      </c>
      <c r="AP53" s="11">
        <f>1449.58694800563/(10^3)</f>
        <v>1.4495869480056298</v>
      </c>
      <c r="AQ53" s="11">
        <f>1434.74784999829/(10^3)</f>
        <v>1.43474784999829</v>
      </c>
      <c r="AR53" s="11">
        <f>1417.54914232451/(10^3)</f>
        <v>1.4175491423245101</v>
      </c>
      <c r="AS53" s="11">
        <f>1409.62719731745/(10^3)</f>
        <v>1.4096271973174501</v>
      </c>
      <c r="AT53" s="11">
        <f>1387.13659304435/(10^3)</f>
        <v>1.38713659304435</v>
      </c>
      <c r="AU53" s="11">
        <f>137273.007112616/(10^3)</f>
        <v>137.273007112616</v>
      </c>
      <c r="AV53" s="11">
        <f>1414.37700320486/(10^3)</f>
        <v>1.4143770032048602</v>
      </c>
      <c r="AW53" s="11">
        <f>1469.29307622407/(10^3)</f>
        <v>1.4692930762240701</v>
      </c>
      <c r="AX53" s="11">
        <f>1540.68121851195/(10^3)</f>
        <v>1.5406812185119501</v>
      </c>
      <c r="AY53" s="11">
        <f>1577.65006624793/(10^3)</f>
        <v>1.57765006624793</v>
      </c>
      <c r="AZ53" s="11">
        <f>1556.47561805783/(10^3)</f>
        <v>1.5564756180578299</v>
      </c>
      <c r="BA53" s="11">
        <f>15.8648670523104/(10^3)</f>
        <v>1.58648670523104E-2</v>
      </c>
      <c r="BB53" s="11">
        <f>1608.56090404023/(10^3)</f>
        <v>1.60856090404023</v>
      </c>
      <c r="BC53" s="11">
        <f>1564.24313495579/(10^3)</f>
        <v>1.5642431349557901</v>
      </c>
      <c r="BD53" s="11">
        <f>1535.80435952845/(10^3)</f>
        <v>1.5358043595284501</v>
      </c>
      <c r="BE53" s="11">
        <f>1497.70934200472/(10^3)</f>
        <v>1.4977093420047198</v>
      </c>
      <c r="BF53" s="11">
        <f>1474.30761379114/(10^3)</f>
        <v>1.4743076137911399</v>
      </c>
      <c r="BG53" s="11">
        <f>144081.286437705/(10^3)</f>
        <v>144.08128643770502</v>
      </c>
      <c r="BH53" s="11">
        <f>1510.09861555871/(10^3)</f>
        <v>1.5100986155587099</v>
      </c>
      <c r="BI53" s="11">
        <f>1480.49228258266/(10^3)</f>
        <v>1.4804922825826601</v>
      </c>
      <c r="BJ53" s="11">
        <f>1496.15607878596/(10^3)</f>
        <v>1.49615607878596</v>
      </c>
      <c r="BK53" s="11">
        <f>1569.46620114535/(10^3)</f>
        <v>1.56946620114535</v>
      </c>
      <c r="BL53" s="11">
        <f>1619.23915793293/(10^3)</f>
        <v>1.6192391579329302</v>
      </c>
      <c r="BM53" s="11">
        <f>16.4016815778001/(10^3)</f>
        <v>1.6401681577800101E-2</v>
      </c>
      <c r="BN53" s="11">
        <f>1715.15846333245/(10^3)</f>
        <v>1.7151584633324501</v>
      </c>
      <c r="BO53" s="11">
        <f>1660.67684792745/(10^3)</f>
        <v>1.6606768479274499</v>
      </c>
      <c r="BP53" s="11">
        <f>1609.87612409929/(10^3)</f>
        <v>1.60987612409929</v>
      </c>
      <c r="BQ53" s="11">
        <f>1599.25795854645/(10^3)</f>
        <v>1.5992579585464499</v>
      </c>
      <c r="BR53" s="11">
        <f>1610.90645979715/(10^3)</f>
        <v>1.6109064597971501</v>
      </c>
      <c r="BS53" s="11">
        <f>165010.052455181/(10^3)</f>
        <v>165.01005245518098</v>
      </c>
      <c r="BT53" s="11">
        <f>1629.24272303941/(10^3)</f>
        <v>1.62924272303941</v>
      </c>
      <c r="BU53" s="11">
        <f>1673.43729079201/(10^3)</f>
        <v>1.6734372907920099</v>
      </c>
      <c r="BV53" s="11">
        <f>1750.34976686813/(10^3)</f>
        <v>1.75034976686813</v>
      </c>
      <c r="BW53" s="11">
        <f>1819.24947146177/(10^3)</f>
        <v>1.8192494714617702</v>
      </c>
      <c r="BX53" s="11">
        <f>1836.91290054814/(10^3)</f>
        <v>1.8369129005481399</v>
      </c>
      <c r="BY53" s="11">
        <f>19.4036588345203/(10^3)</f>
        <v>1.9403658834520301E-2</v>
      </c>
      <c r="BZ53" s="11">
        <f>1940.36588345203/(10^3)</f>
        <v>1.9403658834520299</v>
      </c>
      <c r="CA53" s="11">
        <f>1805.00066391481/(10^3)</f>
        <v>1.80500066391481</v>
      </c>
      <c r="CB53" s="11">
        <f>1785.13006695511/(10^3)</f>
        <v>1.78513006695511</v>
      </c>
      <c r="CC53" s="12"/>
      <c r="CZ53" s="11">
        <v>1.1026372348776445</v>
      </c>
      <c r="DA53" s="11">
        <v>1.2480130526822151</v>
      </c>
      <c r="DB53" s="11">
        <v>1.4318520873073866</v>
      </c>
      <c r="DC53" s="11">
        <v>1.5864867052310374</v>
      </c>
      <c r="DD53" s="11">
        <v>1.6401681577800111</v>
      </c>
      <c r="DE53" s="11">
        <v>1.9403658834520285</v>
      </c>
      <c r="DG53" s="11">
        <v>0.95789813167484594</v>
      </c>
      <c r="DH53" s="11">
        <v>1.103201945197805</v>
      </c>
      <c r="DI53" s="11">
        <v>1.191753006529324</v>
      </c>
      <c r="DJ53" s="11">
        <v>1.3727300711261607</v>
      </c>
      <c r="DK53" s="11">
        <v>1.4408128643770468</v>
      </c>
      <c r="DL53" s="11">
        <v>1.6501005245518134</v>
      </c>
    </row>
    <row r="54" spans="4:116" outlineLevel="1" x14ac:dyDescent="0.25">
      <c r="D54" s="13" t="s">
        <v>38</v>
      </c>
      <c r="E54" s="13" t="s">
        <v>37</v>
      </c>
      <c r="F54" s="10" t="s">
        <v>149</v>
      </c>
      <c r="G54" s="13"/>
      <c r="H54" s="62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>
        <f>389.443696057955/(10^3)</f>
        <v>0.38944369605795498</v>
      </c>
      <c r="AU54" s="11">
        <f>40177.4369628765/(10^3)</f>
        <v>40.177436962876499</v>
      </c>
      <c r="AV54" s="11">
        <f>412.447723877507/(10^3)</f>
        <v>0.412447723877507</v>
      </c>
      <c r="AW54" s="11">
        <f>400.646561236333/(10^3)</f>
        <v>0.40064656123633302</v>
      </c>
      <c r="AX54" s="11">
        <f>417.449946916623/(10^3)</f>
        <v>0.41744994691662302</v>
      </c>
      <c r="AY54" s="11">
        <f>429.015898128702/(10^3)</f>
        <v>0.429015898128702</v>
      </c>
      <c r="AZ54" s="11">
        <f>442.992754108751/(10^3)</f>
        <v>0.442992754108751</v>
      </c>
      <c r="BA54" s="11">
        <f>4.4093583415624/(10^3)</f>
        <v>4.4093583415623994E-3</v>
      </c>
      <c r="BB54" s="11">
        <f>449.114667259105/(10^3)</f>
        <v>0.44911466725910498</v>
      </c>
      <c r="BC54" s="11">
        <f>406.053489786431/(10^3)</f>
        <v>0.40605348978643097</v>
      </c>
      <c r="BD54" s="11">
        <f>392.968575414119/(10^3)</f>
        <v>0.392968575414119</v>
      </c>
      <c r="BE54" s="11">
        <f>381.246266987048/(10^3)</f>
        <v>0.381246266987048</v>
      </c>
      <c r="BF54" s="11">
        <f>377.73746039264/(10^3)</f>
        <v>0.37773746039264</v>
      </c>
      <c r="BG54" s="11">
        <f>38975.6077244514/(10^3)</f>
        <v>38.9756077244514</v>
      </c>
      <c r="BH54" s="11">
        <f>392.567550568662/(10^3)</f>
        <v>0.39256755056866199</v>
      </c>
      <c r="BI54" s="11">
        <f>393.517279119635/(10^3)</f>
        <v>0.39351727911963502</v>
      </c>
      <c r="BJ54" s="11">
        <f>404.202784027221/(10^3)</f>
        <v>0.40420278402722104</v>
      </c>
      <c r="BK54" s="11">
        <f>414.271904502031/(10^3)</f>
        <v>0.414271904502031</v>
      </c>
      <c r="BL54" s="11">
        <f>419.709234824488/(10^3)</f>
        <v>0.41970923482448802</v>
      </c>
      <c r="BM54" s="11">
        <f>4.29231790228866/(10^3)</f>
        <v>4.2923179022886608E-3</v>
      </c>
      <c r="BN54" s="11">
        <f>427.844503138414/(10^3)</f>
        <v>0.42784450313841399</v>
      </c>
      <c r="BO54" s="11">
        <f>415.938705099346/(10^3)</f>
        <v>0.415938705099346</v>
      </c>
      <c r="BP54" s="11">
        <f>403.429497628233/(10^3)</f>
        <v>0.40342949762823299</v>
      </c>
      <c r="BQ54" s="11">
        <f>392.776534638551/(10^3)</f>
        <v>0.392776534638551</v>
      </c>
      <c r="BR54" s="11">
        <f>396.642518114718/(10^3)</f>
        <v>0.39664251811471796</v>
      </c>
      <c r="BS54" s="11">
        <f>40384.8089066627/(10^3)</f>
        <v>40.384808906662698</v>
      </c>
      <c r="BT54" s="11">
        <f>394.071258663987/(10^3)</f>
        <v>0.39407125866398701</v>
      </c>
      <c r="BU54" s="11">
        <f>401.733177747436/(10^3)</f>
        <v>0.401733177747436</v>
      </c>
      <c r="BV54" s="11">
        <f>427.284926682372/(10^3)</f>
        <v>0.427284926682372</v>
      </c>
      <c r="BW54" s="11">
        <f>444.200710889485/(10^3)</f>
        <v>0.44420071088948498</v>
      </c>
      <c r="BX54" s="11">
        <f>450.741511516152/(10^3)</f>
        <v>0.45074151151615199</v>
      </c>
      <c r="BY54" s="11">
        <f>4.7411415189249/(10^3)</f>
        <v>4.7411415189249004E-3</v>
      </c>
      <c r="BZ54" s="11">
        <f>474.11415189249/(10^3)</f>
        <v>0.47411415189249001</v>
      </c>
      <c r="CA54" s="11">
        <f>443.911007775644/(10^3)</f>
        <v>0.44391100777564402</v>
      </c>
      <c r="CB54" s="11">
        <f>427.034821437318/(10^3)</f>
        <v>0.42703482143731797</v>
      </c>
      <c r="CC54" s="12"/>
      <c r="CZ54" s="11">
        <v>0.33782059090850614</v>
      </c>
      <c r="DA54" s="11">
        <v>0.38609761210957899</v>
      </c>
      <c r="DB54" s="11">
        <v>0.39958156284511143</v>
      </c>
      <c r="DC54" s="11">
        <v>0.44093583415624016</v>
      </c>
      <c r="DD54" s="11">
        <v>0.42923179022886587</v>
      </c>
      <c r="DE54" s="11">
        <v>0.47411415189249051</v>
      </c>
      <c r="DG54" s="11">
        <v>0.36631045398847495</v>
      </c>
      <c r="DH54" s="11">
        <v>0.33987381574883896</v>
      </c>
      <c r="DI54" s="11">
        <v>0.36680440475595855</v>
      </c>
      <c r="DJ54" s="11">
        <v>0.4017743696287655</v>
      </c>
      <c r="DK54" s="11">
        <v>0.38975607724451405</v>
      </c>
      <c r="DL54" s="11">
        <v>0.40384808906662706</v>
      </c>
    </row>
    <row r="55" spans="4:116" outlineLevel="1" x14ac:dyDescent="0.25">
      <c r="D55" s="13" t="s">
        <v>39</v>
      </c>
      <c r="E55" s="13" t="s">
        <v>37</v>
      </c>
      <c r="F55" s="10" t="s">
        <v>149</v>
      </c>
      <c r="G55" s="13"/>
      <c r="H55" s="62"/>
      <c r="I55" s="11">
        <f>911/(10^3)</f>
        <v>0.91100000000000003</v>
      </c>
      <c r="J55" s="11">
        <f>929.784645346033/(10^3)</f>
        <v>0.929784645346033</v>
      </c>
      <c r="K55" s="11">
        <f>95113.7047617576/(10^3)</f>
        <v>95.113704761757603</v>
      </c>
      <c r="L55" s="11">
        <f>926.444709070321/(10^3)</f>
        <v>0.92644470907032095</v>
      </c>
      <c r="M55" s="11">
        <f>931.576202103939/(10^3)</f>
        <v>0.93157620210393899</v>
      </c>
      <c r="N55" s="11">
        <f>903.836242676838/(10^3)</f>
        <v>0.90383624267683793</v>
      </c>
      <c r="O55" s="11">
        <f>890.037959843588/(10^3)</f>
        <v>0.89003795984358802</v>
      </c>
      <c r="P55" s="11">
        <f>909.039495794454/(10^3)</f>
        <v>0.90903949579445398</v>
      </c>
      <c r="Q55" s="11">
        <f>9.15195119457103/(10^3)</f>
        <v>9.1519511945710296E-3</v>
      </c>
      <c r="R55" s="11">
        <f>918.699738923377/(10^3)</f>
        <v>0.91869973892337697</v>
      </c>
      <c r="S55" s="11">
        <f>934.366205101884/(10^3)</f>
        <v>0.93436620510188406</v>
      </c>
      <c r="T55" s="11">
        <f>971.973984547436/(10^3)</f>
        <v>0.971973984547436</v>
      </c>
      <c r="U55" s="11">
        <f>976.789801166597/(10^3)</f>
        <v>0.97678980116659708</v>
      </c>
      <c r="V55" s="11">
        <f>951.32719467794/(10^3)</f>
        <v>0.95132719467794002</v>
      </c>
      <c r="W55" s="11">
        <f>97225.0013890901/(10^3)</f>
        <v>97.225001389090096</v>
      </c>
      <c r="X55" s="11">
        <f>1006.68821014699/(10^3)</f>
        <v>1.0066882101469898</v>
      </c>
      <c r="Y55" s="11">
        <f>1003.35941708334/(10^3)</f>
        <v>1.00335941708334</v>
      </c>
      <c r="Z55" s="11">
        <f>1082.27336765002/(10^3)</f>
        <v>1.08227336765002</v>
      </c>
      <c r="AA55" s="11">
        <f>1105.97527357028/(10^3)</f>
        <v>1.1059752735702799</v>
      </c>
      <c r="AB55" s="11">
        <f>1120.71288576052/(10^3)</f>
        <v>1.12071288576052</v>
      </c>
      <c r="AC55" s="11">
        <f>11.6152551064305/(10^3)</f>
        <v>1.16152551064305E-2</v>
      </c>
      <c r="AD55" s="11">
        <f>1186.96203145137/(10^3)</f>
        <v>1.18696203145137</v>
      </c>
      <c r="AE55" s="11">
        <f>1157.76316083901/(10^3)</f>
        <v>1.15776316083901</v>
      </c>
      <c r="AF55" s="11">
        <f>1122.65447648807/(10^3)</f>
        <v>1.1226544764880699</v>
      </c>
      <c r="AG55" s="11">
        <f>1098.37325172022/(10^3)</f>
        <v>1.09837325172022</v>
      </c>
      <c r="AH55" s="11">
        <f>1089.1078365202/(10^3)</f>
        <v>1.0891078365202</v>
      </c>
      <c r="AI55" s="11">
        <f>112296.363302592/(10^3)</f>
        <v>112.296363302592</v>
      </c>
      <c r="AJ55" s="11">
        <f>1135.14433789477/(10^3)</f>
        <v>1.1351443378947699</v>
      </c>
      <c r="AK55" s="11">
        <f>1150.78982562766/(10^3)</f>
        <v>1.1507898256276601</v>
      </c>
      <c r="AL55" s="11">
        <f>1212.76365942874/(10^3)</f>
        <v>1.2127636594287401</v>
      </c>
      <c r="AM55" s="11">
        <f>1231.90624776259/(10^3)</f>
        <v>1.2319062477625899</v>
      </c>
      <c r="AN55" s="11">
        <f>1245.1167844782/(10^3)</f>
        <v>1.2451167844782001</v>
      </c>
      <c r="AO55" s="11">
        <f>12.637350779032/(10^3)</f>
        <v>1.2637350779031999E-2</v>
      </c>
      <c r="AP55" s="11">
        <f>1323.81139204964/(10^3)</f>
        <v>1.3238113920496402</v>
      </c>
      <c r="AQ55" s="11">
        <f>1307.72390143189/(10^3)</f>
        <v>1.30772390143189</v>
      </c>
      <c r="AR55" s="11">
        <f>1285.39433085101/(10^3)</f>
        <v>1.2853943308510098</v>
      </c>
      <c r="AS55" s="11">
        <f>1281.93434602376/(10^3)</f>
        <v>1.28193434602376</v>
      </c>
      <c r="AT55" s="11">
        <f>1320.59885677334/(10^3)</f>
        <v>1.32059885677334</v>
      </c>
      <c r="AU55" s="11">
        <f>130387.863418364/(10^3)</f>
        <v>130.38786341836399</v>
      </c>
      <c r="AV55" s="11">
        <f>1325.31983969276/(10^3)</f>
        <v>1.3253198396927601</v>
      </c>
      <c r="AW55" s="11">
        <f>1386.99497747716/(10^3)</f>
        <v>1.3869949774771602</v>
      </c>
      <c r="AX55" s="11">
        <f>1439.03771561094/(10^3)</f>
        <v>1.43903771561094</v>
      </c>
      <c r="AY55" s="11">
        <f>1445.0392583072/(10^3)</f>
        <v>1.4450392583072</v>
      </c>
      <c r="AZ55" s="11">
        <f>1472.45643944109/(10^3)</f>
        <v>1.4724564394410899</v>
      </c>
      <c r="BA55" s="11">
        <f>15.3820766465899/(10^3)</f>
        <v>1.5382076646589899E-2</v>
      </c>
      <c r="BB55" s="11">
        <f>1528.76266541697/(10^3)</f>
        <v>1.5287626654169701</v>
      </c>
      <c r="BC55" s="11">
        <f>1394.62109777693/(10^3)</f>
        <v>1.39462109777693</v>
      </c>
      <c r="BD55" s="11">
        <f>1352.76612163299/(10^3)</f>
        <v>1.35276612163299</v>
      </c>
      <c r="BE55" s="11">
        <f>1318.91355525399/(10^3)</f>
        <v>1.3189135552539899</v>
      </c>
      <c r="BF55" s="11">
        <f>1315.61427933412/(10^3)</f>
        <v>1.3156142793341201</v>
      </c>
      <c r="BG55" s="11">
        <f>128038.257613849/(10^3)</f>
        <v>128.038257613849</v>
      </c>
      <c r="BH55" s="11">
        <f>1266.77043713186/(10^3)</f>
        <v>1.26677043713186</v>
      </c>
      <c r="BI55" s="11">
        <f>1246.78172957185/(10^3)</f>
        <v>1.24678172957185</v>
      </c>
      <c r="BJ55" s="11">
        <f>1352.64000520281/(10^3)</f>
        <v>1.35264000520281</v>
      </c>
      <c r="BK55" s="11">
        <f>1376.00135796605/(10^3)</f>
        <v>1.3760013579660499</v>
      </c>
      <c r="BL55" s="11">
        <f>1389.41680615711/(10^3)</f>
        <v>1.3894168061571099</v>
      </c>
      <c r="BM55" s="11">
        <f>14.2400666606034/(10^3)</f>
        <v>1.4240066660603399E-2</v>
      </c>
      <c r="BN55" s="11">
        <f>1457.44559430998/(10^3)</f>
        <v>1.45744559430998</v>
      </c>
      <c r="BO55" s="11">
        <f>1401.86330211573/(10^3)</f>
        <v>1.4018633021157301</v>
      </c>
      <c r="BP55" s="11">
        <f>1332.20628033867/(10^3)</f>
        <v>1.3322062803386701</v>
      </c>
      <c r="BQ55" s="11">
        <f>1312.34024665061/(10^3)</f>
        <v>1.31234024665061</v>
      </c>
      <c r="BR55" s="11">
        <f>1289.5412112505/(10^3)</f>
        <v>1.2895412112505</v>
      </c>
      <c r="BS55" s="11">
        <f>127441.585886279/(10^3)</f>
        <v>127.441585886279</v>
      </c>
      <c r="BT55" s="11">
        <f>1247.13392967625/(10^3)</f>
        <v>1.24713392967625</v>
      </c>
      <c r="BU55" s="11">
        <f>1270.60820371558/(10^3)</f>
        <v>1.2706082037155799</v>
      </c>
      <c r="BV55" s="11">
        <f>1295.7112189662/(10^3)</f>
        <v>1.2957112189662001</v>
      </c>
      <c r="BW55" s="11">
        <f>1332.50543393895/(10^3)</f>
        <v>1.3325054339389502</v>
      </c>
      <c r="BX55" s="11">
        <f>1369.96736250334/(10^3)</f>
        <v>1.3699673625033399</v>
      </c>
      <c r="BY55" s="11">
        <f>13.5118877269043/(10^3)</f>
        <v>1.3511887726904301E-2</v>
      </c>
      <c r="BZ55" s="11">
        <f>1351.18877269043/(10^3)</f>
        <v>1.3511887726904299</v>
      </c>
      <c r="CA55" s="11">
        <f>1274.75644088493/(10^3)</f>
        <v>1.2747564408849301</v>
      </c>
      <c r="CB55" s="11">
        <f>1246.7511109937/(10^3)</f>
        <v>1.2467511109937</v>
      </c>
      <c r="CC55" s="12"/>
      <c r="CZ55" s="11">
        <v>0.91519511945710297</v>
      </c>
      <c r="DA55" s="11">
        <v>1.1615255106430487</v>
      </c>
      <c r="DB55" s="11">
        <v>1.2637350779031962</v>
      </c>
      <c r="DC55" s="11">
        <v>1.5382076646589944</v>
      </c>
      <c r="DD55" s="11">
        <v>1.424006666060339</v>
      </c>
      <c r="DE55" s="11">
        <v>1.3511887726904321</v>
      </c>
      <c r="DG55" s="11">
        <v>0.95113704761757623</v>
      </c>
      <c r="DH55" s="11">
        <v>0.97225001389090149</v>
      </c>
      <c r="DI55" s="11">
        <v>1.1229636330259209</v>
      </c>
      <c r="DJ55" s="11">
        <v>1.3038786341836373</v>
      </c>
      <c r="DK55" s="11">
        <v>1.2803825761384939</v>
      </c>
      <c r="DL55" s="11">
        <v>1.2744158588627932</v>
      </c>
    </row>
    <row r="56" spans="4:116" outlineLevel="1" x14ac:dyDescent="0.25">
      <c r="D56" s="13" t="s">
        <v>40</v>
      </c>
      <c r="E56" s="13" t="s">
        <v>25</v>
      </c>
      <c r="F56" s="10" t="s">
        <v>149</v>
      </c>
      <c r="G56" s="13"/>
      <c r="H56" s="62"/>
      <c r="I56" s="11">
        <f>1558/(10^3)</f>
        <v>1.5580000000000001</v>
      </c>
      <c r="J56" s="11">
        <f>1567.48190831713/(10^3)</f>
        <v>1.5674819083171301</v>
      </c>
      <c r="K56" s="11">
        <f>163187.488846896/(10^3)</f>
        <v>163.187488846896</v>
      </c>
      <c r="L56" s="11">
        <f>1699.13371083739/(10^3)</f>
        <v>1.6991337108373901</v>
      </c>
      <c r="M56" s="11">
        <f>1651.72489868738/(10^3)</f>
        <v>1.6517248986873798</v>
      </c>
      <c r="N56" s="11">
        <f>1652.19855927112/(10^3)</f>
        <v>1.6521985592711201</v>
      </c>
      <c r="O56" s="11">
        <f>1691.80561325708/(10^3)</f>
        <v>1.69180561325708</v>
      </c>
      <c r="P56" s="11">
        <f>1774.38200205163/(10^3)</f>
        <v>1.7743820020516301</v>
      </c>
      <c r="Q56" s="11">
        <f>18.220306753705/(10^3)</f>
        <v>1.8220306753705E-2</v>
      </c>
      <c r="R56" s="11">
        <f>1813.44296929975/(10^3)</f>
        <v>1.81344296929975</v>
      </c>
      <c r="S56" s="11">
        <f>1853.33722507494/(10^3)</f>
        <v>1.85333722507494</v>
      </c>
      <c r="T56" s="11">
        <f>1860.21985645612/(10^3)</f>
        <v>1.8602198564561199</v>
      </c>
      <c r="U56" s="11">
        <f>1831.86554747474/(10^3)</f>
        <v>1.8318655474747401</v>
      </c>
      <c r="V56" s="11">
        <f>1868.83956344532/(10^3)</f>
        <v>1.8688395634453199</v>
      </c>
      <c r="W56" s="11">
        <f>192130.51860045/(10^3)</f>
        <v>192.13051860045002</v>
      </c>
      <c r="X56" s="11">
        <f>1913.15811275904/(10^3)</f>
        <v>1.91315811275904</v>
      </c>
      <c r="Y56" s="11">
        <f>1959.59804170611/(10^3)</f>
        <v>1.9595980417061101</v>
      </c>
      <c r="Z56" s="11">
        <f>2063.24908892692/(10^3)</f>
        <v>2.0632490889269204</v>
      </c>
      <c r="AA56" s="11">
        <f>2102.86322908892/(10^3)</f>
        <v>2.10286322908892</v>
      </c>
      <c r="AB56" s="11">
        <f>2155.89962383059/(10^3)</f>
        <v>2.1558996238305901</v>
      </c>
      <c r="AC56" s="11">
        <f>22.2345663259935/(10^3)</f>
        <v>2.22345663259935E-2</v>
      </c>
      <c r="AD56" s="11">
        <f>2196.57690871824/(10^3)</f>
        <v>2.1965769087182396</v>
      </c>
      <c r="AE56" s="11">
        <f>2191.52081053808/(10^3)</f>
        <v>2.1915208105380799</v>
      </c>
      <c r="AF56" s="11">
        <f>2168.76751981504/(10^3)</f>
        <v>2.1687675198150402</v>
      </c>
      <c r="AG56" s="11">
        <f>2117.79715565188/(10^3)</f>
        <v>2.1177971556518802</v>
      </c>
      <c r="AH56" s="11">
        <f>2177.90867845956/(10^3)</f>
        <v>2.17790867845956</v>
      </c>
      <c r="AI56" s="11">
        <f>221033.285158578/(10^3)</f>
        <v>221.033285158578</v>
      </c>
      <c r="AJ56" s="11">
        <f>2195.3202589768/(10^3)</f>
        <v>2.1953202589767997</v>
      </c>
      <c r="AK56" s="11">
        <f>2206.46441409035/(10^3)</f>
        <v>2.20646441409035</v>
      </c>
      <c r="AL56" s="11">
        <f>2316.10455536921/(10^3)</f>
        <v>2.3161045553692103</v>
      </c>
      <c r="AM56" s="11">
        <f>2363.14520687273/(10^3)</f>
        <v>2.3631452068727299</v>
      </c>
      <c r="AN56" s="11">
        <f>2424.84564326821/(10^3)</f>
        <v>2.4248456432682102</v>
      </c>
      <c r="AO56" s="11">
        <f>25.4605804552113/(10^3)</f>
        <v>2.5460580455211299E-2</v>
      </c>
      <c r="AP56" s="11">
        <f>2553.2746867463/(10^3)</f>
        <v>2.5532746867463003</v>
      </c>
      <c r="AQ56" s="11">
        <f>2482.67905710932/(10^3)</f>
        <v>2.48267905710932</v>
      </c>
      <c r="AR56" s="11">
        <f>2475.64824601126/(10^3)</f>
        <v>2.4756482460112603</v>
      </c>
      <c r="AS56" s="11">
        <f>2474.25707667216/(10^3)</f>
        <v>2.4742570766721603</v>
      </c>
      <c r="AT56" s="11">
        <f>2585.17995541829/(10^3)</f>
        <v>2.5851799554182899</v>
      </c>
      <c r="AU56" s="11">
        <f>252979.695658292/(10^3)</f>
        <v>252.979695658292</v>
      </c>
      <c r="AV56" s="11">
        <f>2546.45856592832/(10^3)</f>
        <v>2.5464585659283197</v>
      </c>
      <c r="AW56" s="11">
        <f>2479.57012964535/(10^3)</f>
        <v>2.4795701296453498</v>
      </c>
      <c r="AX56" s="11">
        <f>2526.71430734478/(10^3)</f>
        <v>2.52671430734478</v>
      </c>
      <c r="AY56" s="11">
        <f>2581.03256545888/(10^3)</f>
        <v>2.5810325654588802</v>
      </c>
      <c r="AZ56" s="11">
        <f>2550.1071633751/(10^3)</f>
        <v>2.5501071633750998</v>
      </c>
      <c r="BA56" s="11">
        <f>25.9394777269304/(10^3)</f>
        <v>2.59394777269304E-2</v>
      </c>
      <c r="BB56" s="11">
        <f>2709.1970783145/(10^3)</f>
        <v>2.7091970783144999</v>
      </c>
      <c r="BC56" s="11">
        <f>2637.40808092003/(10^3)</f>
        <v>2.63740808092003</v>
      </c>
      <c r="BD56" s="11">
        <f>2612.29023006534/(10^3)</f>
        <v>2.6122902300653399</v>
      </c>
      <c r="BE56" s="11">
        <f>2588.08670152117/(10^3)</f>
        <v>2.5880867015211702</v>
      </c>
      <c r="BF56" s="11">
        <f>2647.18848737259/(10^3)</f>
        <v>2.6471884873725897</v>
      </c>
      <c r="BG56" s="11">
        <f>272658.782013129/(10^3)</f>
        <v>272.65878201312898</v>
      </c>
      <c r="BH56" s="11">
        <f>2712.6675206292/(10^3)</f>
        <v>2.7126675206292004</v>
      </c>
      <c r="BI56" s="11">
        <f>2756.78791344805/(10^3)</f>
        <v>2.7567879134480497</v>
      </c>
      <c r="BJ56" s="11">
        <f>2764.94153505839/(10^3)</f>
        <v>2.7649415350583899</v>
      </c>
      <c r="BK56" s="11">
        <f>2846.48100357834/(10^3)</f>
        <v>2.8464810035783397</v>
      </c>
      <c r="BL56" s="11">
        <f>2902.13180321441/(10^3)</f>
        <v>2.9021318032144099</v>
      </c>
      <c r="BM56" s="11">
        <f>29.3593729496169/(10^3)</f>
        <v>2.9359372949616901E-2</v>
      </c>
      <c r="BN56" s="11">
        <f>3048.25193153766/(10^3)</f>
        <v>3.0482519315376599</v>
      </c>
      <c r="BO56" s="11">
        <f>2928.82921546485/(10^3)</f>
        <v>2.9288292154648503</v>
      </c>
      <c r="BP56" s="11">
        <f>2916.2616112611/(10^3)</f>
        <v>2.9162616112611</v>
      </c>
      <c r="BQ56" s="11">
        <f>2849.12196621876/(10^3)</f>
        <v>2.8491219662187599</v>
      </c>
      <c r="BR56" s="11">
        <f>2917.81454087546/(10^3)</f>
        <v>2.9178145408754599</v>
      </c>
      <c r="BS56" s="11">
        <f>302554.939129844/(10^3)</f>
        <v>302.554939129844</v>
      </c>
      <c r="BT56" s="11">
        <f>3176.05706518595/(10^3)</f>
        <v>3.1760570651859497</v>
      </c>
      <c r="BU56" s="11">
        <f>3152.71559502037/(10^3)</f>
        <v>3.15271559502037</v>
      </c>
      <c r="BV56" s="11">
        <f>3432.96979899864/(10^3)</f>
        <v>3.4329697989986396</v>
      </c>
      <c r="BW56" s="11">
        <f>3468.96338417003/(10^3)</f>
        <v>3.46896338417003</v>
      </c>
      <c r="BX56" s="11">
        <f>3567.55930320539/(10^3)</f>
        <v>3.5675593032053898</v>
      </c>
      <c r="BY56" s="11">
        <f>36.413688041782/(10^3)</f>
        <v>3.6413688041782001E-2</v>
      </c>
      <c r="BZ56" s="11">
        <f>3641.3688041782/(10^3)</f>
        <v>3.6413688041782004</v>
      </c>
      <c r="CA56" s="11">
        <f>3498.08945655543/(10^3)</f>
        <v>3.4980894565554301</v>
      </c>
      <c r="CB56" s="11">
        <f>3369.19807707513/(10^3)</f>
        <v>3.3691980770751302</v>
      </c>
      <c r="CC56" s="12"/>
      <c r="CZ56" s="11">
        <v>1.8220306753705036</v>
      </c>
      <c r="DA56" s="11">
        <v>2.2234566325993494</v>
      </c>
      <c r="DB56" s="11">
        <v>2.5460580455211281</v>
      </c>
      <c r="DC56" s="11">
        <v>2.5939477726930411</v>
      </c>
      <c r="DD56" s="11">
        <v>2.9359372949616866</v>
      </c>
      <c r="DE56" s="11">
        <v>3.6413688041781986</v>
      </c>
      <c r="DG56" s="11">
        <v>1.6318748884689582</v>
      </c>
      <c r="DH56" s="11">
        <v>1.9213051860044967</v>
      </c>
      <c r="DI56" s="11">
        <v>2.2103328515857794</v>
      </c>
      <c r="DJ56" s="11">
        <v>2.5297969565829215</v>
      </c>
      <c r="DK56" s="11">
        <v>2.7265878201312881</v>
      </c>
      <c r="DL56" s="11">
        <v>3.0255493912984406</v>
      </c>
    </row>
    <row r="57" spans="4:116" outlineLevel="1" x14ac:dyDescent="0.25">
      <c r="D57" s="13" t="s">
        <v>42</v>
      </c>
      <c r="E57" s="13" t="s">
        <v>41</v>
      </c>
      <c r="F57" s="10" t="s">
        <v>149</v>
      </c>
      <c r="G57" s="13"/>
      <c r="H57" s="62"/>
      <c r="I57" s="11">
        <f>1181/(10^3)</f>
        <v>1.181</v>
      </c>
      <c r="J57" s="11">
        <f>1219.9612082293/(10^3)</f>
        <v>1.2199612082292999</v>
      </c>
      <c r="K57" s="11">
        <f>126525.573617843/(10^3)</f>
        <v>126.52557361784299</v>
      </c>
      <c r="L57" s="11">
        <f>1296.37098004101/(10^3)</f>
        <v>1.2963709800410099</v>
      </c>
      <c r="M57" s="11">
        <f>1334.9869345619/(10^3)</f>
        <v>1.3349869345618999</v>
      </c>
      <c r="N57" s="11">
        <f>1433.25715559824/(10^3)</f>
        <v>1.4332571555982399</v>
      </c>
      <c r="O57" s="11">
        <f>1436.80677205082/(10^3)</f>
        <v>1.43680677205082</v>
      </c>
      <c r="P57" s="11">
        <f>1439.35038815341/(10^3)</f>
        <v>1.43935038815341</v>
      </c>
      <c r="Q57" s="11">
        <f>15.0488197248659/(10^3)</f>
        <v>1.5048819724865901E-2</v>
      </c>
      <c r="R57" s="11">
        <f>1564.62919541033/(10^3)</f>
        <v>1.5646291954103302</v>
      </c>
      <c r="S57" s="11">
        <f>1534.97458788938/(10^3)</f>
        <v>1.5349745878893801</v>
      </c>
      <c r="T57" s="11">
        <f>1526.44211000183/(10^3)</f>
        <v>1.5264421100018302</v>
      </c>
      <c r="U57" s="11">
        <f>1512.97278046032/(10^3)</f>
        <v>1.5129727804603201</v>
      </c>
      <c r="V57" s="11">
        <f>1575.54921198724/(10^3)</f>
        <v>1.5755492119872399</v>
      </c>
      <c r="W57" s="11">
        <f>162882.322546874/(10^3)</f>
        <v>162.88232254687401</v>
      </c>
      <c r="X57" s="11">
        <f>1703.96474298919/(10^3)</f>
        <v>1.70396474298919</v>
      </c>
      <c r="Y57" s="11">
        <f>1688.02104958428/(10^3)</f>
        <v>1.68802104958428</v>
      </c>
      <c r="Z57" s="11">
        <f>1831.39648477847/(10^3)</f>
        <v>1.8313964847784701</v>
      </c>
      <c r="AA57" s="11">
        <f>1882.54065421586/(10^3)</f>
        <v>1.88254065421586</v>
      </c>
      <c r="AB57" s="11">
        <f>1943.92907943389/(10^3)</f>
        <v>1.9439290794338899</v>
      </c>
      <c r="AC57" s="11">
        <f>19.6682559223364/(10^3)</f>
        <v>1.9668255922336401E-2</v>
      </c>
      <c r="AD57" s="11">
        <f>1970.23200209253/(10^3)</f>
        <v>1.9702320020925299</v>
      </c>
      <c r="AE57" s="11">
        <f>1948.25802570935/(10^3)</f>
        <v>1.94825802570935</v>
      </c>
      <c r="AF57" s="11">
        <f>1896.66665162838/(10^3)</f>
        <v>1.8966666516283799</v>
      </c>
      <c r="AG57" s="11">
        <f>1879.1502413922/(10^3)</f>
        <v>1.8791502413922001</v>
      </c>
      <c r="AH57" s="11">
        <f>1874.91767843922/(10^3)</f>
        <v>1.8749176784392201</v>
      </c>
      <c r="AI57" s="11">
        <f>191660.393689585/(10^3)</f>
        <v>191.66039368958499</v>
      </c>
      <c r="AJ57" s="11">
        <f>1945.31041778872/(10^3)</f>
        <v>1.9453104177887202</v>
      </c>
      <c r="AK57" s="11">
        <f>2017.61528621659/(10^3)</f>
        <v>2.0176152862165901</v>
      </c>
      <c r="AL57" s="11">
        <f>2065.75503869047/(10^3)</f>
        <v>2.0657550386904702</v>
      </c>
      <c r="AM57" s="11">
        <f>2151.76510836016/(10^3)</f>
        <v>2.1517651083601601</v>
      </c>
      <c r="AN57" s="11">
        <f>2162.87328938766/(10^3)</f>
        <v>2.1628732893876599</v>
      </c>
      <c r="AO57" s="11">
        <f>21.6931880471385/(10^3)</f>
        <v>2.16931880471385E-2</v>
      </c>
      <c r="AP57" s="11">
        <f>2180.48945711257/(10^3)</f>
        <v>2.1804894571125701</v>
      </c>
      <c r="AQ57" s="11">
        <f>2044.93522264268/(10^3)</f>
        <v>2.04493522264268</v>
      </c>
      <c r="AR57" s="11">
        <f>1989.88182665091/(10^3)</f>
        <v>1.98988182665091</v>
      </c>
      <c r="AS57" s="11">
        <f>1983.90284503599/(10^3)</f>
        <v>1.9839028450359899</v>
      </c>
      <c r="AT57" s="11">
        <f>2024.91005495767/(10^3)</f>
        <v>2.0249100549576697</v>
      </c>
      <c r="AU57" s="11">
        <f>210026.350807148/(10^3)</f>
        <v>210.02635080714799</v>
      </c>
      <c r="AV57" s="11">
        <f>2195.82157027198/(10^3)</f>
        <v>2.1958215702719799</v>
      </c>
      <c r="AW57" s="11">
        <f>2273.62927946569/(10^3)</f>
        <v>2.2736292794656903</v>
      </c>
      <c r="AX57" s="11">
        <f>2219.26708820641/(10^3)</f>
        <v>2.2192670882064101</v>
      </c>
      <c r="AY57" s="11">
        <f>2264.34071648879/(10^3)</f>
        <v>2.2643407164887899</v>
      </c>
      <c r="AZ57" s="11">
        <f>2371.22645302901/(10^3)</f>
        <v>2.3712264530290099</v>
      </c>
      <c r="BA57" s="11">
        <f>24.7239087995042/(10^3)</f>
        <v>2.4723908799504202E-2</v>
      </c>
      <c r="BB57" s="11">
        <f>2527.30472184413/(10^3)</f>
        <v>2.5273047218441302</v>
      </c>
      <c r="BC57" s="11">
        <f>2461.05954104078/(10^3)</f>
        <v>2.4610595410407798</v>
      </c>
      <c r="BD57" s="11">
        <f>2457.53351839774/(10^3)</f>
        <v>2.45753351839774</v>
      </c>
      <c r="BE57" s="11">
        <f>2455.10163656615/(10^3)</f>
        <v>2.45510163656615</v>
      </c>
      <c r="BF57" s="11">
        <f>2385.33029700062/(10^3)</f>
        <v>2.3853302970006198</v>
      </c>
      <c r="BG57" s="11">
        <f>246891.61413142/(10^3)</f>
        <v>246.89161413142</v>
      </c>
      <c r="BH57" s="11">
        <f>2401.84023087682/(10^3)</f>
        <v>2.4018402308768199</v>
      </c>
      <c r="BI57" s="11">
        <f>2340.82955886815/(10^3)</f>
        <v>2.3408295588681498</v>
      </c>
      <c r="BJ57" s="11">
        <f>2383.25353739777/(10^3)</f>
        <v>2.3832535373977697</v>
      </c>
      <c r="BK57" s="11">
        <f>2463.22951869769/(10^3)</f>
        <v>2.4632295186976898</v>
      </c>
      <c r="BL57" s="11">
        <f>2494.08895872757/(10^3)</f>
        <v>2.4940889587275703</v>
      </c>
      <c r="BM57" s="11">
        <f>25.4243265869252/(10^3)</f>
        <v>2.54243265869252E-2</v>
      </c>
      <c r="BN57" s="11">
        <f>2601.89279011451/(10^3)</f>
        <v>2.6018927901145097</v>
      </c>
      <c r="BO57" s="11">
        <f>2579.08582691684/(10^3)</f>
        <v>2.57908582691684</v>
      </c>
      <c r="BP57" s="11">
        <f>2534.19965599869/(10^3)</f>
        <v>2.5341996559986901</v>
      </c>
      <c r="BQ57" s="11">
        <f>2481.91453767161/(10^3)</f>
        <v>2.4819145376716101</v>
      </c>
      <c r="BR57" s="11">
        <f>2588.89440751928/(10^3)</f>
        <v>2.5888944075192799</v>
      </c>
      <c r="BS57" s="11">
        <f>271559.122916917/(10^3)</f>
        <v>271.55912291691703</v>
      </c>
      <c r="BT57" s="11">
        <f>2800.43868153584/(10^3)</f>
        <v>2.80043868153584</v>
      </c>
      <c r="BU57" s="11">
        <f>2786.34996847675/(10^3)</f>
        <v>2.7863499684767499</v>
      </c>
      <c r="BV57" s="11">
        <f>3053.61237530859/(10^3)</f>
        <v>3.0536123753085898</v>
      </c>
      <c r="BW57" s="11">
        <f>3116.09823804558/(10^3)</f>
        <v>3.1160982380455797</v>
      </c>
      <c r="BX57" s="11">
        <f>3244.26162722819/(10^3)</f>
        <v>3.2442616272281897</v>
      </c>
      <c r="BY57" s="11">
        <f>33.3188928170236/(10^3)</f>
        <v>3.3318892817023604E-2</v>
      </c>
      <c r="BZ57" s="11">
        <f>3331.88928170236/(10^3)</f>
        <v>3.3318892817023604</v>
      </c>
      <c r="CA57" s="11">
        <f>3181.57483834771/(10^3)</f>
        <v>3.1815748383477098</v>
      </c>
      <c r="CB57" s="11">
        <f>3049.16725278923/(10^3)</f>
        <v>3.0491672527892302</v>
      </c>
      <c r="CC57" s="12"/>
      <c r="CZ57" s="11">
        <v>1.5048819724865885</v>
      </c>
      <c r="DA57" s="11">
        <v>1.9668255922336393</v>
      </c>
      <c r="DB57" s="11">
        <v>2.1693188047138463</v>
      </c>
      <c r="DC57" s="11">
        <v>2.4723908799504235</v>
      </c>
      <c r="DD57" s="11">
        <v>2.5424326586925154</v>
      </c>
      <c r="DE57" s="11">
        <v>3.3318892817023578</v>
      </c>
      <c r="DG57" s="11">
        <v>1.2652557361784278</v>
      </c>
      <c r="DH57" s="11">
        <v>1.6288232254687378</v>
      </c>
      <c r="DI57" s="11">
        <v>1.9166039368958481</v>
      </c>
      <c r="DJ57" s="11">
        <v>2.1002635080714809</v>
      </c>
      <c r="DK57" s="11">
        <v>2.4689161413142027</v>
      </c>
      <c r="DL57" s="11">
        <v>2.7155912291691666</v>
      </c>
    </row>
    <row r="58" spans="4:116" outlineLevel="1" x14ac:dyDescent="0.25">
      <c r="D58" s="13" t="s">
        <v>44</v>
      </c>
      <c r="E58" s="13" t="s">
        <v>43</v>
      </c>
      <c r="F58" s="10" t="s">
        <v>150</v>
      </c>
      <c r="G58" s="13"/>
      <c r="H58" s="6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>
        <f>595.023717521618/(10^3)</f>
        <v>0.59502371752161798</v>
      </c>
      <c r="AQ58" s="11">
        <f>588.157479126615/(10^3)</f>
        <v>0.58815747912661509</v>
      </c>
      <c r="AR58" s="11">
        <f>582.413926362717/(10^3)</f>
        <v>0.58241392636271705</v>
      </c>
      <c r="AS58" s="11">
        <f>571.365648868333/(10^3)</f>
        <v>0.57136564886833296</v>
      </c>
      <c r="AT58" s="11">
        <f>592.944835011345/(10^3)</f>
        <v>0.59294483501134509</v>
      </c>
      <c r="AU58" s="11">
        <f>58830.9301056292/(10^3)</f>
        <v>58.8309301056292</v>
      </c>
      <c r="AV58" s="11">
        <f>608.770903326213/(10^3)</f>
        <v>0.60877090332621298</v>
      </c>
      <c r="AW58" s="11">
        <f>631.074307762379/(10^3)</f>
        <v>0.63107430776237905</v>
      </c>
      <c r="AX58" s="11">
        <f>660.993747623399/(10^3)</f>
        <v>0.66099374762339902</v>
      </c>
      <c r="AY58" s="11">
        <f>692.069815796519/(10^3)</f>
        <v>0.69206981579651905</v>
      </c>
      <c r="AZ58" s="11">
        <f>723.3055774514/(10^3)</f>
        <v>0.72330557745140001</v>
      </c>
      <c r="BA58" s="11">
        <f>7.54666379637997/(10^3)</f>
        <v>7.5466637963799692E-3</v>
      </c>
      <c r="BB58" s="11">
        <f>765.021123472797/(10^3)</f>
        <v>0.76502112347279694</v>
      </c>
      <c r="BC58" s="11">
        <f>741.095207443444/(10^3)</f>
        <v>0.74109520744344404</v>
      </c>
      <c r="BD58" s="11">
        <f>729.767648784953/(10^3)</f>
        <v>0.72976764878495304</v>
      </c>
      <c r="BE58" s="11">
        <f>708.104160112155/(10^3)</f>
        <v>0.70810416011215505</v>
      </c>
      <c r="BF58" s="11">
        <f>728.14775061401/(10^3)</f>
        <v>0.72814775061400994</v>
      </c>
      <c r="BG58" s="11">
        <f>71955.6312909293/(10^3)</f>
        <v>71.955631290929304</v>
      </c>
      <c r="BH58" s="11">
        <f>706.843336571324/(10^3)</f>
        <v>0.70684333657132403</v>
      </c>
      <c r="BI58" s="11">
        <f>722.756057929155/(10^3)</f>
        <v>0.72275605792915498</v>
      </c>
      <c r="BJ58" s="11">
        <f>778.71299604048/(10^3)</f>
        <v>0.77871299604047994</v>
      </c>
      <c r="BK58" s="11">
        <f>793.347714231594/(10^3)</f>
        <v>0.793347714231594</v>
      </c>
      <c r="BL58" s="11">
        <f>824.452557178158/(10^3)</f>
        <v>0.82445255717815802</v>
      </c>
      <c r="BM58" s="11">
        <f>8.63137721215508/(10^3)</f>
        <v>8.6313772121550791E-3</v>
      </c>
      <c r="BN58" s="11">
        <f>860.808410650113/(10^3)</f>
        <v>0.86080841065011304</v>
      </c>
      <c r="BO58" s="11">
        <f>834.078165936406/(10^3)</f>
        <v>0.83407816593640594</v>
      </c>
      <c r="BP58" s="11">
        <f>821.907932667434/(10^3)</f>
        <v>0.821907932667434</v>
      </c>
      <c r="BQ58" s="11">
        <f>817.560589513018/(10^3)</f>
        <v>0.81756058951301802</v>
      </c>
      <c r="BR58" s="11">
        <f>824.612863633688/(10^3)</f>
        <v>0.82461286363368802</v>
      </c>
      <c r="BS58" s="11">
        <f>83343.3288207731/(10^3)</f>
        <v>83.343328820773095</v>
      </c>
      <c r="BT58" s="11">
        <f>872.423584317973/(10^3)</f>
        <v>0.87242358431797296</v>
      </c>
      <c r="BU58" s="11">
        <f>883.819739395926/(10^3)</f>
        <v>0.88381973939592606</v>
      </c>
      <c r="BV58" s="11">
        <f>892.030423249733/(10^3)</f>
        <v>0.89203042324973292</v>
      </c>
      <c r="BW58" s="11">
        <f>927.610786351593/(10^3)</f>
        <v>0.927610786351593</v>
      </c>
      <c r="BX58" s="11">
        <f>966.500737231453/(10^3)</f>
        <v>0.96650073723145291</v>
      </c>
      <c r="BY58" s="11">
        <f>9.71982715301853/(10^3)</f>
        <v>9.7198271530185305E-3</v>
      </c>
      <c r="BZ58" s="11">
        <f>971.982715301853/(10^3)</f>
        <v>0.97198271530185298</v>
      </c>
      <c r="CA58" s="11">
        <f>932.946949872182/(10^3)</f>
        <v>0.93294694987218196</v>
      </c>
      <c r="CB58" s="11">
        <f>899.474936983496/(10^3)</f>
        <v>0.89947493698349601</v>
      </c>
      <c r="CC58" s="12"/>
      <c r="CZ58" s="11">
        <v>0.46068895650991526</v>
      </c>
      <c r="DA58" s="11">
        <v>0.5437685946959625</v>
      </c>
      <c r="DB58" s="11">
        <v>0.60692561412854285</v>
      </c>
      <c r="DC58" s="11">
        <v>0.75466637963799743</v>
      </c>
      <c r="DD58" s="11">
        <v>0.86313772121550791</v>
      </c>
      <c r="DE58" s="11">
        <v>0.97198271530185287</v>
      </c>
      <c r="DG58" s="11">
        <v>0.43175362704641035</v>
      </c>
      <c r="DH58" s="11">
        <v>0.41999195542653955</v>
      </c>
      <c r="DI58" s="11">
        <v>0.50331063033452872</v>
      </c>
      <c r="DJ58" s="11">
        <v>0.58830930105629198</v>
      </c>
      <c r="DK58" s="11">
        <v>0.71955631290929334</v>
      </c>
      <c r="DL58" s="11">
        <v>0.83343328820773055</v>
      </c>
    </row>
    <row r="59" spans="4:116" outlineLevel="1" x14ac:dyDescent="0.25">
      <c r="D59" s="13" t="s">
        <v>45</v>
      </c>
      <c r="E59" s="13" t="s">
        <v>29</v>
      </c>
      <c r="F59" s="10" t="s">
        <v>150</v>
      </c>
      <c r="G59" s="13"/>
      <c r="H59" s="6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>
        <f>296.637008577617/(10^3)</f>
        <v>0.29663700857761699</v>
      </c>
      <c r="BJ59" s="11">
        <f>310.948976072546/(10^3)</f>
        <v>0.31094897607254596</v>
      </c>
      <c r="BK59" s="11">
        <f>325.821937448299/(10^3)</f>
        <v>0.32582193744829901</v>
      </c>
      <c r="BL59" s="11">
        <f>329.38477845992/(10^3)</f>
        <v>0.32938477845992004</v>
      </c>
      <c r="BM59" s="11">
        <f>3.41107775468209/(10^3)</f>
        <v>3.41107775468209E-3</v>
      </c>
      <c r="BN59" s="11">
        <f>350.265662131415/(10^3)</f>
        <v>0.35026566213141502</v>
      </c>
      <c r="BO59" s="11">
        <f>341.091711226821/(10^3)</f>
        <v>0.34109171122682103</v>
      </c>
      <c r="BP59" s="11">
        <f>336.868149890462/(10^3)</f>
        <v>0.33686814989046199</v>
      </c>
      <c r="BQ59" s="11">
        <f>335.440685435904/(10^3)</f>
        <v>0.335440685435904</v>
      </c>
      <c r="BR59" s="11">
        <f>339.849559448996/(10^3)</f>
        <v>0.33984955944899597</v>
      </c>
      <c r="BS59" s="11">
        <f>34134.0041489552/(10^3)</f>
        <v>34.134004148955199</v>
      </c>
      <c r="BT59" s="11">
        <f>337.88782906651/(10^3)</f>
        <v>0.33788782906650999</v>
      </c>
      <c r="BU59" s="11">
        <f>331.042509103466/(10^3)</f>
        <v>0.331042509103466</v>
      </c>
      <c r="BV59" s="11">
        <f>341.968579416245/(10^3)</f>
        <v>0.34196857941624503</v>
      </c>
      <c r="BW59" s="11">
        <f>344.353062773497/(10^3)</f>
        <v>0.34435306277349703</v>
      </c>
      <c r="BX59" s="11">
        <f>350.819380792163/(10^3)</f>
        <v>0.35081938079216296</v>
      </c>
      <c r="BY59" s="11">
        <f>3.67962590919351/(10^3)</f>
        <v>3.6796259091935101E-3</v>
      </c>
      <c r="BZ59" s="11">
        <f>367.962590919351/(10^3)</f>
        <v>0.36796259091935096</v>
      </c>
      <c r="CA59" s="11">
        <f>337.216223400268/(10^3)</f>
        <v>0.33721622340026802</v>
      </c>
      <c r="CB59" s="11">
        <f>325.395293887091/(10^3)</f>
        <v>0.32539529388709099</v>
      </c>
      <c r="CC59" s="12"/>
      <c r="CZ59" s="11">
        <v>0.23974400977587257</v>
      </c>
      <c r="DA59" s="11">
        <v>0.25504999477571538</v>
      </c>
      <c r="DB59" s="11">
        <v>0.28457388105300657</v>
      </c>
      <c r="DC59" s="11">
        <v>0.30728343302596023</v>
      </c>
      <c r="DD59" s="11">
        <v>0.34110777546820864</v>
      </c>
      <c r="DE59" s="11">
        <v>0.36796259091935074</v>
      </c>
      <c r="DG59" s="11">
        <v>0.21405982604537235</v>
      </c>
      <c r="DH59" s="11">
        <v>0.2287359124306402</v>
      </c>
      <c r="DI59" s="11">
        <v>0.24680965611342584</v>
      </c>
      <c r="DJ59" s="11">
        <v>0.2652783267016337</v>
      </c>
      <c r="DK59" s="11">
        <v>0.29621364828935748</v>
      </c>
      <c r="DL59" s="11">
        <v>0.34134004148955188</v>
      </c>
    </row>
    <row r="60" spans="4:116" ht="15.6" outlineLevel="1" x14ac:dyDescent="0.25">
      <c r="D60" s="10" t="s">
        <v>122</v>
      </c>
      <c r="E60" s="10" t="s">
        <v>46</v>
      </c>
      <c r="F60" s="10" t="s">
        <v>151</v>
      </c>
      <c r="G60" s="10" t="s">
        <v>182</v>
      </c>
      <c r="H60" s="62"/>
      <c r="I60" s="11">
        <f>512294.481566779/(10^3)</f>
        <v>512.29448156677904</v>
      </c>
      <c r="J60" s="11">
        <f>525338.779381078/(10^3)</f>
        <v>525.33877938107798</v>
      </c>
      <c r="K60" s="11">
        <f>53860864.6180303/(10^3)</f>
        <v>53860.864618030304</v>
      </c>
      <c r="L60" s="11">
        <f>548840.703029724/(10^3)</f>
        <v>548.84070302972395</v>
      </c>
      <c r="M60" s="11">
        <f>567377.419929799/(10^3)</f>
        <v>567.37741992979909</v>
      </c>
      <c r="N60" s="11">
        <f>575886.879368973/(10^3)</f>
        <v>575.88687936897293</v>
      </c>
      <c r="O60" s="11">
        <f>584786.052118326/(10^3)</f>
        <v>584.78605211832598</v>
      </c>
      <c r="P60" s="11">
        <f>600481.325671142/(10^3)</f>
        <v>600.48132567114192</v>
      </c>
      <c r="Q60" s="11">
        <f>5915.31103798895/(10^3)</f>
        <v>5.9153110379889506</v>
      </c>
      <c r="R60" s="11">
        <f>593568.357453959/(10^3)</f>
        <v>593.56835745395892</v>
      </c>
      <c r="S60" s="11">
        <f>605862.899879651/(10^3)</f>
        <v>605.86289987965108</v>
      </c>
      <c r="T60" s="11">
        <f>627748.220376435/(10^3)</f>
        <v>627.74822037643492</v>
      </c>
      <c r="U60" s="11">
        <f>625678.455275359/(10^3)</f>
        <v>625.67845527535894</v>
      </c>
      <c r="V60" s="11">
        <f>634778.722583857/(10^3)</f>
        <v>634.77872258385696</v>
      </c>
      <c r="W60" s="11">
        <f>63469860.7054937/(10^3)</f>
        <v>63469.860705493702</v>
      </c>
      <c r="X60" s="11">
        <f>629442.552713533/(10^3)</f>
        <v>629.44255271353302</v>
      </c>
      <c r="Y60" s="11">
        <f>618424.722008356/(10^3)</f>
        <v>618.42472200835596</v>
      </c>
      <c r="Z60" s="11">
        <f>609186.950551396/(10^3)</f>
        <v>609.18695055139597</v>
      </c>
      <c r="AA60" s="11">
        <f>598057.277759166/(10^3)</f>
        <v>598.05727775916591</v>
      </c>
      <c r="AB60" s="11">
        <f>595575.497376776/(10^3)</f>
        <v>595.57549737677596</v>
      </c>
      <c r="AC60" s="11">
        <f>5872.21034346443/(10^3)</f>
        <v>5.8722103434644293</v>
      </c>
      <c r="AD60" s="11">
        <f>582264.259605432/(10^3)</f>
        <v>582.26425960543202</v>
      </c>
      <c r="AE60" s="11">
        <f>579215.651406762/(10^3)</f>
        <v>579.21565140676194</v>
      </c>
      <c r="AF60" s="11">
        <f>580315.777303619/(10^3)</f>
        <v>580.31577730361892</v>
      </c>
      <c r="AG60" s="11">
        <f>593397.204127564/(10^3)</f>
        <v>593.39720412756401</v>
      </c>
      <c r="AH60" s="11">
        <f>610080.265409318/(10^3)</f>
        <v>610.08026540931803</v>
      </c>
      <c r="AI60" s="11">
        <f>60115056.5890974/(10^3)</f>
        <v>60115.056589097403</v>
      </c>
      <c r="AJ60" s="11">
        <f>618069.950158299/(10^3)</f>
        <v>618.06995015829898</v>
      </c>
      <c r="AK60" s="11">
        <f>615458.283695362/(10^3)</f>
        <v>615.45828369536207</v>
      </c>
      <c r="AL60" s="11">
        <f>611898.592573384/(10^3)</f>
        <v>611.89859257338401</v>
      </c>
      <c r="AM60" s="11">
        <f>602837.944185047/(10^3)</f>
        <v>602.83794418504692</v>
      </c>
      <c r="AN60" s="11">
        <f>623618.221741473/(10^3)</f>
        <v>623.61822174147301</v>
      </c>
      <c r="AO60" s="11">
        <f>6161.15507080229/(10^3)</f>
        <v>6.1611550708022893</v>
      </c>
      <c r="AP60" s="11">
        <f>606857.941486518/(10^3)</f>
        <v>606.85794148651803</v>
      </c>
      <c r="AQ60" s="11">
        <f>614596.683667922/(10^3)</f>
        <v>614.59668366792209</v>
      </c>
      <c r="AR60" s="11">
        <f>622896.9013813/(10^3)</f>
        <v>622.89690138129993</v>
      </c>
      <c r="AS60" s="11">
        <f>618134.164996131/(10^3)</f>
        <v>618.13416499613095</v>
      </c>
      <c r="AT60" s="11">
        <f>648760.523497411/(10^3)</f>
        <v>648.7605234974111</v>
      </c>
      <c r="AU60" s="11">
        <f>66152167.5209747/(10^3)</f>
        <v>66152.167520974705</v>
      </c>
      <c r="AV60" s="11">
        <f>691687.521502737/(10^3)</f>
        <v>691.6875215027369</v>
      </c>
      <c r="AW60" s="11">
        <f>698177.002006642/(10^3)</f>
        <v>698.17700200664206</v>
      </c>
      <c r="AX60" s="11">
        <f>684330.579307668/(10^3)</f>
        <v>684.33057930766802</v>
      </c>
      <c r="AY60" s="11">
        <f>717035.438750396/(10^3)</f>
        <v>717.035438750396</v>
      </c>
      <c r="AZ60" s="11">
        <f>707972.587665097/(10^3)</f>
        <v>707.97258766509697</v>
      </c>
      <c r="BA60" s="11">
        <f>7081.52837470726/(10^3)</f>
        <v>7.0815283747072595</v>
      </c>
      <c r="BB60" s="11">
        <f>729148.394611536/(10^3)</f>
        <v>729.14839461153599</v>
      </c>
      <c r="BC60" s="11">
        <f>726386.480525838/(10^3)</f>
        <v>726.38648052583801</v>
      </c>
      <c r="BD60" s="11">
        <f>748247.534790323/(10^3)</f>
        <v>748.24753479032302</v>
      </c>
      <c r="BE60" s="11">
        <f>739872.129668938/(10^3)</f>
        <v>739.87212966893799</v>
      </c>
      <c r="BF60" s="11">
        <f>759617.487866993/(10^3)</f>
        <v>759.61748786699297</v>
      </c>
      <c r="BG60" s="11">
        <f>75243173.3799428/(10^3)</f>
        <v>75243.173379942804</v>
      </c>
      <c r="BH60" s="11">
        <f>763635.469027227/(10^3)</f>
        <v>763.63546902722703</v>
      </c>
      <c r="BI60" s="11">
        <f>798465.300327952/(10^3)</f>
        <v>798.46530032795204</v>
      </c>
      <c r="BJ60" s="11">
        <f>811139.786171397/(10^3)</f>
        <v>811.13978617139696</v>
      </c>
      <c r="BK60" s="11">
        <f>851546.1587689/(10^3)</f>
        <v>851.5461587689</v>
      </c>
      <c r="BL60" s="11">
        <f>835214.909769836/(10^3)</f>
        <v>835.21490976983603</v>
      </c>
      <c r="BM60" s="11">
        <f>8269.36502072395/(10^3)</f>
        <v>8.2693650207239493</v>
      </c>
      <c r="BN60" s="11">
        <f>860092.724853224/(10^3)</f>
        <v>860.09272485322401</v>
      </c>
      <c r="BO60" s="11">
        <f>845990.050796556/(10^3)</f>
        <v>845.99005079655603</v>
      </c>
      <c r="BP60" s="11">
        <f>876767.80950875/(10^3)</f>
        <v>876.76780950875002</v>
      </c>
      <c r="BQ60" s="11">
        <f>878949.060704075/(10^3)</f>
        <v>878.94906070407501</v>
      </c>
      <c r="BR60" s="11">
        <f>877809.802648062/(10^3)</f>
        <v>877.80980264806203</v>
      </c>
      <c r="BS60" s="11">
        <f>88564586.2232915/(10^3)</f>
        <v>88564.586223291495</v>
      </c>
      <c r="BT60" s="11">
        <f>908511.84001855/(10^3)</f>
        <v>908.51184001855006</v>
      </c>
      <c r="BU60" s="11">
        <f>926377.252513846/(10^3)</f>
        <v>926.37725251384609</v>
      </c>
      <c r="BV60" s="11">
        <f>923547.179751369/(10^3)</f>
        <v>923.54717975136907</v>
      </c>
      <c r="BW60" s="11">
        <f>915899.937296633/(10^3)</f>
        <v>915.89993729663297</v>
      </c>
      <c r="BX60" s="11">
        <f>916066.117601541/(10^3)</f>
        <v>916.06611760154101</v>
      </c>
      <c r="BY60" s="11">
        <f>9411.17881386336/(10^3)</f>
        <v>9.4111788138633603</v>
      </c>
      <c r="BZ60" s="11">
        <f>941117.881386336/(10^3)</f>
        <v>941.11788138633608</v>
      </c>
      <c r="CA60" s="11">
        <f>980133.965086965/(10^3)</f>
        <v>980.13396508696496</v>
      </c>
      <c r="CB60" s="11">
        <f>967109.802088354/(10^3)</f>
        <v>967.10980208835406</v>
      </c>
      <c r="CC60" s="12"/>
      <c r="CZ60" s="11">
        <v>591.53110379889506</v>
      </c>
      <c r="DA60" s="11">
        <v>587.22103434644259</v>
      </c>
      <c r="DB60" s="11">
        <v>616.11550708022889</v>
      </c>
      <c r="DC60" s="11">
        <v>708.15283747072624</v>
      </c>
      <c r="DD60" s="11">
        <v>826.93650207239477</v>
      </c>
      <c r="DE60" s="11">
        <v>941.11788138633574</v>
      </c>
      <c r="DG60" s="11">
        <v>538.60864618030269</v>
      </c>
      <c r="DH60" s="11">
        <v>634.69860705493716</v>
      </c>
      <c r="DI60" s="11">
        <v>601.15056589097412</v>
      </c>
      <c r="DJ60" s="11">
        <v>661.52167520974717</v>
      </c>
      <c r="DK60" s="11">
        <v>752.43173379942766</v>
      </c>
      <c r="DL60" s="11">
        <v>885.64586223291496</v>
      </c>
    </row>
    <row r="61" spans="4:116" ht="15.6" outlineLevel="1" x14ac:dyDescent="0.25">
      <c r="D61" s="10" t="s">
        <v>123</v>
      </c>
      <c r="E61" s="10" t="s">
        <v>46</v>
      </c>
      <c r="F61" s="10" t="s">
        <v>151</v>
      </c>
      <c r="G61" s="10" t="s">
        <v>182</v>
      </c>
      <c r="H61" s="62"/>
      <c r="I61" s="11">
        <f>1282073.76042163/(10^3)</f>
        <v>1282.0737604216299</v>
      </c>
      <c r="J61" s="11">
        <f>1265555.06799464/(10^3)</f>
        <v>1265.55506799464</v>
      </c>
      <c r="K61" s="11">
        <f>124715325.690652/(10^3)</f>
        <v>124715.325690652</v>
      </c>
      <c r="L61" s="11">
        <f>1284795.75337996/(10^3)</f>
        <v>1284.7957533799602</v>
      </c>
      <c r="M61" s="11">
        <f>1303176.37462802/(10^3)</f>
        <v>1303.1763746280201</v>
      </c>
      <c r="N61" s="11">
        <f>1327059.21641849/(10^3)</f>
        <v>1327.05921641849</v>
      </c>
      <c r="O61" s="11">
        <f>1329183.56208583/(10^3)</f>
        <v>1329.1835620858299</v>
      </c>
      <c r="P61" s="11">
        <f>1313485.52802111/(10^3)</f>
        <v>1313.48552802111</v>
      </c>
      <c r="Q61" s="11">
        <f>13643.7765024831/(10^3)</f>
        <v>13.643776502483101</v>
      </c>
      <c r="R61" s="11">
        <f>1392105.09876607/(10^3)</f>
        <v>1392.1050987660701</v>
      </c>
      <c r="S61" s="11">
        <f>1380380.36186195/(10^3)</f>
        <v>1380.38036186195</v>
      </c>
      <c r="T61" s="11">
        <f>1414951.15769438/(10^3)</f>
        <v>1414.9511576943801</v>
      </c>
      <c r="U61" s="11">
        <f>1400651.6023745/(10^3)</f>
        <v>1400.6516023744998</v>
      </c>
      <c r="V61" s="11">
        <f>1428469.10445021/(10^3)</f>
        <v>1428.4691044502099</v>
      </c>
      <c r="W61" s="11">
        <f>144583051.829582/(10^3)</f>
        <v>144583.05182958199</v>
      </c>
      <c r="X61" s="11">
        <f>1430590.41194891/(10^3)</f>
        <v>1430.5904119489101</v>
      </c>
      <c r="Y61" s="11">
        <f>1418869.67490317/(10^3)</f>
        <v>1418.8696749031699</v>
      </c>
      <c r="Z61" s="11">
        <f>1460496.90319333/(10^3)</f>
        <v>1460.4969031933299</v>
      </c>
      <c r="AA61" s="11">
        <f>1439675.0219305/(10^3)</f>
        <v>1439.6750219305</v>
      </c>
      <c r="AB61" s="11">
        <f>1485572.8154535/(10^3)</f>
        <v>1485.5728154535</v>
      </c>
      <c r="AC61" s="11">
        <f>15462.8741281598/(10^3)</f>
        <v>15.4628741281598</v>
      </c>
      <c r="AD61" s="11">
        <f>1543674.46974292/(10^3)</f>
        <v>1543.6744697429201</v>
      </c>
      <c r="AE61" s="11">
        <f>1570554.88106442/(10^3)</f>
        <v>1570.55488106442</v>
      </c>
      <c r="AF61" s="11">
        <f>1599509.44103012/(10^3)</f>
        <v>1599.5094410301201</v>
      </c>
      <c r="AG61" s="11">
        <f>1601271.50768422/(10^3)</f>
        <v>1601.2715076842201</v>
      </c>
      <c r="AH61" s="11">
        <f>1607990.31872777/(10^3)</f>
        <v>1607.9903187277698</v>
      </c>
      <c r="AI61" s="11">
        <f>159146014.57424/(10^3)</f>
        <v>159146.01457423999</v>
      </c>
      <c r="AJ61" s="11">
        <f>1568864.93001894/(10^3)</f>
        <v>1568.86493001894</v>
      </c>
      <c r="AK61" s="11">
        <f>1626466.22270557/(10^3)</f>
        <v>1626.4662227055701</v>
      </c>
      <c r="AL61" s="11">
        <f>1604291.59864114/(10^3)</f>
        <v>1604.2915986411399</v>
      </c>
      <c r="AM61" s="11">
        <f>1585911.72385467/(10^3)</f>
        <v>1585.9117238546701</v>
      </c>
      <c r="AN61" s="11">
        <f>1556816.28494772/(10^3)</f>
        <v>1556.8162849477199</v>
      </c>
      <c r="AO61" s="11">
        <f>15941.3205889296/(10^3)</f>
        <v>15.941320588929601</v>
      </c>
      <c r="AP61" s="11">
        <f>1564755.76263416/(10^3)</f>
        <v>1564.75576263416</v>
      </c>
      <c r="AQ61" s="11">
        <f>1562578.12037181/(10^3)</f>
        <v>1562.57812037181</v>
      </c>
      <c r="AR61" s="11">
        <f>1545598.13487796/(10^3)</f>
        <v>1545.5981348779599</v>
      </c>
      <c r="AS61" s="11">
        <f>1564472.95657387/(10^3)</f>
        <v>1564.4729565738701</v>
      </c>
      <c r="AT61" s="11">
        <f>1610515.30878514/(10^3)</f>
        <v>1610.51530878514</v>
      </c>
      <c r="AU61" s="11">
        <f>157959042.888655/(10^3)</f>
        <v>157959.04288865501</v>
      </c>
      <c r="AV61" s="11">
        <f>1601157.36253207/(10^3)</f>
        <v>1601.15736253207</v>
      </c>
      <c r="AW61" s="11">
        <f>1590332.64064281/(10^3)</f>
        <v>1590.33264064281</v>
      </c>
      <c r="AX61" s="11">
        <f>1564878.15364549/(10^3)</f>
        <v>1564.8781536454901</v>
      </c>
      <c r="AY61" s="11">
        <f>1617611.95309694/(10^3)</f>
        <v>1617.6119530969399</v>
      </c>
      <c r="AZ61" s="11">
        <f>1667539.69210922/(10^3)</f>
        <v>1667.5396921092199</v>
      </c>
      <c r="BA61" s="11">
        <f>16370.5813800112/(10^3)</f>
        <v>16.370581380011199</v>
      </c>
      <c r="BB61" s="11">
        <f>1706641.64814296/(10^3)</f>
        <v>1706.6416481429599</v>
      </c>
      <c r="BC61" s="11">
        <f>1739114.95968283/(10^3)</f>
        <v>1739.11495968283</v>
      </c>
      <c r="BD61" s="11">
        <f>1705397.92279187/(10^3)</f>
        <v>1705.3979227918701</v>
      </c>
      <c r="BE61" s="11">
        <f>1684852.47771161/(10^3)</f>
        <v>1684.8524777116099</v>
      </c>
      <c r="BF61" s="11">
        <f>1720320.87282334/(10^3)</f>
        <v>1720.3208728233399</v>
      </c>
      <c r="BG61" s="11">
        <f>173547046.609323/(10^3)</f>
        <v>173547.04660932301</v>
      </c>
      <c r="BH61" s="11">
        <f>1759610.59057158/(10^3)</f>
        <v>1759.6105905715799</v>
      </c>
      <c r="BI61" s="11">
        <f>1791196.43710504/(10^3)</f>
        <v>1791.1964371050401</v>
      </c>
      <c r="BJ61" s="11">
        <f>1825912.25397648/(10^3)</f>
        <v>1825.9122539764801</v>
      </c>
      <c r="BK61" s="11">
        <f>1829670.45280851/(10^3)</f>
        <v>1829.6704528085099</v>
      </c>
      <c r="BL61" s="11">
        <f>1875384.77057047/(10^3)</f>
        <v>1875.38477057047</v>
      </c>
      <c r="BM61" s="11">
        <f>19187.0856136964/(10^3)</f>
        <v>19.1870856136964</v>
      </c>
      <c r="BN61" s="11">
        <f>1915197.75029072/(10^3)</f>
        <v>1915.19775029072</v>
      </c>
      <c r="BO61" s="11">
        <f>2001754.95875477/(10^3)</f>
        <v>2001.7549587547701</v>
      </c>
      <c r="BP61" s="11">
        <f>2064560.69870224/(10^3)</f>
        <v>2064.5606987022397</v>
      </c>
      <c r="BQ61" s="11">
        <f>2149009.59959918/(10^3)</f>
        <v>2149.0095995991796</v>
      </c>
      <c r="BR61" s="11">
        <f>2143033.79384983/(10^3)</f>
        <v>2143.0337938498301</v>
      </c>
      <c r="BS61" s="11">
        <f>214225438.899436/(10^3)</f>
        <v>214225.43889943601</v>
      </c>
      <c r="BT61" s="11">
        <f>2124775.98893335/(10^3)</f>
        <v>2124.7759889333502</v>
      </c>
      <c r="BU61" s="11">
        <f>2151935.35148835/(10^3)</f>
        <v>2151.9353514883501</v>
      </c>
      <c r="BV61" s="11">
        <f>2208147.98304006/(10^3)</f>
        <v>2208.1479830400599</v>
      </c>
      <c r="BW61" s="11">
        <f>2270542.13680092/(10^3)</f>
        <v>2270.5421368009202</v>
      </c>
      <c r="BX61" s="11">
        <f>2346935.14759187/(10^3)</f>
        <v>2346.9351475918697</v>
      </c>
      <c r="BY61" s="11">
        <f>23035.7381074021/(10^3)</f>
        <v>23.0357381074021</v>
      </c>
      <c r="BZ61" s="11">
        <f>2303573.81074021/(10^3)</f>
        <v>2303.5738107402103</v>
      </c>
      <c r="CA61" s="11">
        <f>2280604.9417104/(10^3)</f>
        <v>2280.6049417104</v>
      </c>
      <c r="CB61" s="11">
        <f>2280470.12643729/(10^3)</f>
        <v>2280.4701264372902</v>
      </c>
      <c r="CC61" s="12"/>
      <c r="CZ61" s="11">
        <v>1364.3776502483133</v>
      </c>
      <c r="DA61" s="11">
        <v>1546.2874128159754</v>
      </c>
      <c r="DB61" s="11">
        <v>1594.1320588929591</v>
      </c>
      <c r="DC61" s="11">
        <v>1637.0581380011163</v>
      </c>
      <c r="DD61" s="11">
        <v>1918.7085613696361</v>
      </c>
      <c r="DE61" s="11">
        <v>2303.5738107402094</v>
      </c>
      <c r="DG61" s="11">
        <v>1247.153256906515</v>
      </c>
      <c r="DH61" s="11">
        <v>1445.83051829582</v>
      </c>
      <c r="DI61" s="11">
        <v>1591.4601457423983</v>
      </c>
      <c r="DJ61" s="11">
        <v>1579.5904288865486</v>
      </c>
      <c r="DK61" s="11">
        <v>1735.4704660932293</v>
      </c>
      <c r="DL61" s="11">
        <v>2142.254388994364</v>
      </c>
    </row>
    <row r="62" spans="4:116" ht="15.6" outlineLevel="1" x14ac:dyDescent="0.25">
      <c r="D62" s="10" t="s">
        <v>124</v>
      </c>
      <c r="E62" s="10" t="s">
        <v>46</v>
      </c>
      <c r="F62" s="10" t="s">
        <v>151</v>
      </c>
      <c r="G62" s="10" t="s">
        <v>182</v>
      </c>
      <c r="H62" s="62"/>
      <c r="I62" s="11">
        <f>762976.347602988/(10^3)</f>
        <v>762.97634760298797</v>
      </c>
      <c r="J62" s="11">
        <f>788063.813540787/(10^3)</f>
        <v>788.06381354078701</v>
      </c>
      <c r="K62" s="11">
        <f>78853373.3509415/(10^3)</f>
        <v>78853.373350941489</v>
      </c>
      <c r="L62" s="11">
        <f>773329.532273265/(10^3)</f>
        <v>773.32953227326493</v>
      </c>
      <c r="M62" s="11">
        <f>765911.64626058/(10^3)</f>
        <v>765.91164626058003</v>
      </c>
      <c r="N62" s="11">
        <f>795021.576752147/(10^3)</f>
        <v>795.0215767521471</v>
      </c>
      <c r="O62" s="11">
        <f>809901.394556553/(10^3)</f>
        <v>809.90139455655299</v>
      </c>
      <c r="P62" s="11">
        <f>808367.529796255/(10^3)</f>
        <v>808.3675297962551</v>
      </c>
      <c r="Q62" s="11">
        <f>7941.68310235868/(10^3)</f>
        <v>7.94168310235868</v>
      </c>
      <c r="R62" s="11">
        <f>804758.117426339/(10^3)</f>
        <v>804.75811742633891</v>
      </c>
      <c r="S62" s="11">
        <f>796886.104593472/(10^3)</f>
        <v>796.88610459347194</v>
      </c>
      <c r="T62" s="11">
        <f>787642.553333446/(10^3)</f>
        <v>787.64255333344602</v>
      </c>
      <c r="U62" s="11">
        <f>786342.297948041/(10^3)</f>
        <v>786.34229794804105</v>
      </c>
      <c r="V62" s="11">
        <f>775144.768334369/(10^3)</f>
        <v>775.14476833436891</v>
      </c>
      <c r="W62" s="11">
        <f>77001631.6743405/(10^3)</f>
        <v>77001.631674340504</v>
      </c>
      <c r="X62" s="11">
        <f>758981.817351885/(10^3)</f>
        <v>758.98181735188507</v>
      </c>
      <c r="Y62" s="11">
        <f>753348.445458432/(10^3)</f>
        <v>753.34844545843191</v>
      </c>
      <c r="Z62" s="11">
        <f>739504.132907569/(10^3)</f>
        <v>739.50413290756899</v>
      </c>
      <c r="AA62" s="11">
        <f>744058.60111987/(10^3)</f>
        <v>744.05860111986999</v>
      </c>
      <c r="AB62" s="11">
        <f>760221.40490213/(10^3)</f>
        <v>760.22140490212996</v>
      </c>
      <c r="AC62" s="11">
        <f>7697.41322526186/(10^3)</f>
        <v>7.6974132252618599</v>
      </c>
      <c r="AD62" s="11">
        <f>796083.290308671/(10^3)</f>
        <v>796.08329030867094</v>
      </c>
      <c r="AE62" s="11">
        <f>787693.756473468/(10^3)</f>
        <v>787.69375647346806</v>
      </c>
      <c r="AF62" s="11">
        <f>783042.05095104/(10^3)</f>
        <v>783.04205095103998</v>
      </c>
      <c r="AG62" s="11">
        <f>778944.796860755/(10^3)</f>
        <v>778.94479686075499</v>
      </c>
      <c r="AH62" s="11">
        <f>802713.161307422/(10^3)</f>
        <v>802.71316130742196</v>
      </c>
      <c r="AI62" s="11">
        <f>84182282.360368/(10^3)</f>
        <v>84182.282360368001</v>
      </c>
      <c r="AJ62" s="11">
        <f>829347.027876979/(10^3)</f>
        <v>829.34702787697893</v>
      </c>
      <c r="AK62" s="11">
        <f>828822.994381646/(10^3)</f>
        <v>828.82299438164603</v>
      </c>
      <c r="AL62" s="11">
        <f>820733.455445172/(10^3)</f>
        <v>820.73345544517201</v>
      </c>
      <c r="AM62" s="11">
        <f>807039.567069541/(10^3)</f>
        <v>807.03956706954091</v>
      </c>
      <c r="AN62" s="11">
        <f>803887.965947018/(10^3)</f>
        <v>803.88796594701796</v>
      </c>
      <c r="AO62" s="11">
        <f>7960.08543093063/(10^3)</f>
        <v>7.9600854309306293</v>
      </c>
      <c r="AP62" s="11">
        <f>817065.849072024/(10^3)</f>
        <v>817.06584907202398</v>
      </c>
      <c r="AQ62" s="11">
        <f>845040.503690693/(10^3)</f>
        <v>845.04050369069296</v>
      </c>
      <c r="AR62" s="11">
        <f>842635.148351489/(10^3)</f>
        <v>842.63514835148897</v>
      </c>
      <c r="AS62" s="11">
        <f>826999.469793111/(10^3)</f>
        <v>826.99946979311096</v>
      </c>
      <c r="AT62" s="11">
        <f>846095.581923483/(10^3)</f>
        <v>846.09558192348311</v>
      </c>
      <c r="AU62" s="11">
        <f>82959268.521321/(10^3)</f>
        <v>82959.268521320992</v>
      </c>
      <c r="AV62" s="11">
        <f>813414.205003719/(10^3)</f>
        <v>813.41420500371896</v>
      </c>
      <c r="AW62" s="11">
        <f>841246.632542358/(10^3)</f>
        <v>841.24663254235804</v>
      </c>
      <c r="AX62" s="11">
        <f>871317.009080948/(10^3)</f>
        <v>871.31700908094797</v>
      </c>
      <c r="AY62" s="11">
        <f>860093.936028886/(10^3)</f>
        <v>860.09393602888599</v>
      </c>
      <c r="AZ62" s="11">
        <f>852954.376563415/(10^3)</f>
        <v>852.95437656341505</v>
      </c>
      <c r="BA62" s="11">
        <f>8954.29569896844/(10^3)</f>
        <v>8.9542956989684406</v>
      </c>
      <c r="BB62" s="11">
        <f>899039.348503199/(10^3)</f>
        <v>899.03934850319911</v>
      </c>
      <c r="BC62" s="11">
        <f>898337.377629147/(10^3)</f>
        <v>898.337377629147</v>
      </c>
      <c r="BD62" s="11">
        <f>900274.524032866/(10^3)</f>
        <v>900.274524032866</v>
      </c>
      <c r="BE62" s="11">
        <f>906047.669572478/(10^3)</f>
        <v>906.04766957247807</v>
      </c>
      <c r="BF62" s="11">
        <f>933416.295618183/(10^3)</f>
        <v>933.41629561818297</v>
      </c>
      <c r="BG62" s="11">
        <f>93098805.2715032/(10^3)</f>
        <v>93098.805271503195</v>
      </c>
      <c r="BH62" s="11">
        <f>960302.595017725/(10^3)</f>
        <v>960.30259501772503</v>
      </c>
      <c r="BI62" s="11">
        <f>969839.517306115/(10^3)</f>
        <v>969.839517306115</v>
      </c>
      <c r="BJ62" s="11">
        <f>987347.845078959/(10^3)</f>
        <v>987.34784507895904</v>
      </c>
      <c r="BK62" s="11">
        <f>1017465.35591688/(10^3)</f>
        <v>1017.46535591688</v>
      </c>
      <c r="BL62" s="11">
        <f>1029591.04117295/(10^3)</f>
        <v>1029.5910411729499</v>
      </c>
      <c r="BM62" s="11">
        <f>10809.4072806136/(10^3)</f>
        <v>10.809407280613598</v>
      </c>
      <c r="BN62" s="11">
        <f>1079025.99998177/(10^3)</f>
        <v>1079.0259999817702</v>
      </c>
      <c r="BO62" s="11">
        <f>1130340.52715349/(10^3)</f>
        <v>1130.34052715349</v>
      </c>
      <c r="BP62" s="11">
        <f>1130100.43562871/(10^3)</f>
        <v>1130.1004356287101</v>
      </c>
      <c r="BQ62" s="11">
        <f>1174806.10345992/(10^3)</f>
        <v>1174.80610345992</v>
      </c>
      <c r="BR62" s="11">
        <f>1208470.24267444/(10^3)</f>
        <v>1208.47024267444</v>
      </c>
      <c r="BS62" s="11">
        <f>123100422.105938/(10^3)</f>
        <v>123100.42210593801</v>
      </c>
      <c r="BT62" s="11">
        <f>1229547.72247243/(10^3)</f>
        <v>1229.54772247243</v>
      </c>
      <c r="BU62" s="11">
        <f>1220162.3128867/(10^3)</f>
        <v>1220.1623128867</v>
      </c>
      <c r="BV62" s="11">
        <f>1251749.39905722/(10^3)</f>
        <v>1251.74939905722</v>
      </c>
      <c r="BW62" s="11">
        <f>1271237.76634707/(10^3)</f>
        <v>1271.23776634707</v>
      </c>
      <c r="BX62" s="11">
        <f>1293291.0337249/(10^3)</f>
        <v>1293.2910337249</v>
      </c>
      <c r="BY62" s="11">
        <f>12645.4049037179/(10^3)</f>
        <v>12.6454049037179</v>
      </c>
      <c r="BZ62" s="11">
        <f>1264540.49037179/(10^3)</f>
        <v>1264.5404903717899</v>
      </c>
      <c r="CA62" s="11">
        <f>1313514.98185416/(10^3)</f>
        <v>1313.5149818541602</v>
      </c>
      <c r="CB62" s="11">
        <f>1374730.00039388/(10^3)</f>
        <v>1374.7300003938801</v>
      </c>
      <c r="CC62" s="12"/>
      <c r="CZ62" s="11">
        <v>794.16831023586758</v>
      </c>
      <c r="DA62" s="11">
        <v>769.74132252618631</v>
      </c>
      <c r="DB62" s="11">
        <v>796.00854309306328</v>
      </c>
      <c r="DC62" s="11">
        <v>895.42956989684399</v>
      </c>
      <c r="DD62" s="11">
        <v>1080.9407280613625</v>
      </c>
      <c r="DE62" s="11">
        <v>1264.5404903717945</v>
      </c>
      <c r="DG62" s="11">
        <v>788.53373350941536</v>
      </c>
      <c r="DH62" s="11">
        <v>770.0163167434049</v>
      </c>
      <c r="DI62" s="11">
        <v>841.82282360367981</v>
      </c>
      <c r="DJ62" s="11">
        <v>829.59268521320973</v>
      </c>
      <c r="DK62" s="11">
        <v>930.9880527150317</v>
      </c>
      <c r="DL62" s="11">
        <v>1231.0042210593831</v>
      </c>
    </row>
    <row r="63" spans="4:116" ht="15.6" outlineLevel="1" x14ac:dyDescent="0.25">
      <c r="D63" s="10" t="s">
        <v>125</v>
      </c>
      <c r="E63" s="10" t="s">
        <v>47</v>
      </c>
      <c r="F63" s="10" t="s">
        <v>151</v>
      </c>
      <c r="G63" s="10" t="s">
        <v>182</v>
      </c>
      <c r="H63" s="62"/>
      <c r="I63" s="11">
        <f>859797.182577779/(10^3)</f>
        <v>859.79718257777904</v>
      </c>
      <c r="J63" s="11">
        <f>889839.961071624/(10^3)</f>
        <v>889.83996107162397</v>
      </c>
      <c r="K63" s="11">
        <f>92304848.4418005/(10^3)</f>
        <v>92304.84844180051</v>
      </c>
      <c r="L63" s="11">
        <f>908869.60994493/(10^3)</f>
        <v>908.86960994492995</v>
      </c>
      <c r="M63" s="11">
        <f>931260.610004131/(10^3)</f>
        <v>931.26061000413097</v>
      </c>
      <c r="N63" s="11">
        <f>972672.648785339/(10^3)</f>
        <v>972.67264878533899</v>
      </c>
      <c r="O63" s="11">
        <f>978829.36501552/(10^3)</f>
        <v>978.82936501552001</v>
      </c>
      <c r="P63" s="11">
        <f>973388.920040912/(10^3)</f>
        <v>973.38892004091201</v>
      </c>
      <c r="Q63" s="11">
        <f>9878.52074384731/(10^3)</f>
        <v>9.878520743847309</v>
      </c>
      <c r="R63" s="11">
        <f>1005721.76150755/(10^3)</f>
        <v>1005.72176150755</v>
      </c>
      <c r="S63" s="11">
        <f>1013501.00972898/(10^3)</f>
        <v>1013.50100972898</v>
      </c>
      <c r="T63" s="11">
        <f>1062295.50518723/(10^3)</f>
        <v>1062.29550518723</v>
      </c>
      <c r="U63" s="11">
        <f>1045711.10942004/(10^3)</f>
        <v>1045.71110942004</v>
      </c>
      <c r="V63" s="11">
        <f>1045679.19159788/(10^3)</f>
        <v>1045.6791915978799</v>
      </c>
      <c r="W63" s="11">
        <f>106479934.387914/(10^3)</f>
        <v>106479.93438791401</v>
      </c>
      <c r="X63" s="11">
        <f>1054422.12653262/(10^3)</f>
        <v>1054.42212653262</v>
      </c>
      <c r="Y63" s="11">
        <f>1079139.03536361/(10^3)</f>
        <v>1079.13903536361</v>
      </c>
      <c r="Z63" s="11">
        <f>1059313.94592994/(10^3)</f>
        <v>1059.31394592994</v>
      </c>
      <c r="AA63" s="11">
        <f>1059452.23951708/(10^3)</f>
        <v>1059.45223951708</v>
      </c>
      <c r="AB63" s="11">
        <f>1085665.92592381/(10^3)</f>
        <v>1085.6659259238102</v>
      </c>
      <c r="AC63" s="11">
        <f>11375.4215956888/(10^3)</f>
        <v>11.375421595688801</v>
      </c>
      <c r="AD63" s="11">
        <f>1123918.55545681/(10^3)</f>
        <v>1123.9185554568098</v>
      </c>
      <c r="AE63" s="11">
        <f>1179702.18866352/(10^3)</f>
        <v>1179.70218866352</v>
      </c>
      <c r="AF63" s="11">
        <f>1169288.91217041/(10^3)</f>
        <v>1169.28891217041</v>
      </c>
      <c r="AG63" s="11">
        <f>1156954.86945045/(10^3)</f>
        <v>1156.9548694504499</v>
      </c>
      <c r="AH63" s="11">
        <f>1135139.48608858/(10^3)</f>
        <v>1135.13948608858</v>
      </c>
      <c r="AI63" s="11">
        <f>112024497.773246/(10^3)</f>
        <v>112024.49777324601</v>
      </c>
      <c r="AJ63" s="11">
        <f>1112446.9428986/(10^3)</f>
        <v>1112.4469428985999</v>
      </c>
      <c r="AK63" s="11">
        <f>1121572.17967993/(10^3)</f>
        <v>1121.5721796799301</v>
      </c>
      <c r="AL63" s="11">
        <f>1111340.19799426/(10^3)</f>
        <v>1111.3401979942598</v>
      </c>
      <c r="AM63" s="11">
        <f>1109896.72482774/(10^3)</f>
        <v>1109.8967248277402</v>
      </c>
      <c r="AN63" s="11">
        <f>1121689.71445324/(10^3)</f>
        <v>1121.68971445324</v>
      </c>
      <c r="AO63" s="11">
        <f>11038.1803577429/(10^3)</f>
        <v>11.038180357742901</v>
      </c>
      <c r="AP63" s="11">
        <f>1103051.9960358/(10^3)</f>
        <v>1103.0519960358001</v>
      </c>
      <c r="AQ63" s="11">
        <f>1097282.14198776/(10^3)</f>
        <v>1097.28214198776</v>
      </c>
      <c r="AR63" s="11">
        <f>1086642.31418014/(10^3)</f>
        <v>1086.6423141801399</v>
      </c>
      <c r="AS63" s="11">
        <f>1077737.13624995/(10^3)</f>
        <v>1077.73713624995</v>
      </c>
      <c r="AT63" s="11">
        <f>1064834.88538084/(10^3)</f>
        <v>1064.83488538084</v>
      </c>
      <c r="AU63" s="11">
        <f>107096695.715858/(10^3)</f>
        <v>107096.695715858</v>
      </c>
      <c r="AV63" s="11">
        <f>1065734.50562658/(10^3)</f>
        <v>1065.7345056265799</v>
      </c>
      <c r="AW63" s="11">
        <f>1103069.73281247/(10^3)</f>
        <v>1103.06973281247</v>
      </c>
      <c r="AX63" s="11">
        <f>1149232.28172772/(10^3)</f>
        <v>1149.23228172772</v>
      </c>
      <c r="AY63" s="11">
        <f>1133721.5368866/(10^3)</f>
        <v>1133.7215368866</v>
      </c>
      <c r="AZ63" s="11">
        <f>1118302.0010074/(10^3)</f>
        <v>1118.3020010073999</v>
      </c>
      <c r="BA63" s="11">
        <f>11669.8424779884/(10^3)</f>
        <v>11.6698424779884</v>
      </c>
      <c r="BB63" s="11">
        <f>1188869.21635334/(10^3)</f>
        <v>1188.8692163533401</v>
      </c>
      <c r="BC63" s="11">
        <f>1172288.57140819/(10^3)</f>
        <v>1172.2885714081901</v>
      </c>
      <c r="BD63" s="11">
        <f>1169691.02217309/(10^3)</f>
        <v>1169.69102217309</v>
      </c>
      <c r="BE63" s="11">
        <f>1196012.5739602/(10^3)</f>
        <v>1196.0125739601999</v>
      </c>
      <c r="BF63" s="11">
        <f>1226943.67185161/(10^3)</f>
        <v>1226.9436718516101</v>
      </c>
      <c r="BG63" s="11">
        <f>120686501.388011/(10^3)</f>
        <v>120686.50138801099</v>
      </c>
      <c r="BH63" s="11">
        <f>1254290.52293493/(10^3)</f>
        <v>1254.2905229349299</v>
      </c>
      <c r="BI63" s="11">
        <f>1282112.92871691/(10^3)</f>
        <v>1282.1129287169101</v>
      </c>
      <c r="BJ63" s="11">
        <f>1337649.47107012/(10^3)</f>
        <v>1337.6494710701202</v>
      </c>
      <c r="BK63" s="11">
        <f>1350011.92707586/(10^3)</f>
        <v>1350.0119270758601</v>
      </c>
      <c r="BL63" s="11">
        <f>1355952.88047476/(10^3)</f>
        <v>1355.9528804747599</v>
      </c>
      <c r="BM63" s="11">
        <f>13376.6260149152/(10^3)</f>
        <v>13.3766260149152</v>
      </c>
      <c r="BN63" s="11">
        <f>1352901.28688731/(10^3)</f>
        <v>1352.9012868873099</v>
      </c>
      <c r="BO63" s="11">
        <f>1407343.86875828/(10^3)</f>
        <v>1407.34386875828</v>
      </c>
      <c r="BP63" s="11">
        <f>1379312.8699941/(10^3)</f>
        <v>1379.3128699940999</v>
      </c>
      <c r="BQ63" s="11">
        <f>1360988.39030438/(10^3)</f>
        <v>1360.9883903043801</v>
      </c>
      <c r="BR63" s="11">
        <f>1422632.18703529/(10^3)</f>
        <v>1422.6321870352901</v>
      </c>
      <c r="BS63" s="11">
        <f>145913313.626206/(10^3)</f>
        <v>145913.31362620601</v>
      </c>
      <c r="BT63" s="11">
        <f>1456623.61584625/(10^3)</f>
        <v>1456.62361584625</v>
      </c>
      <c r="BU63" s="11">
        <f>1482223.68482137/(10^3)</f>
        <v>1482.2236848213702</v>
      </c>
      <c r="BV63" s="11">
        <f>1539792.98950251/(10^3)</f>
        <v>1539.79298950251</v>
      </c>
      <c r="BW63" s="11">
        <f>1559819.4865862/(10^3)</f>
        <v>1559.8194865862001</v>
      </c>
      <c r="BX63" s="11">
        <f>1625765.6901533/(10^3)</f>
        <v>1625.7656901533001</v>
      </c>
      <c r="BY63" s="11">
        <f>16053.308013294/(10^3)</f>
        <v>16.053308013294</v>
      </c>
      <c r="BZ63" s="11">
        <f>1605330.8013294/(10^3)</f>
        <v>1605.3308013293999</v>
      </c>
      <c r="CA63" s="11">
        <f>1597702.87949796/(10^3)</f>
        <v>1597.7028794979599</v>
      </c>
      <c r="CB63" s="11">
        <f>1595927.92125757/(10^3)</f>
        <v>1595.92792125757</v>
      </c>
      <c r="CC63" s="12"/>
      <c r="CZ63" s="11">
        <v>987.85207438473083</v>
      </c>
      <c r="DA63" s="11">
        <v>1137.5421595688765</v>
      </c>
      <c r="DB63" s="11">
        <v>1103.8180357742856</v>
      </c>
      <c r="DC63" s="11">
        <v>1166.9842477988443</v>
      </c>
      <c r="DD63" s="11">
        <v>1337.66260149152</v>
      </c>
      <c r="DE63" s="11">
        <v>1605.3308013293963</v>
      </c>
      <c r="DG63" s="11">
        <v>923.04848441800539</v>
      </c>
      <c r="DH63" s="11">
        <v>1064.7993438791375</v>
      </c>
      <c r="DI63" s="11">
        <v>1120.2449777324584</v>
      </c>
      <c r="DJ63" s="11">
        <v>1070.9669571585803</v>
      </c>
      <c r="DK63" s="11">
        <v>1206.865013880114</v>
      </c>
      <c r="DL63" s="11">
        <v>1459.1331362620635</v>
      </c>
    </row>
    <row r="64" spans="4:116" ht="15.6" outlineLevel="1" x14ac:dyDescent="0.25">
      <c r="D64" s="10" t="s">
        <v>126</v>
      </c>
      <c r="E64" s="10" t="s">
        <v>47</v>
      </c>
      <c r="F64" s="10" t="s">
        <v>151</v>
      </c>
      <c r="G64" s="10" t="s">
        <v>182</v>
      </c>
      <c r="H64" s="62"/>
      <c r="I64" s="11">
        <f>352239.50090143/(10^3)</f>
        <v>352.23950090142995</v>
      </c>
      <c r="J64" s="11">
        <f>357114.485145576/(10^3)</f>
        <v>357.114485145576</v>
      </c>
      <c r="K64" s="11">
        <f>36969088.954446/(10^3)</f>
        <v>36969.088954446001</v>
      </c>
      <c r="L64" s="11">
        <f>385515.904984589/(10^3)</f>
        <v>385.51590498458904</v>
      </c>
      <c r="M64" s="11">
        <f>384431.251557936/(10^3)</f>
        <v>384.43125155793604</v>
      </c>
      <c r="N64" s="11">
        <f>393282.740340618/(10^3)</f>
        <v>393.28274034061803</v>
      </c>
      <c r="O64" s="11">
        <f>390736.21365437/(10^3)</f>
        <v>390.73621365436998</v>
      </c>
      <c r="P64" s="11">
        <f>400284.681407537/(10^3)</f>
        <v>400.28468140753699</v>
      </c>
      <c r="Q64" s="11">
        <f>4035.88981796163/(10^3)</f>
        <v>4.03588981796163</v>
      </c>
      <c r="R64" s="11">
        <f>402493.822644964/(10^3)</f>
        <v>402.49382264496398</v>
      </c>
      <c r="S64" s="11">
        <f>394957.001502856/(10^3)</f>
        <v>394.95700150285597</v>
      </c>
      <c r="T64" s="11">
        <f>392590.345984875/(10^3)</f>
        <v>392.590345984875</v>
      </c>
      <c r="U64" s="11">
        <f>400077.177244826/(10^3)</f>
        <v>400.07717724482598</v>
      </c>
      <c r="V64" s="11">
        <f>399267.329712303/(10^3)</f>
        <v>399.26732971230302</v>
      </c>
      <c r="W64" s="11">
        <f>40604043.4932328/(10^3)</f>
        <v>40604.043493232799</v>
      </c>
      <c r="X64" s="11">
        <f>405050.999531514/(10^3)</f>
        <v>405.05099953151404</v>
      </c>
      <c r="Y64" s="11">
        <f>416305.018515316/(10^3)</f>
        <v>416.30501851531602</v>
      </c>
      <c r="Z64" s="11">
        <f>433364.219501894/(10^3)</f>
        <v>433.36421950189401</v>
      </c>
      <c r="AA64" s="11">
        <f>436837.915359683/(10^3)</f>
        <v>436.837915359683</v>
      </c>
      <c r="AB64" s="11">
        <f>433881.611541811/(10^3)</f>
        <v>433.88161154181103</v>
      </c>
      <c r="AC64" s="11">
        <f>4397.45642464852/(10^3)</f>
        <v>4.3974564246485199</v>
      </c>
      <c r="AD64" s="11">
        <f>433836.570427203/(10^3)</f>
        <v>433.83657042720301</v>
      </c>
      <c r="AE64" s="11">
        <f>434491.882417021/(10^3)</f>
        <v>434.49188241702103</v>
      </c>
      <c r="AF64" s="11">
        <f>449032.471739233/(10^3)</f>
        <v>449.03247173923302</v>
      </c>
      <c r="AG64" s="11">
        <f>451452.694757929/(10^3)</f>
        <v>451.45269475792901</v>
      </c>
      <c r="AH64" s="11">
        <f>453409.947753804/(10^3)</f>
        <v>453.40994775380398</v>
      </c>
      <c r="AI64" s="11">
        <f>44631898.7290497/(10^3)</f>
        <v>44631.898729049695</v>
      </c>
      <c r="AJ64" s="11">
        <f>438373.867276691/(10^3)</f>
        <v>438.37386727669104</v>
      </c>
      <c r="AK64" s="11">
        <f>455516.753146802/(10^3)</f>
        <v>455.51675314680199</v>
      </c>
      <c r="AL64" s="11">
        <f>467388.720579179/(10^3)</f>
        <v>467.38872057917899</v>
      </c>
      <c r="AM64" s="11">
        <f>462106.867665914/(10^3)</f>
        <v>462.10686766591402</v>
      </c>
      <c r="AN64" s="11">
        <f>473251.320347291/(10^3)</f>
        <v>473.25132034729103</v>
      </c>
      <c r="AO64" s="11">
        <f>4958.55367610179/(10^3)</f>
        <v>4.9585536761017899</v>
      </c>
      <c r="AP64" s="11">
        <f>508330.731011825/(10^3)</f>
        <v>508.33073101182498</v>
      </c>
      <c r="AQ64" s="11">
        <f>531056.997117952/(10^3)</f>
        <v>531.05699711795194</v>
      </c>
      <c r="AR64" s="11">
        <f>525846.20117428/(10^3)</f>
        <v>525.84620117428005</v>
      </c>
      <c r="AS64" s="11">
        <f>519926.540770833/(10^3)</f>
        <v>519.92654077083296</v>
      </c>
      <c r="AT64" s="11">
        <f>523642.916561182/(10^3)</f>
        <v>523.64291656118201</v>
      </c>
      <c r="AU64" s="11">
        <f>51700091.6328374/(10^3)</f>
        <v>51700.091632837401</v>
      </c>
      <c r="AV64" s="11">
        <f>506675.393072315/(10^3)</f>
        <v>506.67539307231505</v>
      </c>
      <c r="AW64" s="11">
        <f>509272.517441375/(10^3)</f>
        <v>509.27251744137499</v>
      </c>
      <c r="AX64" s="11">
        <f>505374.211520521/(10^3)</f>
        <v>505.37421152052104</v>
      </c>
      <c r="AY64" s="11">
        <f>501939.634066815/(10^3)</f>
        <v>501.93963406681502</v>
      </c>
      <c r="AZ64" s="11">
        <f>518249.027765355/(10^3)</f>
        <v>518.24902776535498</v>
      </c>
      <c r="BA64" s="11">
        <f>5322.92407054822/(10^3)</f>
        <v>5.3229240705482201</v>
      </c>
      <c r="BB64" s="11">
        <f>527012.404794232/(10^3)</f>
        <v>527.012404794232</v>
      </c>
      <c r="BC64" s="11">
        <f>521243.79329844/(10^3)</f>
        <v>521.24379329843998</v>
      </c>
      <c r="BD64" s="11">
        <f>518583.364950406/(10^3)</f>
        <v>518.58336495040601</v>
      </c>
      <c r="BE64" s="11">
        <f>518814.842240927/(10^3)</f>
        <v>518.81484224092696</v>
      </c>
      <c r="BF64" s="11">
        <f>538707.355280469/(10^3)</f>
        <v>538.70735528046907</v>
      </c>
      <c r="BG64" s="11">
        <f>55902303.274453/(10^3)</f>
        <v>55902.303274452999</v>
      </c>
      <c r="BH64" s="11">
        <f>570163.357955187/(10^3)</f>
        <v>570.16335795518694</v>
      </c>
      <c r="BI64" s="11">
        <f>591854.814867405/(10^3)</f>
        <v>591.85481486740503</v>
      </c>
      <c r="BJ64" s="11">
        <f>601937.89500304/(10^3)</f>
        <v>601.93789500304001</v>
      </c>
      <c r="BK64" s="11">
        <f>625296.172677616/(10^3)</f>
        <v>625.29617267761603</v>
      </c>
      <c r="BL64" s="11">
        <f>655279.824034703/(10^3)</f>
        <v>655.27982403470298</v>
      </c>
      <c r="BM64" s="11">
        <f>6824.55134406087/(10^3)</f>
        <v>6.8245513440608701</v>
      </c>
      <c r="BN64" s="11">
        <f>708607.172227762/(10^3)</f>
        <v>708.60717222776202</v>
      </c>
      <c r="BO64" s="11">
        <f>742810.114044001/(10^3)</f>
        <v>742.81011404400101</v>
      </c>
      <c r="BP64" s="11">
        <f>741014.331303445/(10^3)</f>
        <v>741.01433130344503</v>
      </c>
      <c r="BQ64" s="11">
        <f>749565.059150716/(10^3)</f>
        <v>749.56505915071602</v>
      </c>
      <c r="BR64" s="11">
        <f>768702.308869031/(10^3)</f>
        <v>768.70230886903107</v>
      </c>
      <c r="BS64" s="11">
        <f>80090637.4289927/(10^3)</f>
        <v>80090.637428992704</v>
      </c>
      <c r="BT64" s="11">
        <f>812294.9321198/(10^3)</f>
        <v>812.29493211980002</v>
      </c>
      <c r="BU64" s="11">
        <f>816559.199740509/(10^3)</f>
        <v>816.55919974050903</v>
      </c>
      <c r="BV64" s="11">
        <f>829116.355127486/(10^3)</f>
        <v>829.11635512748603</v>
      </c>
      <c r="BW64" s="11">
        <f>861094.364353749/(10^3)</f>
        <v>861.09436435374892</v>
      </c>
      <c r="BX64" s="11">
        <f>859651.338283753/(10^3)</f>
        <v>859.65133828375303</v>
      </c>
      <c r="BY64" s="11">
        <f>8520.77121434943/(10^3)</f>
        <v>8.5207712143494305</v>
      </c>
      <c r="BZ64" s="11">
        <f>852077.121434943/(10^3)</f>
        <v>852.07712143494302</v>
      </c>
      <c r="CA64" s="11">
        <f>873892.192289439/(10^3)</f>
        <v>873.89219228943898</v>
      </c>
      <c r="CB64" s="11">
        <f>883198.120662623/(10^3)</f>
        <v>883.19812066262296</v>
      </c>
      <c r="CC64" s="12"/>
      <c r="CZ64" s="11">
        <v>403.58898179616301</v>
      </c>
      <c r="DA64" s="11">
        <v>439.74564246485244</v>
      </c>
      <c r="DB64" s="11">
        <v>495.85536761017863</v>
      </c>
      <c r="DC64" s="11">
        <v>532.29240705482175</v>
      </c>
      <c r="DD64" s="11">
        <v>682.45513440608647</v>
      </c>
      <c r="DE64" s="11">
        <v>852.07712143494257</v>
      </c>
      <c r="DG64" s="11">
        <v>369.69088954446016</v>
      </c>
      <c r="DH64" s="11">
        <v>406.04043493232803</v>
      </c>
      <c r="DI64" s="11">
        <v>446.31898729049681</v>
      </c>
      <c r="DJ64" s="11">
        <v>517.00091632837405</v>
      </c>
      <c r="DK64" s="11">
        <v>559.02303274452993</v>
      </c>
      <c r="DL64" s="11">
        <v>800.90637428992682</v>
      </c>
    </row>
    <row r="65" spans="4:116" ht="15.6" outlineLevel="1" x14ac:dyDescent="0.25">
      <c r="D65" s="10" t="s">
        <v>127</v>
      </c>
      <c r="E65" s="10" t="s">
        <v>47</v>
      </c>
      <c r="F65" s="10" t="s">
        <v>151</v>
      </c>
      <c r="G65" s="10" t="s">
        <v>182</v>
      </c>
      <c r="H65" s="62"/>
      <c r="I65" s="11">
        <f>662778.163281062/(10^3)</f>
        <v>662.77816328106201</v>
      </c>
      <c r="J65" s="11">
        <f>652066.688220789/(10^3)</f>
        <v>652.06668822078893</v>
      </c>
      <c r="K65" s="11">
        <f>63995535.9136884/(10^3)</f>
        <v>63995.5359136884</v>
      </c>
      <c r="L65" s="11">
        <f>670829.546058127/(10^3)</f>
        <v>670.82954605812699</v>
      </c>
      <c r="M65" s="11">
        <f>703898.067564407/(10^3)</f>
        <v>703.89806756440703</v>
      </c>
      <c r="N65" s="11">
        <f>727071.421858912/(10^3)</f>
        <v>727.071421858912</v>
      </c>
      <c r="O65" s="11">
        <f>747153.78415362/(10^3)</f>
        <v>747.15378415361999</v>
      </c>
      <c r="P65" s="11">
        <f>771870.229661889/(10^3)</f>
        <v>771.87022966188897</v>
      </c>
      <c r="Q65" s="11">
        <f>8101.98423354903/(10^3)</f>
        <v>8.1019842335490306</v>
      </c>
      <c r="R65" s="11">
        <f>840169.36256483/(10^3)</f>
        <v>840.16936256482995</v>
      </c>
      <c r="S65" s="11">
        <f>831215.437441484/(10^3)</f>
        <v>831.21543744148391</v>
      </c>
      <c r="T65" s="11">
        <f>819812.842176746/(10^3)</f>
        <v>819.81284217674602</v>
      </c>
      <c r="U65" s="11">
        <f>810393.09982978/(10^3)</f>
        <v>810.39309982978</v>
      </c>
      <c r="V65" s="11">
        <f>807948.074799786/(10^3)</f>
        <v>807.94807479978601</v>
      </c>
      <c r="W65" s="11">
        <f>80085769.3547731/(10^3)</f>
        <v>80085.769354773103</v>
      </c>
      <c r="X65" s="11">
        <f>795514.241415691/(10^3)</f>
        <v>795.514241415691</v>
      </c>
      <c r="Y65" s="11">
        <f>797082.402857502/(10^3)</f>
        <v>797.08240285750196</v>
      </c>
      <c r="Z65" s="11">
        <f>801536.899943812/(10^3)</f>
        <v>801.53689994381205</v>
      </c>
      <c r="AA65" s="11">
        <f>788559.419005669/(10^3)</f>
        <v>788.55941900566893</v>
      </c>
      <c r="AB65" s="11">
        <f>780326.58659227/(10^3)</f>
        <v>780.3265865922699</v>
      </c>
      <c r="AC65" s="11">
        <f>7998.96641851875/(10^3)</f>
        <v>7.9989664185187506</v>
      </c>
      <c r="AD65" s="11">
        <f>799208.107782592/(10^3)</f>
        <v>799.20810778259192</v>
      </c>
      <c r="AE65" s="11">
        <f>820442.155513287/(10^3)</f>
        <v>820.44215551328705</v>
      </c>
      <c r="AF65" s="11">
        <f>860273.887147356/(10^3)</f>
        <v>860.27388714735605</v>
      </c>
      <c r="AG65" s="11">
        <f>851929.814265796/(10^3)</f>
        <v>851.92981426579604</v>
      </c>
      <c r="AH65" s="11">
        <f>851301.135683916/(10^3)</f>
        <v>851.30113568391607</v>
      </c>
      <c r="AI65" s="11">
        <f>89074427.2441071/(10^3)</f>
        <v>89074.427244107093</v>
      </c>
      <c r="AJ65" s="11">
        <f>874558.759904035/(10^3)</f>
        <v>874.55875990403501</v>
      </c>
      <c r="AK65" s="11">
        <f>864377.182868493/(10^3)</f>
        <v>864.37718286849304</v>
      </c>
      <c r="AL65" s="11">
        <f>853218.106828036/(10^3)</f>
        <v>853.21810682803607</v>
      </c>
      <c r="AM65" s="11">
        <f>848888.975006827/(10^3)</f>
        <v>848.88897500682708</v>
      </c>
      <c r="AN65" s="11">
        <f>839683.964111793/(10^3)</f>
        <v>839.68396411179299</v>
      </c>
      <c r="AO65" s="11">
        <f>8259.46638881386/(10^3)</f>
        <v>8.2594663888138609</v>
      </c>
      <c r="AP65" s="11">
        <f>840588.661235711/(10^3)</f>
        <v>840.5886612357109</v>
      </c>
      <c r="AQ65" s="11">
        <f>836978.887934829/(10^3)</f>
        <v>836.978887934829</v>
      </c>
      <c r="AR65" s="11">
        <f>834685.889239073/(10^3)</f>
        <v>834.68588923907305</v>
      </c>
      <c r="AS65" s="11">
        <f>862814.28910019/(10^3)</f>
        <v>862.81428910019008</v>
      </c>
      <c r="AT65" s="11">
        <f>900853.771778658/(10^3)</f>
        <v>900.85377177865803</v>
      </c>
      <c r="AU65" s="11">
        <f>90151909.0783568/(10^3)</f>
        <v>90151.909078356795</v>
      </c>
      <c r="AV65" s="11">
        <f>893130.430409948/(10^3)</f>
        <v>893.13043040994796</v>
      </c>
      <c r="AW65" s="11">
        <f>883962.901979765/(10^3)</f>
        <v>883.96290197976509</v>
      </c>
      <c r="AX65" s="11">
        <f>868736.562113976/(10^3)</f>
        <v>868.73656211397599</v>
      </c>
      <c r="AY65" s="11">
        <f>860627.45545903/(10^3)</f>
        <v>860.62745545902999</v>
      </c>
      <c r="AZ65" s="11">
        <f>879380.925896497/(10^3)</f>
        <v>879.38092589649693</v>
      </c>
      <c r="BA65" s="11">
        <f>8841.82129891048/(10^3)</f>
        <v>8.8418212989104799</v>
      </c>
      <c r="BB65" s="11">
        <f>872233.998167832/(10^3)</f>
        <v>872.23399816783206</v>
      </c>
      <c r="BC65" s="11">
        <f>912605.012263015/(10^3)</f>
        <v>912.60501226301506</v>
      </c>
      <c r="BD65" s="11">
        <f>922915.805036262/(10^3)</f>
        <v>922.91580503626199</v>
      </c>
      <c r="BE65" s="11">
        <f>919848.338571785/(10^3)</f>
        <v>919.84833857178501</v>
      </c>
      <c r="BF65" s="11">
        <f>905609.012518849/(10^3)</f>
        <v>905.609012518849</v>
      </c>
      <c r="BG65" s="11">
        <f>94114180.2475625/(10^3)</f>
        <v>94114.180247562501</v>
      </c>
      <c r="BH65" s="11">
        <f>985987.285440775/(10^3)</f>
        <v>985.98728544077494</v>
      </c>
      <c r="BI65" s="11">
        <f>1009026.14074451/(10^3)</f>
        <v>1009.02614074451</v>
      </c>
      <c r="BJ65" s="11">
        <f>996201.112172787/(10^3)</f>
        <v>996.20111217278691</v>
      </c>
      <c r="BK65" s="11">
        <f>992947.738999631/(10^3)</f>
        <v>992.94773899963104</v>
      </c>
      <c r="BL65" s="11">
        <f>1003333.97329238/(10^3)</f>
        <v>1003.3339732923799</v>
      </c>
      <c r="BM65" s="11">
        <f>10153.7875636383/(10^3)</f>
        <v>10.1537875636383</v>
      </c>
      <c r="BN65" s="11">
        <f>1009533.19170273/(10^3)</f>
        <v>1009.5331917027301</v>
      </c>
      <c r="BO65" s="11">
        <f>990364.568842709/(10^3)</f>
        <v>990.36456884270899</v>
      </c>
      <c r="BP65" s="11">
        <f>1016933.07179234/(10^3)</f>
        <v>1016.93307179234</v>
      </c>
      <c r="BQ65" s="11">
        <f>1045695.12099619/(10^3)</f>
        <v>1045.6951209961901</v>
      </c>
      <c r="BR65" s="11">
        <f>1033374.36986218/(10^3)</f>
        <v>1033.3743698621799</v>
      </c>
      <c r="BS65" s="11">
        <f>101310447.572764/(10^3)</f>
        <v>101310.44757276399</v>
      </c>
      <c r="BT65" s="11">
        <f>1002448.13557799/(10^3)</f>
        <v>1002.44813557799</v>
      </c>
      <c r="BU65" s="11">
        <f>1041158.95228475/(10^3)</f>
        <v>1041.1589522847501</v>
      </c>
      <c r="BV65" s="11">
        <f>1074068.04599194/(10^3)</f>
        <v>1074.0680459919399</v>
      </c>
      <c r="BW65" s="11">
        <f>1074949.47262612/(10^3)</f>
        <v>1074.94947262612</v>
      </c>
      <c r="BX65" s="11">
        <f>1106750.44471952/(10^3)</f>
        <v>1106.7504447195199</v>
      </c>
      <c r="BY65" s="11">
        <f>11728.4750601031/(10^3)</f>
        <v>11.728475060103099</v>
      </c>
      <c r="BZ65" s="11">
        <f>1172847.50601031/(10^3)</f>
        <v>1172.8475060103101</v>
      </c>
      <c r="CA65" s="11">
        <f>1228609.11073207/(10^3)</f>
        <v>1228.6091107320699</v>
      </c>
      <c r="CB65" s="11">
        <f>1258608.67623284/(10^3)</f>
        <v>1258.60867623284</v>
      </c>
      <c r="CC65" s="12"/>
      <c r="CZ65" s="11">
        <v>810.19842335490296</v>
      </c>
      <c r="DA65" s="11">
        <v>799.89664185187496</v>
      </c>
      <c r="DB65" s="11">
        <v>825.94663888138575</v>
      </c>
      <c r="DC65" s="11">
        <v>884.18212989104825</v>
      </c>
      <c r="DD65" s="11">
        <v>1015.3787563638324</v>
      </c>
      <c r="DE65" s="11">
        <v>1172.847506010306</v>
      </c>
      <c r="DG65" s="11">
        <v>639.95535913688354</v>
      </c>
      <c r="DH65" s="11">
        <v>800.85769354773095</v>
      </c>
      <c r="DI65" s="11">
        <v>890.74427244107062</v>
      </c>
      <c r="DJ65" s="11">
        <v>901.51909078356812</v>
      </c>
      <c r="DK65" s="11">
        <v>941.14180247562456</v>
      </c>
      <c r="DL65" s="11">
        <v>1013.1044757276431</v>
      </c>
    </row>
    <row r="66" spans="4:116" ht="15.6" outlineLevel="1" x14ac:dyDescent="0.25">
      <c r="D66" s="10" t="s">
        <v>128</v>
      </c>
      <c r="E66" s="10" t="s">
        <v>47</v>
      </c>
      <c r="F66" s="10" t="s">
        <v>151</v>
      </c>
      <c r="G66" s="10" t="s">
        <v>182</v>
      </c>
      <c r="H66" s="62"/>
      <c r="I66" s="11">
        <f>1108429.9385482/(10^3)</f>
        <v>1108.4299385482</v>
      </c>
      <c r="J66" s="11">
        <f>1120342.056893/(10^3)</f>
        <v>1120.3420568929998</v>
      </c>
      <c r="K66" s="11">
        <f>109823724.625913/(10^3)</f>
        <v>109823.72462591299</v>
      </c>
      <c r="L66" s="11">
        <f>1112222.30118817/(10^3)</f>
        <v>1112.2223011881699</v>
      </c>
      <c r="M66" s="11">
        <f>1140635.34070548/(10^3)</f>
        <v>1140.6353407054798</v>
      </c>
      <c r="N66" s="11">
        <f>1184752.95469601/(10^3)</f>
        <v>1184.7529546960102</v>
      </c>
      <c r="O66" s="11">
        <f>1233091.05882823/(10^3)</f>
        <v>1233.09105882823</v>
      </c>
      <c r="P66" s="11">
        <f>1257188.76867641/(10^3)</f>
        <v>1257.1887686764101</v>
      </c>
      <c r="Q66" s="11">
        <f>12468.4082890314/(10^3)</f>
        <v>12.4684082890314</v>
      </c>
      <c r="R66" s="11">
        <f>1268552.21853159/(10^3)</f>
        <v>1268.5522185315899</v>
      </c>
      <c r="S66" s="11">
        <f>1307894.3282669/(10^3)</f>
        <v>1307.8943282668999</v>
      </c>
      <c r="T66" s="11">
        <f>1297821.50379009/(10^3)</f>
        <v>1297.82150379009</v>
      </c>
      <c r="U66" s="11">
        <f>1283171.80519257/(10^3)</f>
        <v>1283.17180519257</v>
      </c>
      <c r="V66" s="11">
        <f>1265339.72308609/(10^3)</f>
        <v>1265.3397230860901</v>
      </c>
      <c r="W66" s="11">
        <f>124783470.955825/(10^3)</f>
        <v>124783.470955825</v>
      </c>
      <c r="X66" s="11">
        <f>1246732.15939646/(10^3)</f>
        <v>1246.73215939646</v>
      </c>
      <c r="Y66" s="11">
        <f>1278128.65859215/(10^3)</f>
        <v>1278.12865859215</v>
      </c>
      <c r="Z66" s="11">
        <f>1271385.27179367/(10^3)</f>
        <v>1271.38527179367</v>
      </c>
      <c r="AA66" s="11">
        <f>1300895.10055325/(10^3)</f>
        <v>1300.8951005532499</v>
      </c>
      <c r="AB66" s="11">
        <f>1278832.53544632/(10^3)</f>
        <v>1278.83253544632</v>
      </c>
      <c r="AC66" s="11">
        <f>12563.660763251/(10^3)</f>
        <v>12.563660763251001</v>
      </c>
      <c r="AD66" s="11">
        <f>1243611.72442141/(10^3)</f>
        <v>1243.6117244214099</v>
      </c>
      <c r="AE66" s="11">
        <f>1235061.28782889/(10^3)</f>
        <v>1235.0612878288898</v>
      </c>
      <c r="AF66" s="11">
        <f>1233000.93592346/(10^3)</f>
        <v>1233.00093592346</v>
      </c>
      <c r="AG66" s="11">
        <f>1273574.03056354/(10^3)</f>
        <v>1273.57403056354</v>
      </c>
      <c r="AH66" s="11">
        <f>1296307.66031425/(10^3)</f>
        <v>1296.3076603142501</v>
      </c>
      <c r="AI66" s="11">
        <f>128551974.03358/(10^3)</f>
        <v>128551.97403358</v>
      </c>
      <c r="AJ66" s="11">
        <f>1288201.44807111/(10^3)</f>
        <v>1288.20144807111</v>
      </c>
      <c r="AK66" s="11">
        <f>1266312.59887612/(10^3)</f>
        <v>1266.3125988761201</v>
      </c>
      <c r="AL66" s="11">
        <f>1252520.84964938/(10^3)</f>
        <v>1252.5208496493799</v>
      </c>
      <c r="AM66" s="11">
        <f>1295881.17229897/(10^3)</f>
        <v>1295.8811722989699</v>
      </c>
      <c r="AN66" s="11">
        <f>1283039.13901289/(10^3)</f>
        <v>1283.03913901289</v>
      </c>
      <c r="AO66" s="11">
        <f>12685.7243768908/(10^3)</f>
        <v>12.6857243768908</v>
      </c>
      <c r="AP66" s="11">
        <f>1257185.28140495/(10^3)</f>
        <v>1257.18528140495</v>
      </c>
      <c r="AQ66" s="11">
        <f>1253843.9163119/(10^3)</f>
        <v>1253.8439163118999</v>
      </c>
      <c r="AR66" s="11">
        <f>1259786.11186092/(10^3)</f>
        <v>1259.7861118609201</v>
      </c>
      <c r="AS66" s="11">
        <f>1249958.13624678/(10^3)</f>
        <v>1249.95813624678</v>
      </c>
      <c r="AT66" s="11">
        <f>1234076.39838222/(10^3)</f>
        <v>1234.0763983822198</v>
      </c>
      <c r="AU66" s="11">
        <f>125315559.249616/(10^3)</f>
        <v>125315.559249616</v>
      </c>
      <c r="AV66" s="11">
        <f>1276406.85821753/(10^3)</f>
        <v>1276.40685821753</v>
      </c>
      <c r="AW66" s="11">
        <f>1274490.61620948/(10^3)</f>
        <v>1274.4906162094799</v>
      </c>
      <c r="AX66" s="11">
        <f>1316527.76867415/(10^3)</f>
        <v>1316.5277686741501</v>
      </c>
      <c r="AY66" s="11">
        <f>1343227.9501603/(10^3)</f>
        <v>1343.2279501603</v>
      </c>
      <c r="AZ66" s="11">
        <f>1334792.53676634/(10^3)</f>
        <v>1334.7925367663399</v>
      </c>
      <c r="BA66" s="11">
        <f>13446.5195792957/(10^3)</f>
        <v>13.4465195792957</v>
      </c>
      <c r="BB66" s="11">
        <f>1325349.78609009/(10^3)</f>
        <v>1325.34978609009</v>
      </c>
      <c r="BC66" s="11">
        <f>1309430.54051328/(10^3)</f>
        <v>1309.43054051328</v>
      </c>
      <c r="BD66" s="11">
        <f>1292377.49875488/(10^3)</f>
        <v>1292.37749875488</v>
      </c>
      <c r="BE66" s="11">
        <f>1328505.19870205/(10^3)</f>
        <v>1328.5051987020499</v>
      </c>
      <c r="BF66" s="11">
        <f>1351495.62329258/(10^3)</f>
        <v>1351.4956232925799</v>
      </c>
      <c r="BG66" s="11">
        <f>138361747.709803/(10^3)</f>
        <v>138361.74770980299</v>
      </c>
      <c r="BH66" s="11">
        <f>1366183.2515294/(10^3)</f>
        <v>1366.1832515294</v>
      </c>
      <c r="BI66" s="11">
        <f>1340744.29499016/(10^3)</f>
        <v>1340.7442949901601</v>
      </c>
      <c r="BJ66" s="11">
        <f>1354006.25411863/(10^3)</f>
        <v>1354.0062541186301</v>
      </c>
      <c r="BK66" s="11">
        <f>1406200.30377062/(10^3)</f>
        <v>1406.2003037706199</v>
      </c>
      <c r="BL66" s="11">
        <f>1405425.31675538/(10^3)</f>
        <v>1405.42531675538</v>
      </c>
      <c r="BM66" s="11">
        <f>14337.63456878/(10^3)</f>
        <v>14.33763456878</v>
      </c>
      <c r="BN66" s="11">
        <f>1481590.97120203/(10^3)</f>
        <v>1481.59097120203</v>
      </c>
      <c r="BO66" s="11">
        <f>1463773.9385235/(10^3)</f>
        <v>1463.7739385235</v>
      </c>
      <c r="BP66" s="11">
        <f>1530877.83077781/(10^3)</f>
        <v>1530.87783077781</v>
      </c>
      <c r="BQ66" s="11">
        <f>1554406.12045859/(10^3)</f>
        <v>1554.4061204585901</v>
      </c>
      <c r="BR66" s="11">
        <f>1549607.92979176/(10^3)</f>
        <v>1549.6079297917599</v>
      </c>
      <c r="BS66" s="11">
        <f>157038018.5529/(10^3)</f>
        <v>157038.0185529</v>
      </c>
      <c r="BT66" s="11">
        <f>1563860.67520691/(10^3)</f>
        <v>1563.8606752069099</v>
      </c>
      <c r="BU66" s="11">
        <f>1532683.35346977/(10^3)</f>
        <v>1532.6833534697698</v>
      </c>
      <c r="BV66" s="11">
        <f>1572059.61640923/(10^3)</f>
        <v>1572.0596164092301</v>
      </c>
      <c r="BW66" s="11">
        <f>1620155.35429949/(10^3)</f>
        <v>1620.15535429949</v>
      </c>
      <c r="BX66" s="11">
        <f>1668461.78621706/(10^3)</f>
        <v>1668.4617862170599</v>
      </c>
      <c r="BY66" s="11">
        <f>17320.5491153583/(10^3)</f>
        <v>17.3205491153583</v>
      </c>
      <c r="BZ66" s="11">
        <f>1732054.91153583/(10^3)</f>
        <v>1732.0549115358301</v>
      </c>
      <c r="CA66" s="11">
        <f>1717528.0046018/(10^3)</f>
        <v>1717.5280046018001</v>
      </c>
      <c r="CB66" s="11">
        <f>1756688.51531864/(10^3)</f>
        <v>1756.6885153186399</v>
      </c>
      <c r="CC66" s="12"/>
      <c r="CZ66" s="11">
        <v>1246.8408289031386</v>
      </c>
      <c r="DA66" s="11">
        <v>1256.3660763251034</v>
      </c>
      <c r="DB66" s="11">
        <v>1268.5724376890764</v>
      </c>
      <c r="DC66" s="11">
        <v>1344.6519579295666</v>
      </c>
      <c r="DD66" s="11">
        <v>1433.7634568780024</v>
      </c>
      <c r="DE66" s="11">
        <v>1732.0549115358347</v>
      </c>
      <c r="DG66" s="11">
        <v>1098.2372462591277</v>
      </c>
      <c r="DH66" s="11">
        <v>1247.8347095582542</v>
      </c>
      <c r="DI66" s="11">
        <v>1285.5197403358045</v>
      </c>
      <c r="DJ66" s="11">
        <v>1253.1555924961576</v>
      </c>
      <c r="DK66" s="11">
        <v>1383.6174770980299</v>
      </c>
      <c r="DL66" s="11">
        <v>1570.3801855289976</v>
      </c>
    </row>
    <row r="67" spans="4:116" ht="15.6" outlineLevel="1" x14ac:dyDescent="0.25">
      <c r="D67" s="10" t="s">
        <v>129</v>
      </c>
      <c r="E67" s="10" t="s">
        <v>47</v>
      </c>
      <c r="F67" s="10" t="s">
        <v>151</v>
      </c>
      <c r="G67" s="10" t="s">
        <v>182</v>
      </c>
      <c r="H67" s="62"/>
      <c r="I67" s="11">
        <f>496373.431458853/(10^3)</f>
        <v>496.37343145885302</v>
      </c>
      <c r="J67" s="11">
        <f>519887.08655372/(10^3)</f>
        <v>519.88708655372</v>
      </c>
      <c r="K67" s="11">
        <f>53072916.0132736/(10^3)</f>
        <v>53072.9160132736</v>
      </c>
      <c r="L67" s="11">
        <f>536358.001959959/(10^3)</f>
        <v>536.3580019599591</v>
      </c>
      <c r="M67" s="11">
        <f>528486.750578026/(10^3)</f>
        <v>528.48675057802609</v>
      </c>
      <c r="N67" s="11">
        <f>530948.043852455/(10^3)</f>
        <v>530.94804385245493</v>
      </c>
      <c r="O67" s="11">
        <f>536815.24911119/(10^3)</f>
        <v>536.81524911118993</v>
      </c>
      <c r="P67" s="11">
        <f>547908.490360288/(10^3)</f>
        <v>547.90849036028794</v>
      </c>
      <c r="Q67" s="11">
        <f>5544.65752856519/(10^3)</f>
        <v>5.5446575285651898</v>
      </c>
      <c r="R67" s="11">
        <f>557460.512035505/(10^3)</f>
        <v>557.46051203550508</v>
      </c>
      <c r="S67" s="11">
        <f>566138.663662481/(10^3)</f>
        <v>566.13866366248101</v>
      </c>
      <c r="T67" s="11">
        <f>583356.104830108/(10^3)</f>
        <v>583.35610483010805</v>
      </c>
      <c r="U67" s="11">
        <f>578063.619554611/(10^3)</f>
        <v>578.06361955461102</v>
      </c>
      <c r="V67" s="11">
        <f>572475.672207748/(10^3)</f>
        <v>572.47567220774806</v>
      </c>
      <c r="W67" s="11">
        <f>56373847.7919678/(10^3)</f>
        <v>56373.847791967804</v>
      </c>
      <c r="X67" s="11">
        <f>572778.285069689/(10^3)</f>
        <v>572.77828506968899</v>
      </c>
      <c r="Y67" s="11">
        <f>596848.772278349/(10^3)</f>
        <v>596.84877227834909</v>
      </c>
      <c r="Z67" s="11">
        <f>625723.050208269/(10^3)</f>
        <v>625.723050208269</v>
      </c>
      <c r="AA67" s="11">
        <f>632795.135037018/(10^3)</f>
        <v>632.79513503701799</v>
      </c>
      <c r="AB67" s="11">
        <f>623717.575537874/(10^3)</f>
        <v>623.71757553787404</v>
      </c>
      <c r="AC67" s="11">
        <f>6470.92323869222/(10^3)</f>
        <v>6.4709232386922206</v>
      </c>
      <c r="AD67" s="11">
        <f>662452.554038011/(10^3)</f>
        <v>662.45255403801104</v>
      </c>
      <c r="AE67" s="11">
        <f>652828.925835101/(10^3)</f>
        <v>652.82892583510102</v>
      </c>
      <c r="AF67" s="11">
        <f>680399.796645682/(10^3)</f>
        <v>680.39979664568193</v>
      </c>
      <c r="AG67" s="11">
        <f>679725.169193751/(10^3)</f>
        <v>679.72516919375096</v>
      </c>
      <c r="AH67" s="11">
        <f>677495.897895242/(10^3)</f>
        <v>677.49589789524202</v>
      </c>
      <c r="AI67" s="11">
        <f>67498443.4075915/(10^3)</f>
        <v>67498.443407591505</v>
      </c>
      <c r="AJ67" s="11">
        <f>692503.131118774/(10^3)</f>
        <v>692.50313111877392</v>
      </c>
      <c r="AK67" s="11">
        <f>706123.963270085/(10^3)</f>
        <v>706.12396327008503</v>
      </c>
      <c r="AL67" s="11">
        <f>700752.11410727/(10^3)</f>
        <v>700.75211410727002</v>
      </c>
      <c r="AM67" s="11">
        <f>702753.113854684/(10^3)</f>
        <v>702.7531138546841</v>
      </c>
      <c r="AN67" s="11">
        <f>696927.436844349/(10^3)</f>
        <v>696.92743684434902</v>
      </c>
      <c r="AO67" s="11">
        <f>7220.11568917827/(10^3)</f>
        <v>7.2201156891782698</v>
      </c>
      <c r="AP67" s="11">
        <f>713899.348321631/(10^3)</f>
        <v>713.89934832163101</v>
      </c>
      <c r="AQ67" s="11">
        <f>700939.097680046/(10^3)</f>
        <v>700.93909768004596</v>
      </c>
      <c r="AR67" s="11">
        <f>695667.461524377/(10^3)</f>
        <v>695.66746152437702</v>
      </c>
      <c r="AS67" s="11">
        <f>720652.711273314/(10^3)</f>
        <v>720.65271127331391</v>
      </c>
      <c r="AT67" s="11">
        <f>723403.143293269/(10^3)</f>
        <v>723.40314329326895</v>
      </c>
      <c r="AU67" s="11">
        <f>73959519.9881814/(10^3)</f>
        <v>73959.519988181404</v>
      </c>
      <c r="AV67" s="11">
        <f>726217.534044209/(10^3)</f>
        <v>726.21753404420906</v>
      </c>
      <c r="AW67" s="11">
        <f>718389.005210589/(10^3)</f>
        <v>718.38900521058906</v>
      </c>
      <c r="AX67" s="11">
        <f>717819.763609798/(10^3)</f>
        <v>717.81976360979809</v>
      </c>
      <c r="AY67" s="11">
        <f>713463.180140645/(10^3)</f>
        <v>713.46318014064502</v>
      </c>
      <c r="AZ67" s="11">
        <f>738655.98638092/(10^3)</f>
        <v>738.65598638092001</v>
      </c>
      <c r="BA67" s="11">
        <f>7738.9007489208/(10^3)</f>
        <v>7.7389007489208002</v>
      </c>
      <c r="BB67" s="11">
        <f>798486.28663238/(10^3)</f>
        <v>798.48628663238003</v>
      </c>
      <c r="BC67" s="11">
        <f>784633.503104466/(10^3)</f>
        <v>784.63350310446606</v>
      </c>
      <c r="BD67" s="11">
        <f>799133.706637053/(10^3)</f>
        <v>799.13370663705302</v>
      </c>
      <c r="BE67" s="11">
        <f>837693.820003035/(10^3)</f>
        <v>837.69382000303506</v>
      </c>
      <c r="BF67" s="11">
        <f>871160.958538003/(10^3)</f>
        <v>871.160958538003</v>
      </c>
      <c r="BG67" s="11">
        <f>91015411.4071487/(10^3)</f>
        <v>91015.411407148698</v>
      </c>
      <c r="BH67" s="11">
        <f>917268.473315315/(10^3)</f>
        <v>917.26847331531496</v>
      </c>
      <c r="BI67" s="11">
        <f>909110.779762412/(10^3)</f>
        <v>909.11077976241199</v>
      </c>
      <c r="BJ67" s="11">
        <f>946819.457260856/(10^3)</f>
        <v>946.8194572608561</v>
      </c>
      <c r="BK67" s="11">
        <f>958532.8403486/(10^3)</f>
        <v>958.53284034859996</v>
      </c>
      <c r="BL67" s="11">
        <f>964894.431620681/(10^3)</f>
        <v>964.89443162068096</v>
      </c>
      <c r="BM67" s="11">
        <f>10097.2474320292/(10^3)</f>
        <v>10.097247432029201</v>
      </c>
      <c r="BN67" s="11">
        <f>1033941.61472512/(10^3)</f>
        <v>1033.94161472512</v>
      </c>
      <c r="BO67" s="11">
        <f>1079497.56805543/(10^3)</f>
        <v>1079.4975680554301</v>
      </c>
      <c r="BP67" s="11">
        <f>1093497.65734269/(10^3)</f>
        <v>1093.49765734269</v>
      </c>
      <c r="BQ67" s="11">
        <f>1090869.97084814/(10^3)</f>
        <v>1090.8699708481402</v>
      </c>
      <c r="BR67" s="11">
        <f>1132408.96206665/(10^3)</f>
        <v>1132.40896206665</v>
      </c>
      <c r="BS67" s="11">
        <f>111519446.339679/(10^3)</f>
        <v>111519.44633967901</v>
      </c>
      <c r="BT67" s="11">
        <f>1124192.35326784/(10^3)</f>
        <v>1124.1923532678402</v>
      </c>
      <c r="BU67" s="11">
        <f>1150162.74029471/(10^3)</f>
        <v>1150.1627402947101</v>
      </c>
      <c r="BV67" s="11">
        <f>1184767.53186351/(10^3)</f>
        <v>1184.7675318635099</v>
      </c>
      <c r="BW67" s="11">
        <f>1235716.24526546/(10^3)</f>
        <v>1235.7162452654602</v>
      </c>
      <c r="BX67" s="11">
        <f>1236526.03435774/(10^3)</f>
        <v>1236.5260343577402</v>
      </c>
      <c r="BY67" s="11">
        <f>12905.0796707899/(10^3)</f>
        <v>12.905079670789901</v>
      </c>
      <c r="BZ67" s="11">
        <f>1290507.96707899/(10^3)</f>
        <v>1290.5079670789901</v>
      </c>
      <c r="CA67" s="11">
        <f>1297293.85750428/(10^3)</f>
        <v>1297.2938575042801</v>
      </c>
      <c r="CB67" s="11">
        <f>1301651.48118997/(10^3)</f>
        <v>1301.6514811899699</v>
      </c>
      <c r="CC67" s="12"/>
      <c r="CZ67" s="11">
        <v>554.46575285651909</v>
      </c>
      <c r="DA67" s="11">
        <v>647.09232386922235</v>
      </c>
      <c r="DB67" s="11">
        <v>722.01156891782728</v>
      </c>
      <c r="DC67" s="11">
        <v>773.89007489207984</v>
      </c>
      <c r="DD67" s="11">
        <v>1009.7247432029196</v>
      </c>
      <c r="DE67" s="11">
        <v>1290.5079670789914</v>
      </c>
      <c r="DG67" s="11">
        <v>530.72916013273618</v>
      </c>
      <c r="DH67" s="11">
        <v>563.73847791967762</v>
      </c>
      <c r="DI67" s="11">
        <v>674.98443407591492</v>
      </c>
      <c r="DJ67" s="11">
        <v>739.59519988181421</v>
      </c>
      <c r="DK67" s="11">
        <v>910.15411407148667</v>
      </c>
      <c r="DL67" s="11">
        <v>1115.1944633967862</v>
      </c>
    </row>
    <row r="68" spans="4:116" ht="15.6" outlineLevel="1" x14ac:dyDescent="0.25">
      <c r="D68" s="10" t="s">
        <v>130</v>
      </c>
      <c r="E68" s="10" t="s">
        <v>50</v>
      </c>
      <c r="F68" s="10" t="s">
        <v>151</v>
      </c>
      <c r="G68" s="10" t="s">
        <v>182</v>
      </c>
      <c r="H68" s="62"/>
      <c r="I68" s="11">
        <f>377881.854265887/(10^3)</f>
        <v>377.881854265887</v>
      </c>
      <c r="J68" s="11">
        <f>387629.298091571/(10^3)</f>
        <v>387.629298091571</v>
      </c>
      <c r="K68" s="11">
        <f>40290272.6199312/(10^3)</f>
        <v>40290.272619931202</v>
      </c>
      <c r="L68" s="11">
        <f>395978.097474519/(10^3)</f>
        <v>395.97809747451896</v>
      </c>
      <c r="M68" s="11">
        <f>411193.984948918/(10^3)</f>
        <v>411.193984948918</v>
      </c>
      <c r="N68" s="11">
        <f>428341.187073595/(10^3)</f>
        <v>428.34118707359499</v>
      </c>
      <c r="O68" s="11">
        <f>445405.771715163/(10^3)</f>
        <v>445.40577171516304</v>
      </c>
      <c r="P68" s="11">
        <f>466516.062370895/(10^3)</f>
        <v>466.51606237089499</v>
      </c>
      <c r="Q68" s="11">
        <f>4727.31279784064/(10^3)</f>
        <v>4.7273127978406402</v>
      </c>
      <c r="R68" s="11">
        <f>487451.314816577/(10^3)</f>
        <v>487.451314816577</v>
      </c>
      <c r="S68" s="11">
        <f>478469.172450545/(10^3)</f>
        <v>478.46917245054499</v>
      </c>
      <c r="T68" s="11">
        <f>469013.939150073/(10^3)</f>
        <v>469.01393915007299</v>
      </c>
      <c r="U68" s="11">
        <f>485928.854909735/(10^3)</f>
        <v>485.92885490973498</v>
      </c>
      <c r="V68" s="11">
        <f>489519.924900658/(10^3)</f>
        <v>489.519924900658</v>
      </c>
      <c r="W68" s="11">
        <f>48271773.7593008/(10^3)</f>
        <v>48271.773759300799</v>
      </c>
      <c r="X68" s="11">
        <f>498606.271925874/(10^3)</f>
        <v>498.60627192587401</v>
      </c>
      <c r="Y68" s="11">
        <f>509177.393890717/(10^3)</f>
        <v>509.17739389071698</v>
      </c>
      <c r="Z68" s="11">
        <f>502536.256635913/(10^3)</f>
        <v>502.53625663591299</v>
      </c>
      <c r="AA68" s="11">
        <f>506798.609636417/(10^3)</f>
        <v>506.79860963641698</v>
      </c>
      <c r="AB68" s="11">
        <f>506218.094508154/(10^3)</f>
        <v>506.21809450815402</v>
      </c>
      <c r="AC68" s="11">
        <f>5266.61020343708/(10^3)</f>
        <v>5.2666102034370796</v>
      </c>
      <c r="AD68" s="11">
        <f>516839.732596002/(10^3)</f>
        <v>516.83973259600202</v>
      </c>
      <c r="AE68" s="11">
        <f>527729.085771487/(10^3)</f>
        <v>527.72908577148701</v>
      </c>
      <c r="AF68" s="11">
        <f>533882.803813664/(10^3)</f>
        <v>533.88280381366405</v>
      </c>
      <c r="AG68" s="11">
        <f>523372.758074562/(10^3)</f>
        <v>523.37275807456206</v>
      </c>
      <c r="AH68" s="11">
        <f>522881.416564196/(10^3)</f>
        <v>522.881416564196</v>
      </c>
      <c r="AI68" s="11">
        <f>53453261.0466828/(10^3)</f>
        <v>53453.261046682797</v>
      </c>
      <c r="AJ68" s="11">
        <f>533469.542638523/(10^3)</f>
        <v>533.46954263852308</v>
      </c>
      <c r="AK68" s="11">
        <f>529583.02503873/(10^3)</f>
        <v>529.58302503873006</v>
      </c>
      <c r="AL68" s="11">
        <f>521176.132357633/(10^3)</f>
        <v>521.17613235763292</v>
      </c>
      <c r="AM68" s="11">
        <f>514305.086172653/(10^3)</f>
        <v>514.30508617265298</v>
      </c>
      <c r="AN68" s="11">
        <f>504191.848583005/(10^3)</f>
        <v>504.19184858300503</v>
      </c>
      <c r="AO68" s="11">
        <f>5172.05909140158/(10^3)</f>
        <v>5.1720590914015805</v>
      </c>
      <c r="AP68" s="11">
        <f>527936.18562063/(10^3)</f>
        <v>527.93618562063</v>
      </c>
      <c r="AQ68" s="11">
        <f>552543.101117766/(10^3)</f>
        <v>552.54310111776601</v>
      </c>
      <c r="AR68" s="11">
        <f>563036.090046027/(10^3)</f>
        <v>563.03609004602697</v>
      </c>
      <c r="AS68" s="11">
        <f>582660.383882184/(10^3)</f>
        <v>582.66038388218408</v>
      </c>
      <c r="AT68" s="11">
        <f>577474.966988985/(10^3)</f>
        <v>577.47496698898499</v>
      </c>
      <c r="AU68" s="11">
        <f>57625818.4976065/(10^3)</f>
        <v>57625.818497606502</v>
      </c>
      <c r="AV68" s="11">
        <f>567214.478423407/(10^3)</f>
        <v>567.21447842340694</v>
      </c>
      <c r="AW68" s="11">
        <f>589657.701249709/(10^3)</f>
        <v>589.65770124970902</v>
      </c>
      <c r="AX68" s="11">
        <f>597592.660262128/(10^3)</f>
        <v>597.59266026212799</v>
      </c>
      <c r="AY68" s="11">
        <f>586140.531812581/(10^3)</f>
        <v>586.140531812581</v>
      </c>
      <c r="AZ68" s="11">
        <f>603008.215481621/(10^3)</f>
        <v>603.00821548162094</v>
      </c>
      <c r="BA68" s="11">
        <f>6182.17688234513/(10^3)</f>
        <v>6.1821768823451304</v>
      </c>
      <c r="BB68" s="11">
        <f>634142.54771549/(10^3)</f>
        <v>634.14254771548997</v>
      </c>
      <c r="BC68" s="11">
        <f>636773.722402039/(10^3)</f>
        <v>636.77372240203897</v>
      </c>
      <c r="BD68" s="11">
        <f>624079.366574081/(10^3)</f>
        <v>624.07936657408106</v>
      </c>
      <c r="BE68" s="11">
        <f>631664.537489388/(10^3)</f>
        <v>631.66453748938807</v>
      </c>
      <c r="BF68" s="11">
        <f>649984.086641632/(10^3)</f>
        <v>649.98408664163208</v>
      </c>
      <c r="BG68" s="11">
        <f>64428326.1515804/(10^3)</f>
        <v>64428.326151580404</v>
      </c>
      <c r="BH68" s="11">
        <f>661489.655638785/(10^3)</f>
        <v>661.48965563878494</v>
      </c>
      <c r="BI68" s="11">
        <f>689403.171834938/(10^3)</f>
        <v>689.40317183493801</v>
      </c>
      <c r="BJ68" s="11">
        <f>716692.604038212/(10^3)</f>
        <v>716.69260403821204</v>
      </c>
      <c r="BK68" s="11">
        <f>732297.246491617/(10^3)</f>
        <v>732.2972464916171</v>
      </c>
      <c r="BL68" s="11">
        <f>753706.517817544/(10^3)</f>
        <v>753.70651781754407</v>
      </c>
      <c r="BM68" s="11">
        <f>7405.64429777599/(10^3)</f>
        <v>7.4056442977759902</v>
      </c>
      <c r="BN68" s="11">
        <f>740936.550915981/(10^3)</f>
        <v>740.93655091598089</v>
      </c>
      <c r="BO68" s="11">
        <f>760860.721037196/(10^3)</f>
        <v>760.86072103719596</v>
      </c>
      <c r="BP68" s="11">
        <f>754031.569221855/(10^3)</f>
        <v>754.03156922185508</v>
      </c>
      <c r="BQ68" s="11">
        <f>761836.03921594/(10^3)</f>
        <v>761.8360392159401</v>
      </c>
      <c r="BR68" s="11">
        <f>753601.769269868/(10^3)</f>
        <v>753.60176926986799</v>
      </c>
      <c r="BS68" s="11">
        <f>77391073.9252073/(10^3)</f>
        <v>77391.073925207296</v>
      </c>
      <c r="BT68" s="11">
        <f>760638.625709072/(10^3)</f>
        <v>760.63862570907202</v>
      </c>
      <c r="BU68" s="11">
        <f>789067.244234696/(10^3)</f>
        <v>789.06724423469598</v>
      </c>
      <c r="BV68" s="11">
        <f>783861.644901277/(10^3)</f>
        <v>783.86164490127703</v>
      </c>
      <c r="BW68" s="11">
        <f>775432.345774845/(10^3)</f>
        <v>775.43234577484498</v>
      </c>
      <c r="BX68" s="11">
        <f>805455.984095317/(10^3)</f>
        <v>805.45598409531692</v>
      </c>
      <c r="BY68" s="11">
        <f>8274.56649557779/(10^3)</f>
        <v>8.2745664955777904</v>
      </c>
      <c r="BZ68" s="11">
        <f>827456.649557779/(10^3)</f>
        <v>827.45664955777897</v>
      </c>
      <c r="CA68" s="11">
        <f>828148.816983339/(10^3)</f>
        <v>828.14881698333897</v>
      </c>
      <c r="CB68" s="11">
        <f>830391.777658393/(10^3)</f>
        <v>830.39177765839304</v>
      </c>
      <c r="CC68" s="12"/>
      <c r="CZ68" s="11">
        <v>472.73127978406444</v>
      </c>
      <c r="DA68" s="11">
        <v>526.6610203437084</v>
      </c>
      <c r="DB68" s="11">
        <v>517.20590914015816</v>
      </c>
      <c r="DC68" s="11">
        <v>618.21768823451271</v>
      </c>
      <c r="DD68" s="11">
        <v>740.564429777599</v>
      </c>
      <c r="DE68" s="11">
        <v>827.45664955777931</v>
      </c>
      <c r="DG68" s="11">
        <v>402.90272619931164</v>
      </c>
      <c r="DH68" s="11">
        <v>482.71773759300783</v>
      </c>
      <c r="DI68" s="11">
        <v>534.53261046682837</v>
      </c>
      <c r="DJ68" s="11">
        <v>576.25818497606474</v>
      </c>
      <c r="DK68" s="11">
        <v>644.2832615158037</v>
      </c>
      <c r="DL68" s="11">
        <v>773.91073925207331</v>
      </c>
    </row>
    <row r="69" spans="4:116" ht="15.6" outlineLevel="1" x14ac:dyDescent="0.25">
      <c r="D69" s="10" t="s">
        <v>131</v>
      </c>
      <c r="E69" s="10" t="s">
        <v>91</v>
      </c>
      <c r="F69" s="10" t="s">
        <v>151</v>
      </c>
      <c r="G69" s="10" t="s">
        <v>182</v>
      </c>
      <c r="H69" s="62"/>
      <c r="I69" s="11">
        <f>570065.080866076/(10^3)</f>
        <v>570.06508086607607</v>
      </c>
      <c r="J69" s="11">
        <f>590885.58922162/(10^3)</f>
        <v>590.88558922161997</v>
      </c>
      <c r="K69" s="11">
        <f>60633941.9304736/(10^3)</f>
        <v>60633.9419304736</v>
      </c>
      <c r="L69" s="11">
        <f>599978.766282806/(10^3)</f>
        <v>599.97876628280608</v>
      </c>
      <c r="M69" s="11">
        <f>626885.138911295/(10^3)</f>
        <v>626.88513891129503</v>
      </c>
      <c r="N69" s="11">
        <f>623441.159001677/(10^3)</f>
        <v>623.44115900167697</v>
      </c>
      <c r="O69" s="11">
        <f>615031.171298167/(10^3)</f>
        <v>615.03117129816701</v>
      </c>
      <c r="P69" s="11">
        <f>617959.367514299/(10^3)</f>
        <v>617.95936751429895</v>
      </c>
      <c r="Q69" s="11">
        <f>6146.65448889236/(10^3)</f>
        <v>6.1466544888923602</v>
      </c>
      <c r="R69" s="11">
        <f>605230.280234669/(10^3)</f>
        <v>605.23028023466895</v>
      </c>
      <c r="S69" s="11">
        <f>617301.496025712/(10^3)</f>
        <v>617.30149602571203</v>
      </c>
      <c r="T69" s="11">
        <f>608422.0469008/(10^3)</f>
        <v>608.42204690079996</v>
      </c>
      <c r="U69" s="11">
        <f>600416.105455839/(10^3)</f>
        <v>600.41610545583899</v>
      </c>
      <c r="V69" s="11">
        <f>589216.32977537/(10^3)</f>
        <v>589.21632977537001</v>
      </c>
      <c r="W69" s="11">
        <f>58572948.7195951/(10^3)</f>
        <v>58572.948719595101</v>
      </c>
      <c r="X69" s="11">
        <f>581517.399820402/(10^3)</f>
        <v>581.51739982040203</v>
      </c>
      <c r="Y69" s="11">
        <f>574352.820077753/(10^3)</f>
        <v>574.35282007775299</v>
      </c>
      <c r="Z69" s="11">
        <f>587371.556964183/(10^3)</f>
        <v>587.37155696418301</v>
      </c>
      <c r="AA69" s="11">
        <f>578125.781068474/(10^3)</f>
        <v>578.125781068474</v>
      </c>
      <c r="AB69" s="11">
        <f>574896.420660425/(10^3)</f>
        <v>574.89642066042495</v>
      </c>
      <c r="AC69" s="11">
        <f>5758.20502345933/(10^3)</f>
        <v>5.7582050234593298</v>
      </c>
      <c r="AD69" s="11">
        <f>572550.144714235/(10^3)</f>
        <v>572.55014471423499</v>
      </c>
      <c r="AE69" s="11">
        <f>573955.67030387/(10^3)</f>
        <v>573.95567030386997</v>
      </c>
      <c r="AF69" s="11">
        <f>577820.134606055/(10^3)</f>
        <v>577.82013460605503</v>
      </c>
      <c r="AG69" s="11">
        <f>579347.810023657/(10^3)</f>
        <v>579.34781002365708</v>
      </c>
      <c r="AH69" s="11">
        <f>586349.657775622/(10^3)</f>
        <v>586.34965777562195</v>
      </c>
      <c r="AI69" s="11">
        <f>59353695.521787/(10^3)</f>
        <v>59353.695521787005</v>
      </c>
      <c r="AJ69" s="11">
        <f>587523.038773194/(10^3)</f>
        <v>587.523038773194</v>
      </c>
      <c r="AK69" s="11">
        <f>577328.629840678/(10^3)</f>
        <v>577.32862984067799</v>
      </c>
      <c r="AL69" s="11">
        <f>583712.613178819/(10^3)</f>
        <v>583.71261317881897</v>
      </c>
      <c r="AM69" s="11">
        <f>610876.434499159/(10^3)</f>
        <v>610.87643449915902</v>
      </c>
      <c r="AN69" s="11">
        <f>615209.697560623/(10^3)</f>
        <v>615.209697560623</v>
      </c>
      <c r="AO69" s="11">
        <f>6402.27211155519/(10^3)</f>
        <v>6.4022721115551899</v>
      </c>
      <c r="AP69" s="11">
        <f>638101.726837835/(10^3)</f>
        <v>638.10172683783503</v>
      </c>
      <c r="AQ69" s="11">
        <f>626052.542141894/(10^3)</f>
        <v>626.05254214189404</v>
      </c>
      <c r="AR69" s="11">
        <f>640106.802642924/(10^3)</f>
        <v>640.10680264292398</v>
      </c>
      <c r="AS69" s="11">
        <f>632954.150260983/(10^3)</f>
        <v>632.95415026098306</v>
      </c>
      <c r="AT69" s="11">
        <f>652507.451124289/(10^3)</f>
        <v>652.50745112428899</v>
      </c>
      <c r="AU69" s="11">
        <f>64482550.0037199/(10^3)</f>
        <v>64482.550003719902</v>
      </c>
      <c r="AV69" s="11">
        <f>652656.506733574/(10^3)</f>
        <v>652.65650673357402</v>
      </c>
      <c r="AW69" s="11">
        <f>640693.345714623/(10^3)</f>
        <v>640.69334571462298</v>
      </c>
      <c r="AX69" s="11">
        <f>633619.065128207/(10^3)</f>
        <v>633.61906512820701</v>
      </c>
      <c r="AY69" s="11">
        <f>631835.147684241/(10^3)</f>
        <v>631.83514768424095</v>
      </c>
      <c r="AZ69" s="11">
        <f>642990.465146096/(10^3)</f>
        <v>642.99046514609597</v>
      </c>
      <c r="BA69" s="11">
        <f>6322.15212023307/(10^3)</f>
        <v>6.3221521202330697</v>
      </c>
      <c r="BB69" s="11">
        <f>632780.252204114/(10^3)</f>
        <v>632.78025220411394</v>
      </c>
      <c r="BC69" s="11">
        <f>637640.452917839/(10^3)</f>
        <v>637.64045291783907</v>
      </c>
      <c r="BD69" s="11">
        <f>629866.471955281/(10^3)</f>
        <v>629.86647195528099</v>
      </c>
      <c r="BE69" s="11">
        <f>644782.02996332/(10^3)</f>
        <v>644.78202996332004</v>
      </c>
      <c r="BF69" s="11">
        <f>651021.041609634/(10^3)</f>
        <v>651.02104160963393</v>
      </c>
      <c r="BG69" s="11">
        <f>66796890.0631963/(10^3)</f>
        <v>66796.890063196304</v>
      </c>
      <c r="BH69" s="11">
        <f>666928.46798895/(10^3)</f>
        <v>666.92846798894993</v>
      </c>
      <c r="BI69" s="11">
        <f>700060.615027343/(10^3)</f>
        <v>700.06061502734303</v>
      </c>
      <c r="BJ69" s="11">
        <f>715832.807943285/(10^3)</f>
        <v>715.83280794328493</v>
      </c>
      <c r="BK69" s="11">
        <f>719553.531960675/(10^3)</f>
        <v>719.55353196067506</v>
      </c>
      <c r="BL69" s="11">
        <f>725275.481022521/(10^3)</f>
        <v>725.27548102252103</v>
      </c>
      <c r="BM69" s="11">
        <f>7154.18823636331/(10^3)</f>
        <v>7.1541882363633107</v>
      </c>
      <c r="BN69" s="11">
        <f>738717.097533684/(10^3)</f>
        <v>738.71709753368395</v>
      </c>
      <c r="BO69" s="11">
        <f>752694.539611756/(10^3)</f>
        <v>752.694539611756</v>
      </c>
      <c r="BP69" s="11">
        <f>783173.939368653/(10^3)</f>
        <v>783.17393936865301</v>
      </c>
      <c r="BQ69" s="11">
        <f>788168.951713738/(10^3)</f>
        <v>788.16895171373801</v>
      </c>
      <c r="BR69" s="11">
        <f>825397.478416009/(10^3)</f>
        <v>825.39747841600899</v>
      </c>
      <c r="BS69" s="11">
        <f>81133835.523084/(10^3)</f>
        <v>81133.835523083995</v>
      </c>
      <c r="BT69" s="11">
        <f>809527.923669642/(10^3)</f>
        <v>809.52792366964195</v>
      </c>
      <c r="BU69" s="11">
        <f>824931.477177527/(10^3)</f>
        <v>824.93147717752709</v>
      </c>
      <c r="BV69" s="11">
        <f>832564.324243452/(10^3)</f>
        <v>832.56432424345201</v>
      </c>
      <c r="BW69" s="11">
        <f>855896.522609978/(10^3)</f>
        <v>855.89652260997798</v>
      </c>
      <c r="BX69" s="11">
        <f>847895.175896729/(10^3)</f>
        <v>847.89517589672903</v>
      </c>
      <c r="BY69" s="11">
        <f>8347.58385283892/(10^3)</f>
        <v>8.3475838528389197</v>
      </c>
      <c r="BZ69" s="11">
        <f>834758.385283892/(10^3)</f>
        <v>834.75838528389204</v>
      </c>
      <c r="CA69" s="11">
        <f>867065.132352844/(10^3)</f>
        <v>867.06513235284399</v>
      </c>
      <c r="CB69" s="11">
        <f>854261.104311113/(10^3)</f>
        <v>854.26110431111306</v>
      </c>
      <c r="CC69" s="12"/>
      <c r="CZ69" s="11">
        <v>614.66544888923556</v>
      </c>
      <c r="DA69" s="11">
        <v>575.82050234593351</v>
      </c>
      <c r="DB69" s="11">
        <v>640.2272111555194</v>
      </c>
      <c r="DC69" s="11">
        <v>632.21521202330666</v>
      </c>
      <c r="DD69" s="11">
        <v>715.41882363633067</v>
      </c>
      <c r="DE69" s="11">
        <v>834.75838528389204</v>
      </c>
      <c r="DG69" s="11">
        <v>606.33941930473623</v>
      </c>
      <c r="DH69" s="11">
        <v>585.72948719595081</v>
      </c>
      <c r="DI69" s="11">
        <v>593.53695521786949</v>
      </c>
      <c r="DJ69" s="11">
        <v>644.8255000371995</v>
      </c>
      <c r="DK69" s="11">
        <v>667.96890063196292</v>
      </c>
      <c r="DL69" s="11">
        <v>811.33835523084042</v>
      </c>
    </row>
    <row r="70" spans="4:116" ht="15.6" outlineLevel="1" x14ac:dyDescent="0.25">
      <c r="D70" s="10" t="s">
        <v>132</v>
      </c>
      <c r="E70" s="10" t="s">
        <v>91</v>
      </c>
      <c r="F70" s="10" t="s">
        <v>151</v>
      </c>
      <c r="G70" s="10" t="s">
        <v>182</v>
      </c>
      <c r="H70" s="62"/>
      <c r="I70" s="11">
        <f>725847.783419435/(10^3)</f>
        <v>725.84778341943502</v>
      </c>
      <c r="J70" s="11">
        <f>721501.404357639/(10^3)</f>
        <v>721.50140435763899</v>
      </c>
      <c r="K70" s="11">
        <f>75283870.2678757/(10^3)</f>
        <v>75283.870267875696</v>
      </c>
      <c r="L70" s="11">
        <f>747241.769683516/(10^3)</f>
        <v>747.24176968351605</v>
      </c>
      <c r="M70" s="11">
        <f>736121.109455741/(10^3)</f>
        <v>736.12110945574102</v>
      </c>
      <c r="N70" s="11">
        <f>757419.539284649/(10^3)</f>
        <v>757.41953928464898</v>
      </c>
      <c r="O70" s="11">
        <f>764291.737885081/(10^3)</f>
        <v>764.29173788508092</v>
      </c>
      <c r="P70" s="11">
        <f>790257.016762639/(10^3)</f>
        <v>790.25701676263907</v>
      </c>
      <c r="Q70" s="11">
        <f>8131.90371127731/(10^3)</f>
        <v>8.1319037112773103</v>
      </c>
      <c r="R70" s="11">
        <f>816277.018337396/(10^3)</f>
        <v>816.27701833739593</v>
      </c>
      <c r="S70" s="11">
        <f>840736.672934799/(10^3)</f>
        <v>840.736672934799</v>
      </c>
      <c r="T70" s="11">
        <f>880965.601082579/(10^3)</f>
        <v>880.96560108257904</v>
      </c>
      <c r="U70" s="11">
        <f>877018.770334778/(10^3)</f>
        <v>877.01877033477797</v>
      </c>
      <c r="V70" s="11">
        <f>873256.859722462/(10^3)</f>
        <v>873.25685972246197</v>
      </c>
      <c r="W70" s="11">
        <f>87076061.4665601/(10^3)</f>
        <v>87076.061466560102</v>
      </c>
      <c r="X70" s="11">
        <f>858977.643368907/(10^3)</f>
        <v>858.97764336890702</v>
      </c>
      <c r="Y70" s="11">
        <f>854630.082943835/(10^3)</f>
        <v>854.63008294383496</v>
      </c>
      <c r="Z70" s="11">
        <f>845053.944402725/(10^3)</f>
        <v>845.05394440272494</v>
      </c>
      <c r="AA70" s="11">
        <f>841849.97081789/(10^3)</f>
        <v>841.84997081789004</v>
      </c>
      <c r="AB70" s="11">
        <f>844415.90979581/(10^3)</f>
        <v>844.41590979580997</v>
      </c>
      <c r="AC70" s="11">
        <f>8394.6268904199/(10^3)</f>
        <v>8.3946268904199002</v>
      </c>
      <c r="AD70" s="11">
        <f>830638.03713635/(10^3)</f>
        <v>830.63803713634991</v>
      </c>
      <c r="AE70" s="11">
        <f>816017.280898722/(10^3)</f>
        <v>816.01728089872199</v>
      </c>
      <c r="AF70" s="11">
        <f>805529.131488502/(10^3)</f>
        <v>805.529131488502</v>
      </c>
      <c r="AG70" s="11">
        <f>802453.244224742/(10^3)</f>
        <v>802.45324422474209</v>
      </c>
      <c r="AH70" s="11">
        <f>809760.420938857/(10^3)</f>
        <v>809.76042093885701</v>
      </c>
      <c r="AI70" s="11">
        <f>79950582.9056903/(10^3)</f>
        <v>79950.582905690302</v>
      </c>
      <c r="AJ70" s="11">
        <f>788202.667883344/(10^3)</f>
        <v>788.20266788334402</v>
      </c>
      <c r="AK70" s="11">
        <f>789263.302727234/(10^3)</f>
        <v>789.26330272723396</v>
      </c>
      <c r="AL70" s="11">
        <f>792646.978964474/(10^3)</f>
        <v>792.6469789644741</v>
      </c>
      <c r="AM70" s="11">
        <f>803040.501543578/(10^3)</f>
        <v>803.04050154357799</v>
      </c>
      <c r="AN70" s="11">
        <f>804799.550220232/(10^3)</f>
        <v>804.79955022023194</v>
      </c>
      <c r="AO70" s="11">
        <f>7919.80556574635/(10^3)</f>
        <v>7.9198055657463504</v>
      </c>
      <c r="AP70" s="11">
        <f>788741.154527852/(10^3)</f>
        <v>788.74115452785202</v>
      </c>
      <c r="AQ70" s="11">
        <f>814152.304387668/(10^3)</f>
        <v>814.15230438766798</v>
      </c>
      <c r="AR70" s="11">
        <f>845276.694505396/(10^3)</f>
        <v>845.27669450539599</v>
      </c>
      <c r="AS70" s="11">
        <f>843375.359192266/(10^3)</f>
        <v>843.37535919226605</v>
      </c>
      <c r="AT70" s="11">
        <f>833930.183656025/(10^3)</f>
        <v>833.93018365602495</v>
      </c>
      <c r="AU70" s="11">
        <f>82807888.3378352/(10^3)</f>
        <v>82807.888337835189</v>
      </c>
      <c r="AV70" s="11">
        <f>821157.218104839/(10^3)</f>
        <v>821.15721810483899</v>
      </c>
      <c r="AW70" s="11">
        <f>814340.936379369/(10^3)</f>
        <v>814.34093637936905</v>
      </c>
      <c r="AX70" s="11">
        <f>822950.416818818/(10^3)</f>
        <v>822.95041681881798</v>
      </c>
      <c r="AY70" s="11">
        <f>830083.050922268/(10^3)</f>
        <v>830.08305092226794</v>
      </c>
      <c r="AZ70" s="11">
        <f>833967.723587687/(10^3)</f>
        <v>833.96772358768703</v>
      </c>
      <c r="BA70" s="11">
        <f>8561.63348057598/(10^3)</f>
        <v>8.5616334805759795</v>
      </c>
      <c r="BB70" s="11">
        <f>864531.520755946/(10^3)</f>
        <v>864.53152075594608</v>
      </c>
      <c r="BC70" s="11">
        <f>864454.136968584/(10^3)</f>
        <v>864.45413696858407</v>
      </c>
      <c r="BD70" s="11">
        <f>867018.090180991/(10^3)</f>
        <v>867.01809018099095</v>
      </c>
      <c r="BE70" s="11">
        <f>909760.31582432/(10^3)</f>
        <v>909.76031582431995</v>
      </c>
      <c r="BF70" s="11">
        <f>935319.659668639/(10^3)</f>
        <v>935.31965966863891</v>
      </c>
      <c r="BG70" s="11">
        <f>96698849.1512167/(10^3)</f>
        <v>96698.849151216695</v>
      </c>
      <c r="BH70" s="11">
        <f>983623.6393408/(10^3)</f>
        <v>983.62363934079997</v>
      </c>
      <c r="BI70" s="11">
        <f>1017879.46836546/(10^3)</f>
        <v>1017.8794683654601</v>
      </c>
      <c r="BJ70" s="11">
        <f>1042221.35830204/(10^3)</f>
        <v>1042.22135830204</v>
      </c>
      <c r="BK70" s="11">
        <f>1044669.41717865/(10^3)</f>
        <v>1044.6694171786501</v>
      </c>
      <c r="BL70" s="11">
        <f>1034530.97035752/(10^3)</f>
        <v>1034.5309703575201</v>
      </c>
      <c r="BM70" s="11">
        <f>10510.4054904532/(10^3)</f>
        <v>10.5104054904532</v>
      </c>
      <c r="BN70" s="11">
        <f>1031792.74524162/(10^3)</f>
        <v>1031.79274524162</v>
      </c>
      <c r="BO70" s="11">
        <f>1024630.66144026/(10^3)</f>
        <v>1024.6306614402599</v>
      </c>
      <c r="BP70" s="11">
        <f>1047403.62217406/(10^3)</f>
        <v>1047.40362217406</v>
      </c>
      <c r="BQ70" s="11">
        <f>1099207.09400494/(10^3)</f>
        <v>1099.20709400494</v>
      </c>
      <c r="BR70" s="11">
        <f>1139451.87137986/(10^3)</f>
        <v>1139.45187137986</v>
      </c>
      <c r="BS70" s="11">
        <f>115161069.981642/(10^3)</f>
        <v>115161.06998164199</v>
      </c>
      <c r="BT70" s="11">
        <f>1142867.27695927/(10^3)</f>
        <v>1142.8672769592699</v>
      </c>
      <c r="BU70" s="11">
        <f>1123460.62243741/(10^3)</f>
        <v>1123.4606224374102</v>
      </c>
      <c r="BV70" s="11">
        <f>1158147.3293668/(10^3)</f>
        <v>1158.1473293668</v>
      </c>
      <c r="BW70" s="11">
        <f>1171441.33000463/(10^3)</f>
        <v>1171.4413300046299</v>
      </c>
      <c r="BX70" s="11">
        <f>1149354.94290215/(10^3)</f>
        <v>1149.35494290215</v>
      </c>
      <c r="BY70" s="11">
        <f>11806.1764996667/(10^3)</f>
        <v>11.806176499666702</v>
      </c>
      <c r="BZ70" s="11">
        <f>1180617.64996667/(10^3)</f>
        <v>1180.6176499666699</v>
      </c>
      <c r="CA70" s="11">
        <f>1212220.49828373/(10^3)</f>
        <v>1212.22049828373</v>
      </c>
      <c r="CB70" s="11">
        <f>1249906.29282681/(10^3)</f>
        <v>1249.9062928268099</v>
      </c>
      <c r="CC70" s="12"/>
      <c r="CZ70" s="11">
        <v>813.19037112773117</v>
      </c>
      <c r="DA70" s="11">
        <v>839.46268904198962</v>
      </c>
      <c r="DB70" s="11">
        <v>791.98055657463476</v>
      </c>
      <c r="DC70" s="11">
        <v>856.16334805759766</v>
      </c>
      <c r="DD70" s="11">
        <v>1051.0405490453193</v>
      </c>
      <c r="DE70" s="11">
        <v>1180.6176499666697</v>
      </c>
      <c r="DG70" s="11">
        <v>752.8387026787567</v>
      </c>
      <c r="DH70" s="11">
        <v>870.76061466560054</v>
      </c>
      <c r="DI70" s="11">
        <v>799.5058290569026</v>
      </c>
      <c r="DJ70" s="11">
        <v>828.07888337835163</v>
      </c>
      <c r="DK70" s="11">
        <v>966.98849151216689</v>
      </c>
      <c r="DL70" s="11">
        <v>1151.6106998164173</v>
      </c>
    </row>
    <row r="71" spans="4:116" ht="15.6" outlineLevel="1" x14ac:dyDescent="0.25">
      <c r="D71" s="10" t="s">
        <v>133</v>
      </c>
      <c r="E71" s="10" t="s">
        <v>98</v>
      </c>
      <c r="F71" s="10" t="s">
        <v>151</v>
      </c>
      <c r="G71" s="10" t="s">
        <v>182</v>
      </c>
      <c r="H71" s="62"/>
      <c r="I71" s="11">
        <f>216851.007217541/(10^3)</f>
        <v>216.851007217541</v>
      </c>
      <c r="J71" s="11">
        <f>212985.896399913/(10^3)</f>
        <v>212.985896399913</v>
      </c>
      <c r="K71" s="11">
        <f>21394676.3563556/(10^3)</f>
        <v>21394.676356355601</v>
      </c>
      <c r="L71" s="11">
        <f>214928.299346521/(10^3)</f>
        <v>214.92829934652102</v>
      </c>
      <c r="M71" s="11">
        <f>217099.776711347/(10^3)</f>
        <v>217.09977671134698</v>
      </c>
      <c r="N71" s="11">
        <f>212951.043223254/(10^3)</f>
        <v>212.951043223254</v>
      </c>
      <c r="O71" s="11">
        <f>219376.255276805/(10^3)</f>
        <v>219.37625527680498</v>
      </c>
      <c r="P71" s="11">
        <f>216674.558043177/(10^3)</f>
        <v>216.674558043177</v>
      </c>
      <c r="Q71" s="11">
        <f>2232.55089430944/(10^3)</f>
        <v>2.2325508943094401</v>
      </c>
      <c r="R71" s="11">
        <f>226161.873199901/(10^3)</f>
        <v>226.16187319990098</v>
      </c>
      <c r="S71" s="11">
        <f>236718.939059325/(10^3)</f>
        <v>236.71893905932501</v>
      </c>
      <c r="T71" s="11">
        <f>241128.102229245/(10^3)</f>
        <v>241.128102229245</v>
      </c>
      <c r="U71" s="11">
        <f>236391.122100954/(10^3)</f>
        <v>236.39112210095399</v>
      </c>
      <c r="V71" s="11">
        <f>244739.080343695/(10^3)</f>
        <v>244.73908034369501</v>
      </c>
      <c r="W71" s="11">
        <f>24590132.6080148/(10^3)</f>
        <v>24590.132608014799</v>
      </c>
      <c r="X71" s="11">
        <f>244270.044802391/(10^3)</f>
        <v>244.270044802391</v>
      </c>
      <c r="Y71" s="11">
        <f>243475.528558611/(10^3)</f>
        <v>243.47552855861099</v>
      </c>
      <c r="Z71" s="11">
        <f>240555.8678598/(10^3)</f>
        <v>240.5558678598</v>
      </c>
      <c r="AA71" s="11">
        <f>245151.001576503/(10^3)</f>
        <v>245.15100157650301</v>
      </c>
      <c r="AB71" s="11">
        <f>254385.425870736/(10^3)</f>
        <v>254.38542587073601</v>
      </c>
      <c r="AC71" s="11">
        <f>2551.35258655672/(10^3)</f>
        <v>2.5513525865567197</v>
      </c>
      <c r="AD71" s="11">
        <f>252133.633355887/(10^3)</f>
        <v>252.13363335588699</v>
      </c>
      <c r="AE71" s="11">
        <f>261904.750740347/(10^3)</f>
        <v>261.90475074034697</v>
      </c>
      <c r="AF71" s="11">
        <f>264492.980081928/(10^3)</f>
        <v>264.49298008192801</v>
      </c>
      <c r="AG71" s="11">
        <f>259373.39328365/(10^3)</f>
        <v>259.37339328364999</v>
      </c>
      <c r="AH71" s="11">
        <f>266706.066168737/(10^3)</f>
        <v>266.70606616873704</v>
      </c>
      <c r="AI71" s="11">
        <f>27372467.3627493/(10^3)</f>
        <v>27372.467362749299</v>
      </c>
      <c r="AJ71" s="11">
        <f>270840.501628507/(10^3)</f>
        <v>270.84050162850701</v>
      </c>
      <c r="AK71" s="11">
        <f>274842.637490403/(10^3)</f>
        <v>274.84263749040304</v>
      </c>
      <c r="AL71" s="11">
        <f>280214.181725997/(10^3)</f>
        <v>280.21418172599704</v>
      </c>
      <c r="AM71" s="11">
        <f>284378.186918074/(10^3)</f>
        <v>284.37818691807399</v>
      </c>
      <c r="AN71" s="11">
        <f>293050.240984453/(10^3)</f>
        <v>293.05024098445301</v>
      </c>
      <c r="AO71" s="11">
        <f>2930.30021543516/(10^3)</f>
        <v>2.9303002154351603</v>
      </c>
      <c r="AP71" s="11">
        <f>292426.765448339/(10^3)</f>
        <v>292.42676544833898</v>
      </c>
      <c r="AQ71" s="11">
        <f>306745.771187153/(10^3)</f>
        <v>306.74577118715303</v>
      </c>
      <c r="AR71" s="11">
        <f>316274.119298571/(10^3)</f>
        <v>316.27411929857101</v>
      </c>
      <c r="AS71" s="11">
        <f>311253.927390151/(10^3)</f>
        <v>311.25392739015103</v>
      </c>
      <c r="AT71" s="11">
        <f>307841.214383493/(10^3)</f>
        <v>307.84121438349302</v>
      </c>
      <c r="AU71" s="11">
        <f>30443989.5598001/(10^3)</f>
        <v>30443.989559800099</v>
      </c>
      <c r="AV71" s="11">
        <f>303455.464283252/(10^3)</f>
        <v>303.45546428325201</v>
      </c>
      <c r="AW71" s="11">
        <f>300470.27802342/(10^3)</f>
        <v>300.47027802342001</v>
      </c>
      <c r="AX71" s="11">
        <f>306888.956224054/(10^3)</f>
        <v>306.88895622405397</v>
      </c>
      <c r="AY71" s="11">
        <f>302585.258600958/(10^3)</f>
        <v>302.58525860095796</v>
      </c>
      <c r="AZ71" s="11">
        <f>312221.254262612/(10^3)</f>
        <v>312.22125426261204</v>
      </c>
      <c r="BA71" s="11">
        <f>3191.20770131086/(10^3)</f>
        <v>3.19120770131086</v>
      </c>
      <c r="BB71" s="11">
        <f>331554.786128292/(10^3)</f>
        <v>331.55478612829199</v>
      </c>
      <c r="BC71" s="11">
        <f>347666.629250908/(10^3)</f>
        <v>347.66662925090799</v>
      </c>
      <c r="BD71" s="11">
        <f>347853.561596131/(10^3)</f>
        <v>347.85356159613099</v>
      </c>
      <c r="BE71" s="11">
        <f>345756.983024091/(10^3)</f>
        <v>345.75698302409097</v>
      </c>
      <c r="BF71" s="11">
        <f>341148.937338762/(10^3)</f>
        <v>341.14893733876198</v>
      </c>
      <c r="BG71" s="11">
        <f>35781850.849295/(10^3)</f>
        <v>35781.850849294999</v>
      </c>
      <c r="BH71" s="11">
        <f>362657.104099002/(10^3)</f>
        <v>362.65710409900203</v>
      </c>
      <c r="BI71" s="11">
        <f>374465.781557239/(10^3)</f>
        <v>374.46578155723898</v>
      </c>
      <c r="BJ71" s="11">
        <f>374954.867951865/(10^3)</f>
        <v>374.95486795186503</v>
      </c>
      <c r="BK71" s="11">
        <f>376581.911964567/(10^3)</f>
        <v>376.58191196456704</v>
      </c>
      <c r="BL71" s="11">
        <f>385340.793891554/(10^3)</f>
        <v>385.34079389155397</v>
      </c>
      <c r="BM71" s="11">
        <f>4032.21386908055/(10^3)</f>
        <v>4.0322138690805502</v>
      </c>
      <c r="BN71" s="11">
        <f>409119.630056424/(10^3)</f>
        <v>409.119630056424</v>
      </c>
      <c r="BO71" s="11">
        <f>417819.934406041/(10^3)</f>
        <v>417.819934406041</v>
      </c>
      <c r="BP71" s="11">
        <f>409601.469803017/(10^3)</f>
        <v>409.60146980301698</v>
      </c>
      <c r="BQ71" s="11">
        <f>413965.701032786/(10^3)</f>
        <v>413.965701032786</v>
      </c>
      <c r="BR71" s="11">
        <f>422811.984866876/(10^3)</f>
        <v>422.811984866876</v>
      </c>
      <c r="BS71" s="11">
        <f>41488778.0199687/(10^3)</f>
        <v>41488.778019968704</v>
      </c>
      <c r="BT71" s="11">
        <f>423561.616625814/(10^3)</f>
        <v>423.561616625814</v>
      </c>
      <c r="BU71" s="11">
        <f>439483.728379936/(10^3)</f>
        <v>439.483728379936</v>
      </c>
      <c r="BV71" s="11">
        <f>456598.770491913/(10^3)</f>
        <v>456.598770491913</v>
      </c>
      <c r="BW71" s="11">
        <f>466712.694460813/(10^3)</f>
        <v>466.712694460813</v>
      </c>
      <c r="BX71" s="11">
        <f>458636.075679695/(10^3)</f>
        <v>458.63607567969501</v>
      </c>
      <c r="BY71" s="11">
        <f>4644.90899830294/(10^3)</f>
        <v>4.6449089983029399</v>
      </c>
      <c r="BZ71" s="11">
        <f>464490.899830294/(10^3)</f>
        <v>464.49089983029404</v>
      </c>
      <c r="CA71" s="11">
        <f>460559.856689708/(10^3)</f>
        <v>460.559856689708</v>
      </c>
      <c r="CB71" s="11">
        <f>477070.699746465/(10^3)</f>
        <v>477.07069974646504</v>
      </c>
      <c r="CC71" s="12"/>
      <c r="CZ71" s="11">
        <v>223.25508943094434</v>
      </c>
      <c r="DA71" s="11">
        <v>255.13525865567223</v>
      </c>
      <c r="DB71" s="11">
        <v>293.03002154351617</v>
      </c>
      <c r="DC71" s="11">
        <v>319.12077013108558</v>
      </c>
      <c r="DD71" s="11">
        <v>403.22138690805474</v>
      </c>
      <c r="DE71" s="11">
        <v>464.49089983029432</v>
      </c>
      <c r="DG71" s="11">
        <v>213.9467635635564</v>
      </c>
      <c r="DH71" s="11">
        <v>245.90132608014798</v>
      </c>
      <c r="DI71" s="11">
        <v>273.72467362749273</v>
      </c>
      <c r="DJ71" s="11">
        <v>304.43989559800127</v>
      </c>
      <c r="DK71" s="11">
        <v>357.81850849295034</v>
      </c>
      <c r="DL71" s="11">
        <v>414.88778019968652</v>
      </c>
    </row>
    <row r="72" spans="4:116" ht="15.6" outlineLevel="1" x14ac:dyDescent="0.25">
      <c r="D72" s="10" t="s">
        <v>89</v>
      </c>
      <c r="E72" s="10" t="s">
        <v>98</v>
      </c>
      <c r="F72" s="10" t="s">
        <v>151</v>
      </c>
      <c r="G72" s="10" t="s">
        <v>182</v>
      </c>
      <c r="H72" s="62"/>
      <c r="I72" s="11">
        <f>349627.030117465/(10^3)</f>
        <v>349.62703011746498</v>
      </c>
      <c r="J72" s="11">
        <f>361120.948995871/(10^3)</f>
        <v>361.120948995871</v>
      </c>
      <c r="K72" s="11">
        <f>36455618.5644177/(10^3)</f>
        <v>36455.618564417695</v>
      </c>
      <c r="L72" s="11">
        <f>380778.021299192/(10^3)</f>
        <v>380.77802129919201</v>
      </c>
      <c r="M72" s="11">
        <f>390664.989324141/(10^3)</f>
        <v>390.664989324141</v>
      </c>
      <c r="N72" s="11">
        <f>393211.413223708/(10^3)</f>
        <v>393.21141322370801</v>
      </c>
      <c r="O72" s="11">
        <f>389652.358407022/(10^3)</f>
        <v>389.65235840702201</v>
      </c>
      <c r="P72" s="11">
        <f>390242.028702163/(10^3)</f>
        <v>390.242028702163</v>
      </c>
      <c r="Q72" s="11">
        <f>4054.77446814692/(10^3)</f>
        <v>4.0547744681469196</v>
      </c>
      <c r="R72" s="11">
        <f>401484.939432661/(10^3)</f>
        <v>401.48493943266101</v>
      </c>
      <c r="S72" s="11">
        <f>413654.982322098/(10^3)</f>
        <v>413.65498232209796</v>
      </c>
      <c r="T72" s="11">
        <f>405621.11593843/(10^3)</f>
        <v>405.62111593843002</v>
      </c>
      <c r="U72" s="11">
        <f>398058.705968366/(10^3)</f>
        <v>398.05870596836598</v>
      </c>
      <c r="V72" s="11">
        <f>394346.068271269/(10^3)</f>
        <v>394.34606827126896</v>
      </c>
      <c r="W72" s="11">
        <f>39425407.594683/(10^3)</f>
        <v>39425.407594682998</v>
      </c>
      <c r="X72" s="11">
        <f>389023.239454505/(10^3)</f>
        <v>389.02323945450496</v>
      </c>
      <c r="Y72" s="11">
        <f>398153.551559665/(10^3)</f>
        <v>398.153551559665</v>
      </c>
      <c r="Z72" s="11">
        <f>402324.512161694/(10^3)</f>
        <v>402.32451216169397</v>
      </c>
      <c r="AA72" s="11">
        <f>401673.844637318/(10^3)</f>
        <v>401.67384463731798</v>
      </c>
      <c r="AB72" s="11">
        <f>404478.40449539/(10^3)</f>
        <v>404.47840449539001</v>
      </c>
      <c r="AC72" s="11">
        <f>4012.50757121231/(10^3)</f>
        <v>4.0125075712123097</v>
      </c>
      <c r="AD72" s="11">
        <f>408933.149740626/(10^3)</f>
        <v>408.93314974062599</v>
      </c>
      <c r="AE72" s="11">
        <f>408355.337814573/(10^3)</f>
        <v>408.35533781457303</v>
      </c>
      <c r="AF72" s="11">
        <f>407212.920312006/(10^3)</f>
        <v>407.21292031200602</v>
      </c>
      <c r="AG72" s="11">
        <f>402348.764934616/(10^3)</f>
        <v>402.34876493461599</v>
      </c>
      <c r="AH72" s="11">
        <f>410136.807180814/(10^3)</f>
        <v>410.136807180814</v>
      </c>
      <c r="AI72" s="11">
        <f>42532248.3661555/(10^3)</f>
        <v>42532.248366155494</v>
      </c>
      <c r="AJ72" s="11">
        <f>424882.617180661/(10^3)</f>
        <v>424.88261718066099</v>
      </c>
      <c r="AK72" s="11">
        <f>419245.105366194/(10^3)</f>
        <v>419.24510536619397</v>
      </c>
      <c r="AL72" s="11">
        <f>423058.167942014/(10^3)</f>
        <v>423.05816794201399</v>
      </c>
      <c r="AM72" s="11">
        <f>423980.168978113/(10^3)</f>
        <v>423.980168978113</v>
      </c>
      <c r="AN72" s="11">
        <f>430774.438004689/(10^3)</f>
        <v>430.77443800468899</v>
      </c>
      <c r="AO72" s="11">
        <f>4226.56720258044/(10^3)</f>
        <v>4.2265672025804397</v>
      </c>
      <c r="AP72" s="11">
        <f>420106.342477091/(10^3)</f>
        <v>420.106342477091</v>
      </c>
      <c r="AQ72" s="11">
        <f>415475.620643986/(10^3)</f>
        <v>415.47562064398596</v>
      </c>
      <c r="AR72" s="11">
        <f>411620.205440448/(10^3)</f>
        <v>411.62020544044799</v>
      </c>
      <c r="AS72" s="11">
        <f>416861.980768827/(10^3)</f>
        <v>416.86198076882704</v>
      </c>
      <c r="AT72" s="11">
        <f>423402.738808422/(10^3)</f>
        <v>423.40273880842199</v>
      </c>
      <c r="AU72" s="11">
        <f>42390515.3733912/(10^3)</f>
        <v>42390.515373391201</v>
      </c>
      <c r="AV72" s="11">
        <f>438543.892175928/(10^3)</f>
        <v>438.54389217592797</v>
      </c>
      <c r="AW72" s="11">
        <f>431005.328048298/(10^3)</f>
        <v>431.005328048298</v>
      </c>
      <c r="AX72" s="11">
        <f>422809.500096934/(10^3)</f>
        <v>422.80950009693396</v>
      </c>
      <c r="AY72" s="11">
        <f>415248.165482429/(10^3)</f>
        <v>415.24816548242899</v>
      </c>
      <c r="AZ72" s="11">
        <f>433933.22603785/(10^3)</f>
        <v>433.93322603785003</v>
      </c>
      <c r="BA72" s="11">
        <f>4412.74208238546/(10^3)</f>
        <v>4.41274208238546</v>
      </c>
      <c r="BB72" s="11">
        <f>459137.737033919/(10^3)</f>
        <v>459.13773703391905</v>
      </c>
      <c r="BC72" s="11">
        <f>450709.632156221/(10^3)</f>
        <v>450.70963215622101</v>
      </c>
      <c r="BD72" s="11">
        <f>461390.905757903/(10^3)</f>
        <v>461.390905757903</v>
      </c>
      <c r="BE72" s="11">
        <f>483759.973143125/(10^3)</f>
        <v>483.75997314312502</v>
      </c>
      <c r="BF72" s="11">
        <f>495151.567703107/(10^3)</f>
        <v>495.15156770310705</v>
      </c>
      <c r="BG72" s="11">
        <f>49322459.8070775/(10^3)</f>
        <v>49322.459807077495</v>
      </c>
      <c r="BH72" s="11">
        <f>510087.22586088/(10^3)</f>
        <v>510.08722586087998</v>
      </c>
      <c r="BI72" s="11">
        <f>522472.586337657/(10^3)</f>
        <v>522.47258633765705</v>
      </c>
      <c r="BJ72" s="11">
        <f>542288.86603868/(10^3)</f>
        <v>542.28886603868</v>
      </c>
      <c r="BK72" s="11">
        <f>539720.442189168/(10^3)</f>
        <v>539.7204421891679</v>
      </c>
      <c r="BL72" s="11">
        <f>552058.543417683/(10^3)</f>
        <v>552.05854341768304</v>
      </c>
      <c r="BM72" s="11">
        <f>5654.29791346552/(10^3)</f>
        <v>5.6542979134655198</v>
      </c>
      <c r="BN72" s="11">
        <f>582653.684939717/(10^3)</f>
        <v>582.65368493971698</v>
      </c>
      <c r="BO72" s="11">
        <f>599388.518073601/(10^3)</f>
        <v>599.38851807360095</v>
      </c>
      <c r="BP72" s="11">
        <f>603291.463884374/(10^3)</f>
        <v>603.29146388437402</v>
      </c>
      <c r="BQ72" s="11">
        <f>614543.28504706/(10^3)</f>
        <v>614.54328504705995</v>
      </c>
      <c r="BR72" s="11">
        <f>644027.776816085/(10^3)</f>
        <v>644.02777681608495</v>
      </c>
      <c r="BS72" s="11">
        <f>65022363.3845916/(10^3)</f>
        <v>65022.363384591605</v>
      </c>
      <c r="BT72" s="11">
        <f>639219.700020208/(10^3)</f>
        <v>639.21970002020805</v>
      </c>
      <c r="BU72" s="11">
        <f>659980.384299694/(10^3)</f>
        <v>659.98038429969392</v>
      </c>
      <c r="BV72" s="11">
        <f>678362.239631119/(10^3)</f>
        <v>678.362239631119</v>
      </c>
      <c r="BW72" s="11">
        <f>697970.535497234/(10^3)</f>
        <v>697.97053549723398</v>
      </c>
      <c r="BX72" s="11">
        <f>714410.096213114/(10^3)</f>
        <v>714.410096213114</v>
      </c>
      <c r="BY72" s="11">
        <f>7395.7047048518/(10^3)</f>
        <v>7.3957047048517994</v>
      </c>
      <c r="BZ72" s="11">
        <f>739570.47048518/(10^3)</f>
        <v>739.57047048518007</v>
      </c>
      <c r="CA72" s="11">
        <f>758644.549817691/(10^3)</f>
        <v>758.64454981769097</v>
      </c>
      <c r="CB72" s="11">
        <f>777553.437799999/(10^3)</f>
        <v>777.55343779999907</v>
      </c>
      <c r="CC72" s="12"/>
      <c r="CZ72" s="11">
        <v>405.47744681469192</v>
      </c>
      <c r="DA72" s="11">
        <v>401.25075712123095</v>
      </c>
      <c r="DB72" s="11">
        <v>422.65672025804378</v>
      </c>
      <c r="DC72" s="11">
        <v>441.27420823854561</v>
      </c>
      <c r="DD72" s="11">
        <v>565.42979134655207</v>
      </c>
      <c r="DE72" s="11">
        <v>739.57047048518007</v>
      </c>
      <c r="DG72" s="11">
        <v>364.55618564417688</v>
      </c>
      <c r="DH72" s="11">
        <v>394.25407594683031</v>
      </c>
      <c r="DI72" s="11">
        <v>425.32248366155494</v>
      </c>
      <c r="DJ72" s="11">
        <v>423.90515373391196</v>
      </c>
      <c r="DK72" s="11">
        <v>493.22459807077473</v>
      </c>
      <c r="DL72" s="11">
        <v>650.2236338459162</v>
      </c>
    </row>
    <row r="73" spans="4:116" ht="15.6" outlineLevel="1" x14ac:dyDescent="0.25">
      <c r="D73" s="10" t="s">
        <v>134</v>
      </c>
      <c r="E73" s="10" t="s">
        <v>109</v>
      </c>
      <c r="F73" s="10" t="s">
        <v>151</v>
      </c>
      <c r="G73" s="10" t="s">
        <v>182</v>
      </c>
      <c r="H73" s="62"/>
      <c r="I73" s="11">
        <f>1074605.69795899/(10^3)</f>
        <v>1074.60569795899</v>
      </c>
      <c r="J73" s="11">
        <f>1118042.30357489/(10^3)</f>
        <v>1118.04230357489</v>
      </c>
      <c r="K73" s="11">
        <f>114976836.112854/(10^3)</f>
        <v>114976.836112854</v>
      </c>
      <c r="L73" s="11">
        <f>1196523.8775435/(10^3)</f>
        <v>1196.5238775435</v>
      </c>
      <c r="M73" s="11">
        <f>1243266.99660848/(10^3)</f>
        <v>1243.2669966084802</v>
      </c>
      <c r="N73" s="11">
        <f>1289464.62312136/(10^3)</f>
        <v>1289.4646231213601</v>
      </c>
      <c r="O73" s="11">
        <f>1349971.62834622/(10^3)</f>
        <v>1349.9716283462199</v>
      </c>
      <c r="P73" s="11">
        <f>1375671.9137872/(10^3)</f>
        <v>1375.6719137872001</v>
      </c>
      <c r="Q73" s="11">
        <f>13719.9752713535/(10^3)</f>
        <v>13.719975271353499</v>
      </c>
      <c r="R73" s="11">
        <f>1417201.68449066/(10^3)</f>
        <v>1417.20168449066</v>
      </c>
      <c r="S73" s="11">
        <f>1447087.10470323/(10^3)</f>
        <v>1447.0871047032301</v>
      </c>
      <c r="T73" s="11">
        <f>1477237.67930254/(10^3)</f>
        <v>1477.2376793025398</v>
      </c>
      <c r="U73" s="11">
        <f>1492334.64277442/(10^3)</f>
        <v>1492.33464277442</v>
      </c>
      <c r="V73" s="11">
        <f>1477076.95011789/(10^3)</f>
        <v>1477.07695011789</v>
      </c>
      <c r="W73" s="11">
        <f>145029752.584818/(10^3)</f>
        <v>145029.75258481799</v>
      </c>
      <c r="X73" s="11">
        <f>1494150.0295319/(10^3)</f>
        <v>1494.1500295319001</v>
      </c>
      <c r="Y73" s="11">
        <f>1470771.26271425/(10^3)</f>
        <v>1470.77126271425</v>
      </c>
      <c r="Z73" s="11">
        <f>1454846.47056809/(10^3)</f>
        <v>1454.8464705680899</v>
      </c>
      <c r="AA73" s="11">
        <f>1526741.31326861/(10^3)</f>
        <v>1526.7413132686102</v>
      </c>
      <c r="AB73" s="11">
        <f>1507152.6261166/(10^3)</f>
        <v>1507.1526261165998</v>
      </c>
      <c r="AC73" s="11">
        <f>15021.0604214034/(10^3)</f>
        <v>15.0210604214034</v>
      </c>
      <c r="AD73" s="11">
        <f>1497347.92245389/(10^3)</f>
        <v>1497.3479224538901</v>
      </c>
      <c r="AE73" s="11">
        <f>1486098.71575152/(10^3)</f>
        <v>1486.0987157515199</v>
      </c>
      <c r="AF73" s="11">
        <f>1464546.35827388/(10^3)</f>
        <v>1464.5463582738801</v>
      </c>
      <c r="AG73" s="11">
        <f>1465217.05898665/(10^3)</f>
        <v>1465.21705898665</v>
      </c>
      <c r="AH73" s="11">
        <f>1510801.98949477/(10^3)</f>
        <v>1510.8019894947702</v>
      </c>
      <c r="AI73" s="11">
        <f>150125357.907962/(10^3)</f>
        <v>150125.357907962</v>
      </c>
      <c r="AJ73" s="11">
        <f>1494219.0439692/(10^3)</f>
        <v>1494.2190439691999</v>
      </c>
      <c r="AK73" s="11">
        <f>1485116.38715051/(10^3)</f>
        <v>1485.11638715051</v>
      </c>
      <c r="AL73" s="11">
        <f>1484055.84531443/(10^3)</f>
        <v>1484.0558453144301</v>
      </c>
      <c r="AM73" s="11">
        <f>1521366.68549757/(10^3)</f>
        <v>1521.3666854975702</v>
      </c>
      <c r="AN73" s="11">
        <f>1508119.80881616/(10^3)</f>
        <v>1508.11980881616</v>
      </c>
      <c r="AO73" s="11">
        <f>14825.7920497174/(10^3)</f>
        <v>14.8257920497174</v>
      </c>
      <c r="AP73" s="11">
        <f>1465290.33080047/(10^3)</f>
        <v>1465.29033080047</v>
      </c>
      <c r="AQ73" s="11">
        <f>1436784.66354094/(10^3)</f>
        <v>1436.7846635409401</v>
      </c>
      <c r="AR73" s="11">
        <f>1433998.53160753/(10^3)</f>
        <v>1433.9985316075301</v>
      </c>
      <c r="AS73" s="11">
        <f>1410069.28465549/(10^3)</f>
        <v>1410.06928465549</v>
      </c>
      <c r="AT73" s="11">
        <f>1460500.70612086/(10^3)</f>
        <v>1460.5007061208601</v>
      </c>
      <c r="AU73" s="11">
        <f>151955674.504469/(10^3)</f>
        <v>151955.674504469</v>
      </c>
      <c r="AV73" s="11">
        <f>1500121.73456393/(10^3)</f>
        <v>1500.12173456393</v>
      </c>
      <c r="AW73" s="11">
        <f>1563947.16681982/(10^3)</f>
        <v>1563.94716681982</v>
      </c>
      <c r="AX73" s="11">
        <f>1623341.8753929/(10^3)</f>
        <v>1623.3418753929002</v>
      </c>
      <c r="AY73" s="11">
        <f>1658858.48330901/(10^3)</f>
        <v>1658.8584833090101</v>
      </c>
      <c r="AZ73" s="11">
        <f>1627021.16605402/(10^3)</f>
        <v>1627.0211660540199</v>
      </c>
      <c r="BA73" s="11">
        <f>16134.506748776/(10^3)</f>
        <v>16.134506748776001</v>
      </c>
      <c r="BB73" s="11">
        <f>1675996.77045351/(10^3)</f>
        <v>1675.9967704535102</v>
      </c>
      <c r="BC73" s="11">
        <f>1724122.65917765/(10^3)</f>
        <v>1724.1226591776499</v>
      </c>
      <c r="BD73" s="11">
        <f>1726954.80173339/(10^3)</f>
        <v>1726.95480173339</v>
      </c>
      <c r="BE73" s="11">
        <f>1736707.06304423/(10^3)</f>
        <v>1736.7070630442299</v>
      </c>
      <c r="BF73" s="11">
        <f>1771218.30434266/(10^3)</f>
        <v>1771.2183043426598</v>
      </c>
      <c r="BG73" s="11">
        <f>175847814.10274/(10^3)</f>
        <v>175847.81410274</v>
      </c>
      <c r="BH73" s="11">
        <f>1762961.46900978/(10^3)</f>
        <v>1762.9614690097801</v>
      </c>
      <c r="BI73" s="11">
        <f>1793763.36609607/(10^3)</f>
        <v>1793.7633660960701</v>
      </c>
      <c r="BJ73" s="11">
        <f>1797468.51421028/(10^3)</f>
        <v>1797.4685142102801</v>
      </c>
      <c r="BK73" s="11">
        <f>1829894.77378807/(10^3)</f>
        <v>1829.8947737880701</v>
      </c>
      <c r="BL73" s="11">
        <f>1879744.39905208/(10^3)</f>
        <v>1879.7443990520801</v>
      </c>
      <c r="BM73" s="11">
        <f>18536.7446237687/(10^3)</f>
        <v>18.536744623768701</v>
      </c>
      <c r="BN73" s="11">
        <f>1821018.6354273/(10^3)</f>
        <v>1821.0186354272998</v>
      </c>
      <c r="BO73" s="11">
        <f>1860946.85643851/(10^3)</f>
        <v>1860.9468564385099</v>
      </c>
      <c r="BP73" s="11">
        <f>1949780.92624324/(10^3)</f>
        <v>1949.7809262432399</v>
      </c>
      <c r="BQ73" s="11">
        <f>2033281.04719648/(10^3)</f>
        <v>2033.2810471964799</v>
      </c>
      <c r="BR73" s="11">
        <f>2128742.8473356/(10^3)</f>
        <v>2128.7428473355999</v>
      </c>
      <c r="BS73" s="11">
        <f>210905278.033906/(10^3)</f>
        <v>210905.27803390601</v>
      </c>
      <c r="BT73" s="11">
        <f>2137726.9033876/(10^3)</f>
        <v>2137.7269033876</v>
      </c>
      <c r="BU73" s="11">
        <f>2217751.05163406/(10^3)</f>
        <v>2217.7510516340603</v>
      </c>
      <c r="BV73" s="11">
        <f>2220111.65518196/(10^3)</f>
        <v>2220.11165518196</v>
      </c>
      <c r="BW73" s="11">
        <f>2323118.92342899/(10^3)</f>
        <v>2323.11892342899</v>
      </c>
      <c r="BX73" s="11">
        <f>2282015.18935429/(10^3)</f>
        <v>2282.0151893542898</v>
      </c>
      <c r="BY73" s="11">
        <f>23016.0880589741/(10^3)</f>
        <v>23.016088058974098</v>
      </c>
      <c r="BZ73" s="11">
        <f>2301608.80589741/(10^3)</f>
        <v>2301.6088058974101</v>
      </c>
      <c r="CA73" s="11">
        <f>2274236.3506701/(10^3)</f>
        <v>2274.2363506701004</v>
      </c>
      <c r="CB73" s="11">
        <f>2343546.26221863/(10^3)</f>
        <v>2343.5462622186301</v>
      </c>
      <c r="CC73" s="12"/>
      <c r="CZ73" s="11">
        <v>1371.9975271353544</v>
      </c>
      <c r="DA73" s="11">
        <v>1502.1060421403415</v>
      </c>
      <c r="DB73" s="11">
        <v>1482.5792049717388</v>
      </c>
      <c r="DC73" s="11">
        <v>1613.4506748776005</v>
      </c>
      <c r="DD73" s="11">
        <v>1853.6744623768686</v>
      </c>
      <c r="DE73" s="11">
        <v>2301.6088058974133</v>
      </c>
      <c r="DG73" s="11">
        <v>1149.7683611285388</v>
      </c>
      <c r="DH73" s="11">
        <v>1450.2975258481831</v>
      </c>
      <c r="DI73" s="11">
        <v>1501.2535790796219</v>
      </c>
      <c r="DJ73" s="11">
        <v>1519.5567450446858</v>
      </c>
      <c r="DK73" s="11">
        <v>1758.4781410273999</v>
      </c>
      <c r="DL73" s="11">
        <v>2109.0527803390601</v>
      </c>
    </row>
    <row r="74" spans="4:116" ht="15.6" outlineLevel="1" x14ac:dyDescent="0.25">
      <c r="D74" s="10" t="s">
        <v>135</v>
      </c>
      <c r="E74" s="10" t="s">
        <v>115</v>
      </c>
      <c r="F74" s="10" t="s">
        <v>151</v>
      </c>
      <c r="G74" s="10" t="s">
        <v>182</v>
      </c>
      <c r="H74" s="62"/>
      <c r="I74" s="11">
        <f>76259.945519757/(10^3)</f>
        <v>76.259945519757011</v>
      </c>
      <c r="J74" s="11">
        <f>79360.9333025102/(10^3)</f>
        <v>79.36093330251019</v>
      </c>
      <c r="K74" s="11">
        <f>7984386.92977057/(10^3)</f>
        <v>7984.3869297705705</v>
      </c>
      <c r="L74" s="11">
        <f>79919.5773176923/(10^3)</f>
        <v>79.919577317692301</v>
      </c>
      <c r="M74" s="11">
        <f>78703.1467358984/(10^3)</f>
        <v>78.7031467358984</v>
      </c>
      <c r="N74" s="11">
        <f>81684.653325252/(10^3)</f>
        <v>81.684653325252</v>
      </c>
      <c r="O74" s="11">
        <f>84189.7563637018/(10^3)</f>
        <v>84.189756363701804</v>
      </c>
      <c r="P74" s="11">
        <f>85654.7079701202/(10^3)</f>
        <v>85.654707970120199</v>
      </c>
      <c r="Q74" s="11">
        <f>881.026664596025/(10^3)</f>
        <v>0.88102666459602497</v>
      </c>
      <c r="R74" s="11">
        <f>89491.5852679946/(10^3)</f>
        <v>89.491585267994594</v>
      </c>
      <c r="S74" s="11">
        <f>90710.0889970225/(10^3)</f>
        <v>90.710088997022496</v>
      </c>
      <c r="T74" s="11">
        <f>90774.5007677884/(10^3)</f>
        <v>90.774500767788396</v>
      </c>
      <c r="U74" s="11">
        <f>89771.5242767641/(10^3)</f>
        <v>89.771524276764097</v>
      </c>
      <c r="V74" s="11">
        <f>88107.3519033291/(10^3)</f>
        <v>88.107351903329089</v>
      </c>
      <c r="W74" s="11">
        <f>8763750.63553431/(10^3)</f>
        <v>8763.7506355343103</v>
      </c>
      <c r="X74" s="11">
        <f>89671.81311227/(10^3)</f>
        <v>89.671813112270002</v>
      </c>
      <c r="Y74" s="11">
        <f>89277.3352854808/(10^3)</f>
        <v>89.277335285480802</v>
      </c>
      <c r="Z74" s="11">
        <f>92359.3725414476/(10^3)</f>
        <v>92.359372541447613</v>
      </c>
      <c r="AA74" s="11">
        <f>92143.3931495577/(10^3)</f>
        <v>92.143393149557696</v>
      </c>
      <c r="AB74" s="11">
        <f>91770.4941750673/(10^3)</f>
        <v>91.770494175067299</v>
      </c>
      <c r="AC74" s="11">
        <f>903.449101761103/(10^3)</f>
        <v>0.90344910176110294</v>
      </c>
      <c r="AD74" s="11">
        <f>88605.73570468/(10^3)</f>
        <v>88.605735704680001</v>
      </c>
      <c r="AE74" s="11">
        <f>88640.5820561229/(10^3)</f>
        <v>88.640582056122909</v>
      </c>
      <c r="AF74" s="11">
        <f>91076.0175305885/(10^3)</f>
        <v>91.076017530588501</v>
      </c>
      <c r="AG74" s="11">
        <f>90542.8802493077/(10^3)</f>
        <v>90.5428802493077</v>
      </c>
      <c r="AH74" s="11">
        <f>90016.2601651653/(10^3)</f>
        <v>90.016260165165292</v>
      </c>
      <c r="AI74" s="11">
        <f>8941469.71173891/(10^3)</f>
        <v>8941.4697117389114</v>
      </c>
      <c r="AJ74" s="11">
        <f>87651.770379425/(10^3)</f>
        <v>87.651770379425002</v>
      </c>
      <c r="AK74" s="11">
        <f>85993.6218339904/(10^3)</f>
        <v>85.993621833990403</v>
      </c>
      <c r="AL74" s="11">
        <f>85348.6878082955/(10^3)</f>
        <v>85.348687808295495</v>
      </c>
      <c r="AM74" s="11">
        <f>83716.305691182/(10^3)</f>
        <v>83.716305691182001</v>
      </c>
      <c r="AN74" s="11">
        <f>83711.9610262307/(10^3)</f>
        <v>83.711961026230696</v>
      </c>
      <c r="AO74" s="11">
        <f>835.235542352099/(10^3)</f>
        <v>0.83523554235209896</v>
      </c>
      <c r="AP74" s="11">
        <f>82986.7355726266/(10^3)</f>
        <v>82.9867355726266</v>
      </c>
      <c r="AQ74" s="11">
        <f>82928.8484009307/(10^3)</f>
        <v>82.928848400930704</v>
      </c>
      <c r="AR74" s="11">
        <f>81477.2222215025/(10^3)</f>
        <v>81.477222221502501</v>
      </c>
      <c r="AS74" s="11">
        <f>80534.1538187132/(10^3)</f>
        <v>80.534153818713193</v>
      </c>
      <c r="AT74" s="11">
        <f>79434.7043756627/(10^3)</f>
        <v>79.43470437566269</v>
      </c>
      <c r="AU74" s="11">
        <f>7916836.78854776/(10^3)</f>
        <v>7916.8367885477601</v>
      </c>
      <c r="AV74" s="11">
        <f>79032.4065425528/(10^3)</f>
        <v>79.032406542552792</v>
      </c>
      <c r="AW74" s="11">
        <f>78088.3046274609/(10^3)</f>
        <v>78.0883046274609</v>
      </c>
      <c r="AX74" s="11">
        <f>80979.9541356666/(10^3)</f>
        <v>80.979954135666603</v>
      </c>
      <c r="AY74" s="11">
        <f>80218.3188970243/(10^3)</f>
        <v>80.218318897024304</v>
      </c>
      <c r="AZ74" s="11">
        <f>79303.5696998805/(10^3)</f>
        <v>79.303569699880512</v>
      </c>
      <c r="BA74" s="11">
        <f>803.482294329842/(10^3)</f>
        <v>0.80348229432984208</v>
      </c>
      <c r="BB74" s="11">
        <f>80041.2401506867/(10^3)</f>
        <v>80.041240150686704</v>
      </c>
      <c r="BC74" s="11">
        <f>79583.8128145425/(10^3)</f>
        <v>79.583812814542497</v>
      </c>
      <c r="BD74" s="11">
        <f>80126.6539032881/(10^3)</f>
        <v>80.126653903288101</v>
      </c>
      <c r="BE74" s="11">
        <f>80223.1606474332/(10^3)</f>
        <v>80.22316064743319</v>
      </c>
      <c r="BF74" s="11">
        <f>82345.5071389871/(10^3)</f>
        <v>82.345507138987102</v>
      </c>
      <c r="BG74" s="11">
        <f>8630226.11377488/(10^3)</f>
        <v>8630.226113774881</v>
      </c>
      <c r="BH74" s="11">
        <f>88234.4121179843/(10^3)</f>
        <v>88.234412117984306</v>
      </c>
      <c r="BI74" s="11">
        <f>90277.9287863653/(10^3)</f>
        <v>90.277928786365294</v>
      </c>
      <c r="BJ74" s="11">
        <f>88988.2824404149/(10^3)</f>
        <v>88.988282440414906</v>
      </c>
      <c r="BK74" s="11">
        <f>88067.202719587/(10^3)</f>
        <v>88.067202719587002</v>
      </c>
      <c r="BL74" s="11">
        <f>89625.7168832263/(10^3)</f>
        <v>89.625716883226303</v>
      </c>
      <c r="BM74" s="11">
        <f>909.667278078856/(10^3)</f>
        <v>0.90966727807885606</v>
      </c>
      <c r="BN74" s="11">
        <f>93123.3032020714/(10^3)</f>
        <v>93.123303202071398</v>
      </c>
      <c r="BO74" s="11">
        <f>97015.4552138384/(10^3)</f>
        <v>97.015455213838408</v>
      </c>
      <c r="BP74" s="11">
        <f>100113.270099786/(10^3)</f>
        <v>100.11327009978599</v>
      </c>
      <c r="BQ74" s="11">
        <f>100592.932956775/(10^3)</f>
        <v>100.592932956775</v>
      </c>
      <c r="BR74" s="11">
        <f>104582.385186769/(10^3)</f>
        <v>104.582385186769</v>
      </c>
      <c r="BS74" s="11">
        <f>10623547.3173128/(10^3)</f>
        <v>10623.547317312799</v>
      </c>
      <c r="BT74" s="11">
        <f>108418.285307994/(10^3)</f>
        <v>108.418285307994</v>
      </c>
      <c r="BU74" s="11">
        <f>111194.065358305/(10^3)</f>
        <v>111.194065358305</v>
      </c>
      <c r="BV74" s="11">
        <f>112925.095067392/(10^3)</f>
        <v>112.92509506739201</v>
      </c>
      <c r="BW74" s="11">
        <f>117776.885943696/(10^3)</f>
        <v>117.776885943696</v>
      </c>
      <c r="BX74" s="11">
        <f>122958.179742856/(10^3)</f>
        <v>122.95817974285599</v>
      </c>
      <c r="BY74" s="11">
        <f>1210.7499388434/(10^3)</f>
        <v>1.2107499388434</v>
      </c>
      <c r="BZ74" s="11">
        <f>121074.99388434/(10^3)</f>
        <v>121.07499388434</v>
      </c>
      <c r="CA74" s="11">
        <f>126277.683384516/(10^3)</f>
        <v>126.277683384516</v>
      </c>
      <c r="CB74" s="11">
        <f>128282.139617521/(10^3)</f>
        <v>128.28213961752098</v>
      </c>
      <c r="CC74" s="12"/>
      <c r="CZ74" s="11">
        <v>88.102666459602474</v>
      </c>
      <c r="DA74" s="11">
        <v>90.344910176110275</v>
      </c>
      <c r="DB74" s="11">
        <v>83.523554235209943</v>
      </c>
      <c r="DC74" s="11">
        <v>80.34822943298424</v>
      </c>
      <c r="DD74" s="11">
        <v>90.966727807885604</v>
      </c>
      <c r="DE74" s="11">
        <v>121.0749938843402</v>
      </c>
      <c r="DG74" s="11">
        <v>79.843869297705737</v>
      </c>
      <c r="DH74" s="11">
        <v>87.637506355343064</v>
      </c>
      <c r="DI74" s="11">
        <v>89.414697117389153</v>
      </c>
      <c r="DJ74" s="11">
        <v>79.168367885477622</v>
      </c>
      <c r="DK74" s="11">
        <v>86.302261137748786</v>
      </c>
      <c r="DL74" s="11">
        <v>106.23547317312784</v>
      </c>
    </row>
    <row r="75" spans="4:116" ht="15.6" outlineLevel="1" x14ac:dyDescent="0.25">
      <c r="D75" s="10" t="s">
        <v>136</v>
      </c>
      <c r="E75" s="10" t="s">
        <v>115</v>
      </c>
      <c r="F75" s="10" t="s">
        <v>151</v>
      </c>
      <c r="G75" s="10" t="s">
        <v>182</v>
      </c>
      <c r="H75" s="62"/>
      <c r="I75" s="11">
        <f>59947.8212184555/(10^3)</f>
        <v>59.947821218455502</v>
      </c>
      <c r="J75" s="11">
        <f>59071.5781084033/(10^3)</f>
        <v>59.071578108403301</v>
      </c>
      <c r="K75" s="11">
        <f>6046640.55145951/(10^3)</f>
        <v>6046.6405514595099</v>
      </c>
      <c r="L75" s="11">
        <f>61275.1724758865/(10^3)</f>
        <v>61.2751724758865</v>
      </c>
      <c r="M75" s="11">
        <f>60185.0577995936/(10^3)</f>
        <v>60.185057799593594</v>
      </c>
      <c r="N75" s="11">
        <f>63057.4135904125/(10^3)</f>
        <v>63.057413590412501</v>
      </c>
      <c r="O75" s="11">
        <f>65480.6755493476/(10^3)</f>
        <v>65.480675549347595</v>
      </c>
      <c r="P75" s="11">
        <f>67375.2103819953/(10^3)</f>
        <v>67.375210381995302</v>
      </c>
      <c r="Q75" s="11">
        <f>699.482109984942/(10^3)</f>
        <v>0.69948210998494198</v>
      </c>
      <c r="R75" s="11">
        <f>68880.1524346275/(10^3)</f>
        <v>68.88015243462749</v>
      </c>
      <c r="S75" s="11">
        <f>67684.4176328737/(10^3)</f>
        <v>67.684417632873689</v>
      </c>
      <c r="T75" s="11">
        <f>66707.4865627755/(10^3)</f>
        <v>66.7074865627755</v>
      </c>
      <c r="U75" s="11">
        <f>65795.1784094747/(10^3)</f>
        <v>65.795178409474701</v>
      </c>
      <c r="V75" s="11">
        <f>65005.845289099/(10^3)</f>
        <v>65.005845289099</v>
      </c>
      <c r="W75" s="11">
        <f>6776197.6988036/(10^3)</f>
        <v>6776.1976988036004</v>
      </c>
      <c r="X75" s="11">
        <f>66746.2583012197/(10^3)</f>
        <v>66.746258301219697</v>
      </c>
      <c r="Y75" s="11">
        <f>66055.7803632752/(10^3)</f>
        <v>66.055780363275204</v>
      </c>
      <c r="Z75" s="11">
        <f>68155.8131189764/(10^3)</f>
        <v>68.155813118976397</v>
      </c>
      <c r="AA75" s="11">
        <f>68895.8233242461/(10^3)</f>
        <v>68.895823324246095</v>
      </c>
      <c r="AB75" s="11">
        <f>68264.7207620355/(10^3)</f>
        <v>68.264720762035509</v>
      </c>
      <c r="AC75" s="11">
        <f>678.763675588358/(10^3)</f>
        <v>0.67876367558835793</v>
      </c>
      <c r="AD75" s="11">
        <f>67851.9905784084/(10^3)</f>
        <v>67.85199057840839</v>
      </c>
      <c r="AE75" s="11">
        <f>69119.2896550747/(10^3)</f>
        <v>69.119289655074695</v>
      </c>
      <c r="AF75" s="11">
        <f>70463.6070780957/(10^3)</f>
        <v>70.463607078095691</v>
      </c>
      <c r="AG75" s="11">
        <f>69083.2374785785/(10^3)</f>
        <v>69.083237478578511</v>
      </c>
      <c r="AH75" s="11">
        <f>68030.3816176191/(10^3)</f>
        <v>68.030381617619099</v>
      </c>
      <c r="AI75" s="11">
        <f>6772464.97751183/(10^3)</f>
        <v>6772.4649775118296</v>
      </c>
      <c r="AJ75" s="11">
        <f>70664.872683449/(10^3)</f>
        <v>70.664872683448991</v>
      </c>
      <c r="AK75" s="11">
        <f>69399.5146057022/(10^3)</f>
        <v>69.399514605702208</v>
      </c>
      <c r="AL75" s="11">
        <f>69307.1446236073/(10^3)</f>
        <v>69.3071446236073</v>
      </c>
      <c r="AM75" s="11">
        <f>69116.5372811867/(10^3)</f>
        <v>69.116537281186694</v>
      </c>
      <c r="AN75" s="11">
        <f>70337.7060731305/(10^3)</f>
        <v>70.337706073130491</v>
      </c>
      <c r="AO75" s="11">
        <f>693.634575533164/(10^3)</f>
        <v>0.69363457553316399</v>
      </c>
      <c r="AP75" s="11">
        <f>71228.4510352643/(10^3)</f>
        <v>71.2284510352643</v>
      </c>
      <c r="AQ75" s="11">
        <f>74605.5410741218/(10^3)</f>
        <v>74.605541074121788</v>
      </c>
      <c r="AR75" s="11">
        <f>74310.6480228808/(10^3)</f>
        <v>74.310648022880812</v>
      </c>
      <c r="AS75" s="11">
        <f>77220.2862576085/(10^3)</f>
        <v>77.220286257608507</v>
      </c>
      <c r="AT75" s="11">
        <f>79948.1781666538/(10^3)</f>
        <v>79.948178166653804</v>
      </c>
      <c r="AU75" s="11">
        <f>7855884.79086887/(10^3)</f>
        <v>7855.8847908688704</v>
      </c>
      <c r="AV75" s="11">
        <f>77713.3087560902/(10^3)</f>
        <v>77.7133087560902</v>
      </c>
      <c r="AW75" s="11">
        <f>76660.8283330214/(10^3)</f>
        <v>76.660828333021399</v>
      </c>
      <c r="AX75" s="11">
        <f>75367.7893700664/(10^3)</f>
        <v>75.367789370066404</v>
      </c>
      <c r="AY75" s="11">
        <f>74790.40259918/(10^3)</f>
        <v>74.790402599179998</v>
      </c>
      <c r="AZ75" s="11">
        <f>77391.3507621815/(10^3)</f>
        <v>77.391350762181489</v>
      </c>
      <c r="BA75" s="11">
        <f>783.567563217407/(10^3)</f>
        <v>0.78356756321740706</v>
      </c>
      <c r="BB75" s="11">
        <f>78552.1904779589/(10^3)</f>
        <v>78.552190477958888</v>
      </c>
      <c r="BC75" s="11">
        <f>78283.3228232569/(10^3)</f>
        <v>78.283322823256896</v>
      </c>
      <c r="BD75" s="11">
        <f>79673.9375959709/(10^3)</f>
        <v>79.673937595970898</v>
      </c>
      <c r="BE75" s="11">
        <f>79224.075759637/(10^3)</f>
        <v>79.224075759636989</v>
      </c>
      <c r="BF75" s="11">
        <f>80131.9484777233/(10^3)</f>
        <v>80.131948477723299</v>
      </c>
      <c r="BG75" s="11">
        <f>8205473.92083741/(10^3)</f>
        <v>8205.4739208374103</v>
      </c>
      <c r="BH75" s="11">
        <f>80777.4982436271/(10^3)</f>
        <v>80.777498243627093</v>
      </c>
      <c r="BI75" s="11">
        <f>83970.0658983566/(10^3)</f>
        <v>83.970065898356594</v>
      </c>
      <c r="BJ75" s="11">
        <f>84987.0177550235/(10^3)</f>
        <v>84.987017755023501</v>
      </c>
      <c r="BK75" s="11">
        <f>86811.9054206651/(10^3)</f>
        <v>86.811905420665099</v>
      </c>
      <c r="BL75" s="11">
        <f>91081.9395952147/(10^3)</f>
        <v>91.081939595214706</v>
      </c>
      <c r="BM75" s="11">
        <f>949.9908787734/(10^3)</f>
        <v>0.94999087877340005</v>
      </c>
      <c r="BN75" s="11">
        <f>97992.2509048348/(10^3)</f>
        <v>97.992250904834805</v>
      </c>
      <c r="BO75" s="11">
        <f>99528.4836884341/(10^3)</f>
        <v>99.528483688434108</v>
      </c>
      <c r="BP75" s="11">
        <f>101977.825500781/(10^3)</f>
        <v>101.97782550078099</v>
      </c>
      <c r="BQ75" s="11">
        <f>102099.418696161/(10^3)</f>
        <v>102.099418696161</v>
      </c>
      <c r="BR75" s="11">
        <f>100522.356910936/(10^3)</f>
        <v>100.522356910936</v>
      </c>
      <c r="BS75" s="11">
        <f>10372472.5647296/(10^3)</f>
        <v>10372.4725647296</v>
      </c>
      <c r="BT75" s="11">
        <f>102929.992799827/(10^3)</f>
        <v>102.92999279982701</v>
      </c>
      <c r="BU75" s="11">
        <f>104598.804904097/(10^3)</f>
        <v>104.59880490409701</v>
      </c>
      <c r="BV75" s="11">
        <f>108486.608332172/(10^3)</f>
        <v>108.48660833217201</v>
      </c>
      <c r="BW75" s="11">
        <f>108863.534224652/(10^3)</f>
        <v>108.863534224652</v>
      </c>
      <c r="BX75" s="11">
        <f>109814.248732557/(10^3)</f>
        <v>109.81424873255699</v>
      </c>
      <c r="BY75" s="11">
        <f>1122.34358168285/(10^3)</f>
        <v>1.12234358168285</v>
      </c>
      <c r="BZ75" s="11">
        <f>112234.358168285/(10^3)</f>
        <v>112.234358168285</v>
      </c>
      <c r="CA75" s="11">
        <f>111196.981436724/(10^3)</f>
        <v>111.196981436724</v>
      </c>
      <c r="CB75" s="11">
        <f>113685.971503066/(10^3)</f>
        <v>113.685971503066</v>
      </c>
      <c r="CC75" s="12"/>
      <c r="CZ75" s="11">
        <v>69.94821099849419</v>
      </c>
      <c r="DA75" s="11">
        <v>67.87636755883581</v>
      </c>
      <c r="DB75" s="11">
        <v>69.363457553316366</v>
      </c>
      <c r="DC75" s="11">
        <v>78.356756321740662</v>
      </c>
      <c r="DD75" s="11">
        <v>94.999087877339974</v>
      </c>
      <c r="DE75" s="11">
        <v>112.2343581682854</v>
      </c>
      <c r="DG75" s="11">
        <v>60.466405514595138</v>
      </c>
      <c r="DH75" s="11">
        <v>67.761976988035997</v>
      </c>
      <c r="DI75" s="11">
        <v>67.724649775118266</v>
      </c>
      <c r="DJ75" s="11">
        <v>78.558847908688719</v>
      </c>
      <c r="DK75" s="11">
        <v>82.05473920837413</v>
      </c>
      <c r="DL75" s="11">
        <v>103.72472564729647</v>
      </c>
    </row>
    <row r="76" spans="4:116" ht="15.6" outlineLevel="1" x14ac:dyDescent="0.25">
      <c r="D76" s="10" t="s">
        <v>36</v>
      </c>
      <c r="E76" s="10" t="s">
        <v>35</v>
      </c>
      <c r="F76" s="10" t="s">
        <v>150</v>
      </c>
      <c r="G76" s="10" t="s">
        <v>182</v>
      </c>
      <c r="H76" s="62"/>
      <c r="I76" s="11">
        <f>27822.4382673376/(10^3)</f>
        <v>27.822438267337599</v>
      </c>
      <c r="J76" s="11">
        <f>29052.985766459/(10^3)</f>
        <v>29.052985766459003</v>
      </c>
      <c r="K76" s="11">
        <f>2854971.38812857/(10^3)</f>
        <v>2854.9713881285697</v>
      </c>
      <c r="L76" s="11">
        <f>28862.8892019859/(10^3)</f>
        <v>28.862889201985901</v>
      </c>
      <c r="M76" s="11">
        <f>28687.8797844462/(10^3)</f>
        <v>28.687879784446199</v>
      </c>
      <c r="N76" s="11">
        <f>28919.4793193046/(10^3)</f>
        <v>28.9194793193046</v>
      </c>
      <c r="O76" s="11">
        <f>29669.710949139/(10^3)</f>
        <v>29.669710949138999</v>
      </c>
      <c r="P76" s="11">
        <f>29105.0936545362/(10^3)</f>
        <v>29.105093654536198</v>
      </c>
      <c r="Q76" s="11">
        <f>292.079306577994/(10^3)</f>
        <v>0.29207930657799397</v>
      </c>
      <c r="R76" s="11">
        <f>29807.2691803215/(10^3)</f>
        <v>29.807269180321498</v>
      </c>
      <c r="S76" s="11">
        <f>30917.397780355/(10^3)</f>
        <v>30.917397780355</v>
      </c>
      <c r="T76" s="11">
        <f>31319.0238982345/(10^3)</f>
        <v>31.319023898234502</v>
      </c>
      <c r="U76" s="11">
        <f>31908.4820640972/(10^3)</f>
        <v>31.9084820640972</v>
      </c>
      <c r="V76" s="11">
        <f>31363.1140227538/(10^3)</f>
        <v>31.363114022753802</v>
      </c>
      <c r="W76" s="11">
        <f>3237978.17192354/(10^3)</f>
        <v>3237.9781719235402</v>
      </c>
      <c r="X76" s="11">
        <f>32470.9853130936/(10^3)</f>
        <v>32.4709853130936</v>
      </c>
      <c r="Y76" s="11">
        <f>32434.9819840294/(10^3)</f>
        <v>32.434981984029399</v>
      </c>
      <c r="Z76" s="11">
        <f>31915.0637893392/(10^3)</f>
        <v>31.9150637893392</v>
      </c>
      <c r="AA76" s="11">
        <f>32590.0406020835/(10^3)</f>
        <v>32.590040602083498</v>
      </c>
      <c r="AB76" s="11">
        <f>32465.1467655529/(10^3)</f>
        <v>32.465146765552902</v>
      </c>
      <c r="AC76" s="11">
        <f>321.044329004641/(10^3)</f>
        <v>0.32104432900464097</v>
      </c>
      <c r="AD76" s="11">
        <f>31476.8323248311/(10^3)</f>
        <v>31.476832324831101</v>
      </c>
      <c r="AE76" s="11">
        <f>32582.6551972782/(10^3)</f>
        <v>32.5826551972782</v>
      </c>
      <c r="AF76" s="11">
        <f>32483.6632017379/(10^3)</f>
        <v>32.483663201737905</v>
      </c>
      <c r="AG76" s="11">
        <f>32370.3487356028/(10^3)</f>
        <v>32.370348735602803</v>
      </c>
      <c r="AH76" s="11">
        <f>33923.6288293312/(10^3)</f>
        <v>33.9236288293312</v>
      </c>
      <c r="AI76" s="11">
        <f>3351350.90151341/(10^3)</f>
        <v>3351.35090151341</v>
      </c>
      <c r="AJ76" s="11">
        <f>33143.6331599827/(10^3)</f>
        <v>33.143633159982706</v>
      </c>
      <c r="AK76" s="11">
        <f>32532.894956443/(10^3)</f>
        <v>32.532894956443002</v>
      </c>
      <c r="AL76" s="11">
        <f>34011.571925409/(10^3)</f>
        <v>34.011571925409001</v>
      </c>
      <c r="AM76" s="11">
        <f>34948.0041922638/(10^3)</f>
        <v>34.948004192263795</v>
      </c>
      <c r="AN76" s="11">
        <f>34911.346052347/(10^3)</f>
        <v>34.911346052347</v>
      </c>
      <c r="AO76" s="11">
        <f>361.197088405426/(10^3)</f>
        <v>0.36119708840542597</v>
      </c>
      <c r="AP76" s="11">
        <f>37358.8371102128/(10^3)</f>
        <v>37.358837110212804</v>
      </c>
      <c r="AQ76" s="11">
        <f>36621.4650265943/(10^3)</f>
        <v>36.621465026594301</v>
      </c>
      <c r="AR76" s="11">
        <f>38409.7735237922/(10^3)</f>
        <v>38.409773523792204</v>
      </c>
      <c r="AS76" s="11">
        <f>40263.4450606433/(10^3)</f>
        <v>40.263445060643299</v>
      </c>
      <c r="AT76" s="11">
        <f>39697.4116820606/(10^3)</f>
        <v>39.697411682060597</v>
      </c>
      <c r="AU76" s="11">
        <f>4156895.63867059/(10^3)</f>
        <v>4156.8956386705895</v>
      </c>
      <c r="AV76" s="11">
        <f>42350.7945980012/(10^3)</f>
        <v>42.350794598001201</v>
      </c>
      <c r="AW76" s="11">
        <f>42241.7012670395/(10^3)</f>
        <v>42.241701267039495</v>
      </c>
      <c r="AX76" s="11">
        <f>41951.4146177815/(10^3)</f>
        <v>41.951414617781495</v>
      </c>
      <c r="AY76" s="11">
        <f>43967.7613678505/(10^3)</f>
        <v>43.9677613678505</v>
      </c>
      <c r="AZ76" s="11">
        <f>43350.8568970776/(10^3)</f>
        <v>43.350856897077605</v>
      </c>
      <c r="BA76" s="11">
        <f>445.47574772081/(10^3)</f>
        <v>0.44547574772081</v>
      </c>
      <c r="BB76" s="11">
        <f>44197.7393046677/(10^3)</f>
        <v>44.197739304667699</v>
      </c>
      <c r="BC76" s="11">
        <f>43367.4830662578/(10^3)</f>
        <v>43.367483066257805</v>
      </c>
      <c r="BD76" s="11">
        <f>45389.898604996/(10^3)</f>
        <v>45.389898604995999</v>
      </c>
      <c r="BE76" s="11">
        <f>46686.6265983206/(10^3)</f>
        <v>46.686626598320601</v>
      </c>
      <c r="BF76" s="11">
        <f>46568.3926963619/(10^3)</f>
        <v>46.568392696361904</v>
      </c>
      <c r="BG76" s="11">
        <f>4673807.48527138/(10^3)</f>
        <v>4673.8074852713798</v>
      </c>
      <c r="BH76" s="11">
        <f>47488.9702160161/(10^3)</f>
        <v>47.488970216016106</v>
      </c>
      <c r="BI76" s="11">
        <f>47378.4748772593/(10^3)</f>
        <v>47.378474877259301</v>
      </c>
      <c r="BJ76" s="11">
        <f>49012.8349418487/(10^3)</f>
        <v>49.012834941848695</v>
      </c>
      <c r="BK76" s="11">
        <f>49411.5777225504/(10^3)</f>
        <v>49.411577722550398</v>
      </c>
      <c r="BL76" s="11">
        <f>51484.9473349647/(10^3)</f>
        <v>51.484947334964701</v>
      </c>
      <c r="BM76" s="11">
        <f>536.36812641918/(10^3)</f>
        <v>0.53636812641918008</v>
      </c>
      <c r="BN76" s="11">
        <f>54418.8817987928/(10^3)</f>
        <v>54.418881798792796</v>
      </c>
      <c r="BO76" s="11">
        <f>55213.7586145225/(10^3)</f>
        <v>55.213758614522497</v>
      </c>
      <c r="BP76" s="11">
        <f>56365.7632105184/(10^3)</f>
        <v>56.365763210518402</v>
      </c>
      <c r="BQ76" s="11">
        <f>56132.6395058889/(10^3)</f>
        <v>56.132639505888903</v>
      </c>
      <c r="BR76" s="11">
        <f>57910.0128099912/(10^3)</f>
        <v>57.910012809991201</v>
      </c>
      <c r="BS76" s="11">
        <f>5943303.15014677/(10^3)</f>
        <v>5943.3031501467703</v>
      </c>
      <c r="BT76" s="11">
        <f>59778.4056729022/(10^3)</f>
        <v>59.778405672902196</v>
      </c>
      <c r="BU76" s="11">
        <f>59867.4666825278/(10^3)</f>
        <v>59.867466682527798</v>
      </c>
      <c r="BV76" s="11">
        <f>59698.3618993576/(10^3)</f>
        <v>59.6983618993576</v>
      </c>
      <c r="BW76" s="11">
        <f>62309.5153449564/(10^3)</f>
        <v>62.309515344956402</v>
      </c>
      <c r="BX76" s="11">
        <f>61514.6821581454/(10^3)</f>
        <v>61.514682158145398</v>
      </c>
      <c r="BY76" s="11">
        <f>640.309130644333/(10^3)</f>
        <v>0.64030913064433304</v>
      </c>
      <c r="BZ76" s="11">
        <f>64030.9130644333/(10^3)</f>
        <v>64.030913064433292</v>
      </c>
      <c r="CA76" s="11">
        <f>65342.4169275391/(10^3)</f>
        <v>65.342416927539105</v>
      </c>
      <c r="CB76" s="11">
        <f>68385.1135014378/(10^3)</f>
        <v>68.3851135014378</v>
      </c>
      <c r="CC76" s="12"/>
      <c r="CZ76" s="11">
        <v>29.207930657799441</v>
      </c>
      <c r="DA76" s="11">
        <v>32.104432900464055</v>
      </c>
      <c r="DB76" s="11">
        <v>36.119708840542607</v>
      </c>
      <c r="DC76" s="11">
        <v>44.547574772081049</v>
      </c>
      <c r="DD76" s="11">
        <v>53.63681264191797</v>
      </c>
      <c r="DE76" s="11">
        <v>64.030913064433321</v>
      </c>
      <c r="DG76" s="11">
        <v>28.549713881285687</v>
      </c>
      <c r="DH76" s="11">
        <v>32.379781719235368</v>
      </c>
      <c r="DI76" s="11">
        <v>33.513509015134147</v>
      </c>
      <c r="DJ76" s="11">
        <v>41.568956386705864</v>
      </c>
      <c r="DK76" s="11">
        <v>46.738074852713837</v>
      </c>
      <c r="DL76" s="11">
        <v>59.433031501467738</v>
      </c>
    </row>
    <row r="77" spans="4:116" ht="15.6" outlineLevel="1" x14ac:dyDescent="0.25">
      <c r="D77" s="10" t="s">
        <v>38</v>
      </c>
      <c r="E77" s="10" t="s">
        <v>37</v>
      </c>
      <c r="F77" s="10" t="s">
        <v>149</v>
      </c>
      <c r="G77" s="10" t="s">
        <v>182</v>
      </c>
      <c r="H77" s="62"/>
      <c r="I77" s="11">
        <f>42307.9681581058/(10^3)</f>
        <v>42.307968158105801</v>
      </c>
      <c r="J77" s="11">
        <f>42002.0361662022/(10^3)</f>
        <v>42.002036166202195</v>
      </c>
      <c r="K77" s="11">
        <f>4172679.39948176/(10^3)</f>
        <v>4172.6793994817599</v>
      </c>
      <c r="L77" s="11">
        <f>40947.2832239404/(10^3)</f>
        <v>40.947283223940403</v>
      </c>
      <c r="M77" s="11">
        <f>41663.660876781/(10^3)</f>
        <v>41.663660876781002</v>
      </c>
      <c r="N77" s="11">
        <f>42146.247247535/(10^3)</f>
        <v>42.146247247535001</v>
      </c>
      <c r="O77" s="11">
        <f>42755.2700122363/(10^3)</f>
        <v>42.755270012236302</v>
      </c>
      <c r="P77" s="11">
        <f>42336.9137230425/(10^3)</f>
        <v>42.3369137230425</v>
      </c>
      <c r="Q77" s="11">
        <f>426.793412755323/(10^3)</f>
        <v>0.42679341275532301</v>
      </c>
      <c r="R77" s="11">
        <f>43887.9617376627/(10^3)</f>
        <v>43.8879617376627</v>
      </c>
      <c r="S77" s="11">
        <f>45181.8217333122/(10^3)</f>
        <v>45.181821733312198</v>
      </c>
      <c r="T77" s="11">
        <f>44776.1166920501/(10^3)</f>
        <v>44.776116692050095</v>
      </c>
      <c r="U77" s="11">
        <f>44170.5302234877/(10^3)</f>
        <v>44.170530223487702</v>
      </c>
      <c r="V77" s="11">
        <f>44066.4879064946/(10^3)</f>
        <v>44.066487906494601</v>
      </c>
      <c r="W77" s="11">
        <f>4591885.78171909/(10^3)</f>
        <v>4591.8857817190901</v>
      </c>
      <c r="X77" s="11">
        <f>46643.3855753117/(10^3)</f>
        <v>46.643385575311704</v>
      </c>
      <c r="Y77" s="11">
        <f>46335.3593782159/(10^3)</f>
        <v>46.335359378215898</v>
      </c>
      <c r="Z77" s="11">
        <f>46245.5771092424/(10^3)</f>
        <v>46.245577109242397</v>
      </c>
      <c r="AA77" s="11">
        <f>46960.6820618995/(10^3)</f>
        <v>46.960682061899497</v>
      </c>
      <c r="AB77" s="11">
        <f>48457.296924452/(10^3)</f>
        <v>48.457296924452002</v>
      </c>
      <c r="AC77" s="11">
        <f>499.034680867475/(10^3)</f>
        <v>0.49903468086747499</v>
      </c>
      <c r="AD77" s="11">
        <f>49362.9026798871/(10^3)</f>
        <v>49.3629026798871</v>
      </c>
      <c r="AE77" s="11">
        <f>49559.0896950292/(10^3)</f>
        <v>49.559089695029201</v>
      </c>
      <c r="AF77" s="11">
        <f>51451.0574258673/(10^3)</f>
        <v>51.451057425867297</v>
      </c>
      <c r="AG77" s="11">
        <f>51964.4771451048/(10^3)</f>
        <v>51.964477145104802</v>
      </c>
      <c r="AH77" s="11">
        <f>50941.5936064711/(10^3)</f>
        <v>50.941593606471102</v>
      </c>
      <c r="AI77" s="11">
        <f>5224456.75202194/(10^3)</f>
        <v>5224.4567520219407</v>
      </c>
      <c r="AJ77" s="11">
        <f>52958.6345001228/(10^3)</f>
        <v>52.958634500122798</v>
      </c>
      <c r="AK77" s="11">
        <f>52746.9530774357/(10^3)</f>
        <v>52.746953077435698</v>
      </c>
      <c r="AL77" s="11">
        <f>51993.5773787526/(10^3)</f>
        <v>51.993577378752597</v>
      </c>
      <c r="AM77" s="11">
        <f>51957.4798034434/(10^3)</f>
        <v>51.957479803443398</v>
      </c>
      <c r="AN77" s="11">
        <f>54069.8993707777/(10^3)</f>
        <v>54.069899370777698</v>
      </c>
      <c r="AO77" s="11">
        <f>542.799234690994/(10^3)</f>
        <v>0.542799234690994</v>
      </c>
      <c r="AP77" s="11">
        <f>56838.8201840243/(10^3)</f>
        <v>56.8388201840243</v>
      </c>
      <c r="AQ77" s="11">
        <f>57943.9105337203/(10^3)</f>
        <v>57.943910533720299</v>
      </c>
      <c r="AR77" s="11">
        <f>58662.8883667232/(10^3)</f>
        <v>58.662888366723202</v>
      </c>
      <c r="AS77" s="11">
        <f>59389.3078147102/(10^3)</f>
        <v>59.3893078147102</v>
      </c>
      <c r="AT77" s="11">
        <f>58312.4900819976/(10^3)</f>
        <v>58.312490081997602</v>
      </c>
      <c r="AU77" s="11">
        <f>5985772.12161787/(10^3)</f>
        <v>5985.7721216178707</v>
      </c>
      <c r="AV77" s="11">
        <f>58765.3946907436/(10^3)</f>
        <v>58.765394690743598</v>
      </c>
      <c r="AW77" s="11">
        <f>58536.34934927/(10^3)</f>
        <v>58.536349349269997</v>
      </c>
      <c r="AX77" s="11">
        <f>60104.5486352345/(10^3)</f>
        <v>60.104548635234501</v>
      </c>
      <c r="AY77" s="11">
        <f>61819.5366524164/(10^3)</f>
        <v>61.819536652416396</v>
      </c>
      <c r="AZ77" s="11">
        <f>62176.5000395373/(10^3)</f>
        <v>62.176500039537302</v>
      </c>
      <c r="BA77" s="11">
        <f>616.528953635063/(10^3)</f>
        <v>0.61652895363506299</v>
      </c>
      <c r="BB77" s="11">
        <f>62712.6119304955/(10^3)</f>
        <v>62.712611930495498</v>
      </c>
      <c r="BC77" s="11">
        <f>63514.4421447111/(10^3)</f>
        <v>63.514442144711104</v>
      </c>
      <c r="BD77" s="11">
        <f>65506.6106214254/(10^3)</f>
        <v>65.506610621425409</v>
      </c>
      <c r="BE77" s="11">
        <f>64813.4206460541/(10^3)</f>
        <v>64.813420646054098</v>
      </c>
      <c r="BF77" s="11">
        <f>67457.0282315532/(10^3)</f>
        <v>67.457028231553195</v>
      </c>
      <c r="BG77" s="11">
        <f>6933266.78355938/(10^3)</f>
        <v>6933.2667835593802</v>
      </c>
      <c r="BH77" s="11">
        <f>71161.9722411909/(10^3)</f>
        <v>71.161972241190909</v>
      </c>
      <c r="BI77" s="11">
        <f>73081.1235034623/(10^3)</f>
        <v>73.081123503462294</v>
      </c>
      <c r="BJ77" s="11">
        <f>71679.1308576759/(10^3)</f>
        <v>71.679130857675901</v>
      </c>
      <c r="BK77" s="11">
        <f>71809.4331805421/(10^3)</f>
        <v>71.809433180542101</v>
      </c>
      <c r="BL77" s="11">
        <f>72155.0551530552/(10^3)</f>
        <v>72.155055153055201</v>
      </c>
      <c r="BM77" s="11">
        <f>748.575368936875/(10^3)</f>
        <v>0.74857536893687493</v>
      </c>
      <c r="BN77" s="11">
        <f>74788.1917292872/(10^3)</f>
        <v>74.788191729287192</v>
      </c>
      <c r="BO77" s="11">
        <f>77687.3850109328/(10^3)</f>
        <v>77.6873850109328</v>
      </c>
      <c r="BP77" s="11">
        <f>76540.9436123405/(10^3)</f>
        <v>76.540943612340499</v>
      </c>
      <c r="BQ77" s="11">
        <f>76753.7573759734/(10^3)</f>
        <v>76.753757375973393</v>
      </c>
      <c r="BR77" s="11">
        <f>78330.300357284/(10^3)</f>
        <v>78.330300357283988</v>
      </c>
      <c r="BS77" s="11">
        <f>7978076.84423954/(10^3)</f>
        <v>7978.0768442395402</v>
      </c>
      <c r="BT77" s="11">
        <f>81300.2191488517/(10^3)</f>
        <v>81.300219148851696</v>
      </c>
      <c r="BU77" s="11">
        <f>80792.7300165986/(10^3)</f>
        <v>80.792730016598597</v>
      </c>
      <c r="BV77" s="11">
        <f>82047.8411825962/(10^3)</f>
        <v>82.047841182596201</v>
      </c>
      <c r="BW77" s="11">
        <f>84686.9736130575/(10^3)</f>
        <v>84.686973613057503</v>
      </c>
      <c r="BX77" s="11">
        <f>85003.8663031284/(10^3)</f>
        <v>85.00386630312839</v>
      </c>
      <c r="BY77" s="11">
        <f>888.370393622884/(10^3)</f>
        <v>0.88837039362288395</v>
      </c>
      <c r="BZ77" s="11">
        <f>88837.0393622884/(10^3)</f>
        <v>88.837039362288394</v>
      </c>
      <c r="CA77" s="11">
        <f>90544.9804154621/(10^3)</f>
        <v>90.544980415462092</v>
      </c>
      <c r="CB77" s="11">
        <f>92354.755561363/(10^3)</f>
        <v>92.354755561362992</v>
      </c>
      <c r="CC77" s="12"/>
      <c r="CZ77" s="11">
        <v>42.679341275532281</v>
      </c>
      <c r="DA77" s="11">
        <v>49.903468086747495</v>
      </c>
      <c r="DB77" s="11">
        <v>54.279923469099437</v>
      </c>
      <c r="DC77" s="11">
        <v>61.652895363506261</v>
      </c>
      <c r="DD77" s="11">
        <v>74.857536893687495</v>
      </c>
      <c r="DE77" s="11">
        <v>88.837039362288408</v>
      </c>
      <c r="DG77" s="11">
        <v>41.726793994817598</v>
      </c>
      <c r="DH77" s="11">
        <v>45.918857817190869</v>
      </c>
      <c r="DI77" s="11">
        <v>52.244567520219405</v>
      </c>
      <c r="DJ77" s="11">
        <v>59.857721216178739</v>
      </c>
      <c r="DK77" s="11">
        <v>69.332667835593796</v>
      </c>
      <c r="DL77" s="11">
        <v>79.780768442395356</v>
      </c>
    </row>
    <row r="78" spans="4:116" ht="15.6" outlineLevel="1" x14ac:dyDescent="0.25">
      <c r="D78" s="10" t="s">
        <v>39</v>
      </c>
      <c r="E78" s="10" t="s">
        <v>37</v>
      </c>
      <c r="F78" s="10" t="s">
        <v>149</v>
      </c>
      <c r="G78" s="10" t="s">
        <v>182</v>
      </c>
      <c r="H78" s="62"/>
      <c r="I78" s="11">
        <f>88923.1449128844/(10^3)</f>
        <v>88.923144912884396</v>
      </c>
      <c r="J78" s="11">
        <f>89151.4042532849/(10^3)</f>
        <v>89.151404253284895</v>
      </c>
      <c r="K78" s="11">
        <f>8969242.0488485/(10^3)</f>
        <v>8969.2420488485004</v>
      </c>
      <c r="L78" s="11">
        <f>91959.6570884942/(10^3)</f>
        <v>91.959657088494211</v>
      </c>
      <c r="M78" s="11">
        <f>92447.4782413775/(10^3)</f>
        <v>92.447478241377496</v>
      </c>
      <c r="N78" s="11">
        <f>94222.3234719972/(10^3)</f>
        <v>94.2223234719972</v>
      </c>
      <c r="O78" s="11">
        <f>97311.8351424236/(10^3)</f>
        <v>97.311835142423604</v>
      </c>
      <c r="P78" s="11">
        <f>95767.6740796955/(10^3)</f>
        <v>95.767674079695496</v>
      </c>
      <c r="Q78" s="11">
        <f>949.957146821525/(10^3)</f>
        <v>0.94995714682152499</v>
      </c>
      <c r="R78" s="11">
        <f>98719.4366686579/(10^3)</f>
        <v>98.719436668657906</v>
      </c>
      <c r="S78" s="11">
        <f>102765.344787133/(10^3)</f>
        <v>102.765344787133</v>
      </c>
      <c r="T78" s="11">
        <f>101523.752755401/(10^3)</f>
        <v>101.52375275540101</v>
      </c>
      <c r="U78" s="11">
        <f>103990.489076879/(10^3)</f>
        <v>103.990489076879</v>
      </c>
      <c r="V78" s="11">
        <f>106151.460536337/(10^3)</f>
        <v>106.15146053633701</v>
      </c>
      <c r="W78" s="11">
        <f>10875191.3787727/(10^3)</f>
        <v>10875.191378772701</v>
      </c>
      <c r="X78" s="11">
        <f>109132.565963836/(10^3)</f>
        <v>109.132565963836</v>
      </c>
      <c r="Y78" s="11">
        <f>114129.803851794/(10^3)</f>
        <v>114.12980385179399</v>
      </c>
      <c r="Z78" s="11">
        <f>119795.411273374/(10^3)</f>
        <v>119.795411273374</v>
      </c>
      <c r="AA78" s="11">
        <f>125666.930717968/(10^3)</f>
        <v>125.666930717968</v>
      </c>
      <c r="AB78" s="11">
        <f>125438.821401734/(10^3)</f>
        <v>125.438821401734</v>
      </c>
      <c r="AC78" s="11">
        <f>1245.89738171802/(10^3)</f>
        <v>1.2458973817180199</v>
      </c>
      <c r="AD78" s="11">
        <f>123202.357208121/(10^3)</f>
        <v>123.202357208121</v>
      </c>
      <c r="AE78" s="11">
        <f>125772.818218812/(10^3)</f>
        <v>125.77281821881199</v>
      </c>
      <c r="AF78" s="11">
        <f>129651.086529007/(10^3)</f>
        <v>129.65108652900702</v>
      </c>
      <c r="AG78" s="11">
        <f>129123.149958039/(10^3)</f>
        <v>129.12314995803899</v>
      </c>
      <c r="AH78" s="11">
        <f>134041.269170418/(10^3)</f>
        <v>134.04126917041799</v>
      </c>
      <c r="AI78" s="11">
        <f>13137214.9803505/(10^3)</f>
        <v>13137.2149803505</v>
      </c>
      <c r="AJ78" s="11">
        <f>134352.659043452/(10^3)</f>
        <v>134.35265904345201</v>
      </c>
      <c r="AK78" s="11">
        <f>135356.763311191/(10^3)</f>
        <v>135.356763311191</v>
      </c>
      <c r="AL78" s="11">
        <f>133530.577678784/(10^3)</f>
        <v>133.530577678784</v>
      </c>
      <c r="AM78" s="11">
        <f>132842.171602405/(10^3)</f>
        <v>132.84217160240499</v>
      </c>
      <c r="AN78" s="11">
        <f>131243.289906136/(10^3)</f>
        <v>131.243289906136</v>
      </c>
      <c r="AO78" s="11">
        <f>1306.62692314739/(10^3)</f>
        <v>1.3066269231473899</v>
      </c>
      <c r="AP78" s="11">
        <f>135284.952948261/(10^3)</f>
        <v>135.28495294826101</v>
      </c>
      <c r="AQ78" s="11">
        <f>133550.578105258/(10^3)</f>
        <v>133.55057810525801</v>
      </c>
      <c r="AR78" s="11">
        <f>132543.725871699/(10^3)</f>
        <v>132.543725871699</v>
      </c>
      <c r="AS78" s="11">
        <f>130761.372472654/(10^3)</f>
        <v>130.76137247265399</v>
      </c>
      <c r="AT78" s="11">
        <f>131843.07643453/(10^3)</f>
        <v>131.84307643452999</v>
      </c>
      <c r="AU78" s="11">
        <f>13141328.8198264/(10^3)</f>
        <v>13141.3288198264</v>
      </c>
      <c r="AV78" s="11">
        <f>135648.88714012/(10^3)</f>
        <v>135.64888714012</v>
      </c>
      <c r="AW78" s="11">
        <f>139600.703997278/(10^3)</f>
        <v>139.600703997278</v>
      </c>
      <c r="AX78" s="11">
        <f>140681.635808962/(10^3)</f>
        <v>140.681635808962</v>
      </c>
      <c r="AY78" s="11">
        <f>138399.404617069/(10^3)</f>
        <v>138.399404617069</v>
      </c>
      <c r="AZ78" s="11">
        <f>139690.199133202/(10^3)</f>
        <v>139.69019913320199</v>
      </c>
      <c r="BA78" s="11">
        <f>1404.60085414776/(10^3)</f>
        <v>1.4046008541477599</v>
      </c>
      <c r="BB78" s="11">
        <f>143693.522025799/(10^3)</f>
        <v>143.69352202579901</v>
      </c>
      <c r="BC78" s="11">
        <f>142166.889935153/(10^3)</f>
        <v>142.16688993515302</v>
      </c>
      <c r="BD78" s="11">
        <f>147440.551863854/(10^3)</f>
        <v>147.44055186385398</v>
      </c>
      <c r="BE78" s="11">
        <f>146223.137033108/(10^3)</f>
        <v>146.223137033108</v>
      </c>
      <c r="BF78" s="11">
        <f>148865.868701352/(10^3)</f>
        <v>148.86586870135201</v>
      </c>
      <c r="BG78" s="11">
        <f>15435687.4589324/(10^3)</f>
        <v>15435.6874589324</v>
      </c>
      <c r="BH78" s="11">
        <f>154597.004716991/(10^3)</f>
        <v>154.59700471699102</v>
      </c>
      <c r="BI78" s="11">
        <f>156224.174379094/(10^3)</f>
        <v>156.22417437909399</v>
      </c>
      <c r="BJ78" s="11">
        <f>153761.682421582/(10^3)</f>
        <v>153.76168242158198</v>
      </c>
      <c r="BK78" s="11">
        <f>156308.259251965/(10^3)</f>
        <v>156.30825925196501</v>
      </c>
      <c r="BL78" s="11">
        <f>155302.146715872/(10^3)</f>
        <v>155.302146715872</v>
      </c>
      <c r="BM78" s="11">
        <f>1538.11256713371/(10^3)</f>
        <v>1.5381125671337099</v>
      </c>
      <c r="BN78" s="11">
        <f>159760.454335934/(10^3)</f>
        <v>159.76045433593399</v>
      </c>
      <c r="BO78" s="11">
        <f>165646.508735321/(10^3)</f>
        <v>165.64650873532099</v>
      </c>
      <c r="BP78" s="11">
        <f>168103.516673319/(10^3)</f>
        <v>168.10351667331901</v>
      </c>
      <c r="BQ78" s="11">
        <f>165209.276671377/(10^3)</f>
        <v>165.20927667137701</v>
      </c>
      <c r="BR78" s="11">
        <f>162281.907171139/(10^3)</f>
        <v>162.28190717113901</v>
      </c>
      <c r="BS78" s="11">
        <f>16881577.9515673/(10^3)</f>
        <v>16881.577951567298</v>
      </c>
      <c r="BT78" s="11">
        <f>170445.962360651/(10^3)</f>
        <v>170.44596236065101</v>
      </c>
      <c r="BU78" s="11">
        <f>170306.974477383/(10^3)</f>
        <v>170.30697447738299</v>
      </c>
      <c r="BV78" s="11">
        <f>175492.063947426/(10^3)</f>
        <v>175.492063947426</v>
      </c>
      <c r="BW78" s="11">
        <f>176855.485432149/(10^3)</f>
        <v>176.85548543214901</v>
      </c>
      <c r="BX78" s="11">
        <f>174403.313925016/(10^3)</f>
        <v>174.40331392501599</v>
      </c>
      <c r="BY78" s="11">
        <f>1694.67818815809/(10^3)</f>
        <v>1.6946781881580901</v>
      </c>
      <c r="BZ78" s="11">
        <f>169467.818815809/(10^3)</f>
        <v>169.46781881580901</v>
      </c>
      <c r="CA78" s="11">
        <f>175938.474012264/(10^3)</f>
        <v>175.93847401226398</v>
      </c>
      <c r="CB78" s="11">
        <f>177969.911004386/(10^3)</f>
        <v>177.96991100438601</v>
      </c>
      <c r="CC78" s="12"/>
      <c r="CZ78" s="11">
        <v>94.995714682152467</v>
      </c>
      <c r="DA78" s="11">
        <v>124.58973817180234</v>
      </c>
      <c r="DB78" s="11">
        <v>130.66269231473913</v>
      </c>
      <c r="DC78" s="11">
        <v>140.4600854147757</v>
      </c>
      <c r="DD78" s="11">
        <v>153.8112567133708</v>
      </c>
      <c r="DE78" s="11">
        <v>169.46781881580876</v>
      </c>
      <c r="DG78" s="11">
        <v>89.692420488485013</v>
      </c>
      <c r="DH78" s="11">
        <v>108.75191378772698</v>
      </c>
      <c r="DI78" s="11">
        <v>131.37214980350518</v>
      </c>
      <c r="DJ78" s="11">
        <v>131.41328819826421</v>
      </c>
      <c r="DK78" s="11">
        <v>154.35687458932441</v>
      </c>
      <c r="DL78" s="11">
        <v>168.81577951567294</v>
      </c>
    </row>
    <row r="79" spans="4:116" ht="15.6" outlineLevel="1" x14ac:dyDescent="0.25">
      <c r="D79" s="10" t="s">
        <v>40</v>
      </c>
      <c r="E79" s="10" t="s">
        <v>25</v>
      </c>
      <c r="F79" s="10" t="s">
        <v>149</v>
      </c>
      <c r="G79" s="10" t="s">
        <v>182</v>
      </c>
      <c r="H79" s="62"/>
      <c r="I79" s="11">
        <f>81931.7188285175/(10^3)</f>
        <v>81.931718828517504</v>
      </c>
      <c r="J79" s="11">
        <f>84586.8498762539/(10^3)</f>
        <v>84.586849876253893</v>
      </c>
      <c r="K79" s="11">
        <f>8440445.91462953/(10^3)</f>
        <v>8440.4459146295303</v>
      </c>
      <c r="L79" s="11">
        <f>86274.1006346862/(10^3)</f>
        <v>86.274100634686192</v>
      </c>
      <c r="M79" s="11">
        <f>90235.2336045863/(10^3)</f>
        <v>90.235233604586298</v>
      </c>
      <c r="N79" s="11">
        <f>93796.0665321939/(10^3)</f>
        <v>93.796066532193905</v>
      </c>
      <c r="O79" s="11">
        <f>92273.3545562106/(10^3)</f>
        <v>92.273354556210606</v>
      </c>
      <c r="P79" s="11">
        <f>93747.3570573341/(10^3)</f>
        <v>93.747357057334099</v>
      </c>
      <c r="Q79" s="11">
        <f>947.971555743706/(10^3)</f>
        <v>0.94797155574370595</v>
      </c>
      <c r="R79" s="11">
        <f>98357.0821059094/(10^3)</f>
        <v>98.357082105909399</v>
      </c>
      <c r="S79" s="11">
        <f>101462.071092758/(10^3)</f>
        <v>101.46207109275799</v>
      </c>
      <c r="T79" s="11">
        <f>100404.142901499/(10^3)</f>
        <v>100.404142901499</v>
      </c>
      <c r="U79" s="11">
        <f>99366.5352035747/(10^3)</f>
        <v>99.366535203574699</v>
      </c>
      <c r="V79" s="11">
        <f>99510.9579272405/(10^3)</f>
        <v>99.510957927240497</v>
      </c>
      <c r="W79" s="11">
        <f>9851984.9238592/(10^3)</f>
        <v>9851.9849238591996</v>
      </c>
      <c r="X79" s="11">
        <f>98825.0537608485/(10^3)</f>
        <v>98.825053760848505</v>
      </c>
      <c r="Y79" s="11">
        <f>99695.247760203/(10^3)</f>
        <v>99.695247760203003</v>
      </c>
      <c r="Z79" s="11">
        <f>99801.8970429706/(10^3)</f>
        <v>99.801897042970594</v>
      </c>
      <c r="AA79" s="11">
        <f>98600.2292143065/(10^3)</f>
        <v>98.600229214306495</v>
      </c>
      <c r="AB79" s="11">
        <f>100564.044890864/(10^3)</f>
        <v>100.564044890864</v>
      </c>
      <c r="AC79" s="11">
        <f>1001.13624300708/(10^3)</f>
        <v>1.00113624300708</v>
      </c>
      <c r="AD79" s="11">
        <f>102524.612424862/(10^3)</f>
        <v>102.524612424862</v>
      </c>
      <c r="AE79" s="11">
        <f>106139.818097442/(10^3)</f>
        <v>106.13981809744199</v>
      </c>
      <c r="AF79" s="11">
        <f>105627.11081211/(10^3)</f>
        <v>105.62711081210999</v>
      </c>
      <c r="AG79" s="11">
        <f>105142.722607435/(10^3)</f>
        <v>105.142722607435</v>
      </c>
      <c r="AH79" s="11">
        <f>104164.57123644/(10^3)</f>
        <v>104.16457123644</v>
      </c>
      <c r="AI79" s="11">
        <f>10353688.2363866/(10^3)</f>
        <v>10353.688236386601</v>
      </c>
      <c r="AJ79" s="11">
        <f>102862.589589089/(10^3)</f>
        <v>102.862589589089</v>
      </c>
      <c r="AK79" s="11">
        <f>100830.137936841/(10^3)</f>
        <v>100.830137936841</v>
      </c>
      <c r="AL79" s="11">
        <f>99986.9809686516/(10^3)</f>
        <v>99.986980968651594</v>
      </c>
      <c r="AM79" s="11">
        <f>104179.160985723/(10^3)</f>
        <v>104.179160985723</v>
      </c>
      <c r="AN79" s="11">
        <f>102102.622464074/(10^3)</f>
        <v>102.102622464074</v>
      </c>
      <c r="AO79" s="11">
        <f>1043.90831565443/(10^3)</f>
        <v>1.04390831565443</v>
      </c>
      <c r="AP79" s="11">
        <f>108562.544475457/(10^3)</f>
        <v>108.562544475457</v>
      </c>
      <c r="AQ79" s="11">
        <f>108028.014992838/(10^3)</f>
        <v>108.028014992838</v>
      </c>
      <c r="AR79" s="11">
        <f>106428.773582857/(10^3)</f>
        <v>106.428773582857</v>
      </c>
      <c r="AS79" s="11">
        <f>105885.991181005/(10^3)</f>
        <v>105.885991181005</v>
      </c>
      <c r="AT79" s="11">
        <f>105719.207503445/(10^3)</f>
        <v>105.71920750344499</v>
      </c>
      <c r="AU79" s="11">
        <f>10910880.316849/(10^3)</f>
        <v>10910.880316849001</v>
      </c>
      <c r="AV79" s="11">
        <f>107405.035602886/(10^3)</f>
        <v>107.405035602886</v>
      </c>
      <c r="AW79" s="11">
        <f>108247.000457088/(10^3)</f>
        <v>108.24700045708799</v>
      </c>
      <c r="AX79" s="11">
        <f>107151.372183925/(10^3)</f>
        <v>107.15137218392501</v>
      </c>
      <c r="AY79" s="11">
        <f>105835.545970189/(10^3)</f>
        <v>105.835545970189</v>
      </c>
      <c r="AZ79" s="11">
        <f>108146.567063383/(10^3)</f>
        <v>108.146567063383</v>
      </c>
      <c r="BA79" s="11">
        <f>1081.36516339922/(10^3)</f>
        <v>1.0813651633992198</v>
      </c>
      <c r="BB79" s="11">
        <f>110374.207235749/(10^3)</f>
        <v>110.374207235749</v>
      </c>
      <c r="BC79" s="11">
        <f>111766.735102422/(10^3)</f>
        <v>111.766735102422</v>
      </c>
      <c r="BD79" s="11">
        <f>116269.061584938/(10^3)</f>
        <v>116.269061584938</v>
      </c>
      <c r="BE79" s="11">
        <f>115060.699608659/(10^3)</f>
        <v>115.06069960865899</v>
      </c>
      <c r="BF79" s="11">
        <f>113252.778023794/(10^3)</f>
        <v>113.25277802379401</v>
      </c>
      <c r="BG79" s="11">
        <f>11613198.5384332/(10^3)</f>
        <v>11613.1985384332</v>
      </c>
      <c r="BH79" s="11">
        <f>114906.418318839/(10^3)</f>
        <v>114.906418318839</v>
      </c>
      <c r="BI79" s="11">
        <f>116514.069434367/(10^3)</f>
        <v>116.514069434367</v>
      </c>
      <c r="BJ79" s="11">
        <f>121591.872967368/(10^3)</f>
        <v>121.591872967368</v>
      </c>
      <c r="BK79" s="11">
        <f>124570.635627353/(10^3)</f>
        <v>124.570635627353</v>
      </c>
      <c r="BL79" s="11">
        <f>128346.092017772/(10^3)</f>
        <v>128.34609201777201</v>
      </c>
      <c r="BM79" s="11">
        <f>1283.99180099383/(10^3)</f>
        <v>1.28399180099383</v>
      </c>
      <c r="BN79" s="11">
        <f>131177.01246646/(10^3)</f>
        <v>131.17701246646001</v>
      </c>
      <c r="BO79" s="11">
        <f>129510.682199089/(10^3)</f>
        <v>129.51068219908899</v>
      </c>
      <c r="BP79" s="11">
        <f>131483.006143801/(10^3)</f>
        <v>131.48300614380099</v>
      </c>
      <c r="BQ79" s="11">
        <f>131584.178415852/(10^3)</f>
        <v>131.58417841585199</v>
      </c>
      <c r="BR79" s="11">
        <f>135422.837040738/(10^3)</f>
        <v>135.42283704073799</v>
      </c>
      <c r="BS79" s="11">
        <f>14104425.1576857/(10^3)</f>
        <v>14104.4251576857</v>
      </c>
      <c r="BT79" s="11">
        <f>144012.877876857/(10^3)</f>
        <v>144.012877876857</v>
      </c>
      <c r="BU79" s="11">
        <f>146915.752394811/(10^3)</f>
        <v>146.91575239481099</v>
      </c>
      <c r="BV79" s="11">
        <f>146488.847647124/(10^3)</f>
        <v>146.488847647124</v>
      </c>
      <c r="BW79" s="11">
        <f>146132.776031896/(10^3)</f>
        <v>146.13277603189601</v>
      </c>
      <c r="BX79" s="11">
        <f>146780.571091692/(10^3)</f>
        <v>146.780571091692</v>
      </c>
      <c r="BY79" s="11">
        <f>1516.8418106056/(10^3)</f>
        <v>1.5168418106055999</v>
      </c>
      <c r="BZ79" s="11">
        <f>151684.18106056/(10^3)</f>
        <v>151.68418106055998</v>
      </c>
      <c r="CA79" s="11">
        <f>149626.403199847/(10^3)</f>
        <v>149.626403199847</v>
      </c>
      <c r="CB79" s="11">
        <f>156042.429197623/(10^3)</f>
        <v>156.04242919762299</v>
      </c>
      <c r="CC79" s="12"/>
      <c r="CZ79" s="11">
        <v>94.797155574370578</v>
      </c>
      <c r="DA79" s="11">
        <v>100.11362430070776</v>
      </c>
      <c r="DB79" s="11">
        <v>104.39083156544292</v>
      </c>
      <c r="DC79" s="11">
        <v>108.13651633992198</v>
      </c>
      <c r="DD79" s="11">
        <v>128.39918009938327</v>
      </c>
      <c r="DE79" s="11">
        <v>151.68418106055969</v>
      </c>
      <c r="DG79" s="11">
        <v>84.404459146295281</v>
      </c>
      <c r="DH79" s="11">
        <v>98.519849238592045</v>
      </c>
      <c r="DI79" s="11">
        <v>103.53688236386638</v>
      </c>
      <c r="DJ79" s="11">
        <v>109.1088031684901</v>
      </c>
      <c r="DK79" s="11">
        <v>116.13198538433231</v>
      </c>
      <c r="DL79" s="11">
        <v>141.04425157685722</v>
      </c>
    </row>
    <row r="80" spans="4:116" ht="15.6" outlineLevel="1" x14ac:dyDescent="0.25">
      <c r="D80" s="10" t="s">
        <v>42</v>
      </c>
      <c r="E80" s="10" t="s">
        <v>41</v>
      </c>
      <c r="F80" s="10" t="s">
        <v>149</v>
      </c>
      <c r="G80" s="10" t="s">
        <v>182</v>
      </c>
      <c r="H80" s="62"/>
      <c r="I80" s="11">
        <f>38324.8107758515/(10^3)</f>
        <v>38.324810775851503</v>
      </c>
      <c r="J80" s="11">
        <f>38391.0272814847/(10^3)</f>
        <v>38.391027281484696</v>
      </c>
      <c r="K80" s="11">
        <f>4009144.42571811/(10^3)</f>
        <v>4009.1444257181101</v>
      </c>
      <c r="L80" s="11">
        <f>41751.6312662651/(10^3)</f>
        <v>41.7516312662651</v>
      </c>
      <c r="M80" s="11">
        <f>41133.5340546668/(10^3)</f>
        <v>41.133534054666804</v>
      </c>
      <c r="N80" s="11">
        <f>40987.7467161601/(10^3)</f>
        <v>40.987746716160103</v>
      </c>
      <c r="O80" s="11">
        <f>40405.6576846206/(10^3)</f>
        <v>40.4056576846206</v>
      </c>
      <c r="P80" s="11">
        <f>40620.8286541671/(10^3)</f>
        <v>40.620828654167099</v>
      </c>
      <c r="Q80" s="11">
        <f>409.23875111073/(10^3)</f>
        <v>0.40923875111072999</v>
      </c>
      <c r="R80" s="11">
        <f>41966.1482936086/(10^3)</f>
        <v>41.966148293608605</v>
      </c>
      <c r="S80" s="11">
        <f>43628.672658068/(10^3)</f>
        <v>43.628672658067998</v>
      </c>
      <c r="T80" s="11">
        <f>43434.9788735633/(10^3)</f>
        <v>43.434978873563296</v>
      </c>
      <c r="U80" s="11">
        <f>43053.4144842405/(10^3)</f>
        <v>43.053414484240498</v>
      </c>
      <c r="V80" s="11">
        <f>43923.8122658624/(10^3)</f>
        <v>43.923812265862395</v>
      </c>
      <c r="W80" s="11">
        <f>4312110.34149083/(10^3)</f>
        <v>4312.1103414908303</v>
      </c>
      <c r="X80" s="11">
        <f>44380.8262598799/(10^3)</f>
        <v>44.380826259879896</v>
      </c>
      <c r="Y80" s="11">
        <f>43879.9946031118/(10^3)</f>
        <v>43.879994603111804</v>
      </c>
      <c r="Z80" s="11">
        <f>45190.2241575347/(10^3)</f>
        <v>45.190224157534701</v>
      </c>
      <c r="AA80" s="11">
        <f>44857.142369882/(10^3)</f>
        <v>44.857142369881998</v>
      </c>
      <c r="AB80" s="11">
        <f>44014.0672705078/(10^3)</f>
        <v>44.014067270507802</v>
      </c>
      <c r="AC80" s="11">
        <f>431.40368739492/(10^3)</f>
        <v>0.43140368739491997</v>
      </c>
      <c r="AD80" s="11">
        <f>42299.2268273678/(10^3)</f>
        <v>42.299226827367796</v>
      </c>
      <c r="AE80" s="11">
        <f>43190.5014595755/(10^3)</f>
        <v>43.190501459575501</v>
      </c>
      <c r="AF80" s="11">
        <f>43336.3033804189/(10^3)</f>
        <v>43.336303380418904</v>
      </c>
      <c r="AG80" s="11">
        <f>43052.3497817428/(10^3)</f>
        <v>43.052349781742798</v>
      </c>
      <c r="AH80" s="11">
        <f>44762.1395591233/(10^3)</f>
        <v>44.762139559123298</v>
      </c>
      <c r="AI80" s="11">
        <f>4396546.70265174/(10^3)</f>
        <v>4396.5467026517399</v>
      </c>
      <c r="AJ80" s="11">
        <f>45600.5080941261/(10^3)</f>
        <v>45.600508094126099</v>
      </c>
      <c r="AK80" s="11">
        <f>45082.6528623531/(10^3)</f>
        <v>45.0826528623531</v>
      </c>
      <c r="AL80" s="11">
        <f>44200.7448801429/(10^3)</f>
        <v>44.200744880142899</v>
      </c>
      <c r="AM80" s="11">
        <f>44435.4715187967/(10^3)</f>
        <v>44.435471518796703</v>
      </c>
      <c r="AN80" s="11">
        <f>44249.1120763545/(10^3)</f>
        <v>44.2491120763545</v>
      </c>
      <c r="AO80" s="11">
        <f>443.269066646044/(10^3)</f>
        <v>0.44326906664604399</v>
      </c>
      <c r="AP80" s="11">
        <f>43891.8231602055/(10^3)</f>
        <v>43.891823160205504</v>
      </c>
      <c r="AQ80" s="11">
        <f>45359.8326072182/(10^3)</f>
        <v>45.359832607218202</v>
      </c>
      <c r="AR80" s="11">
        <f>46163.7350798689/(10^3)</f>
        <v>46.1637350798689</v>
      </c>
      <c r="AS80" s="11">
        <f>45428.7698279777/(10^3)</f>
        <v>45.428769827977703</v>
      </c>
      <c r="AT80" s="11">
        <f>45997.9156966617/(10^3)</f>
        <v>45.9979156966617</v>
      </c>
      <c r="AU80" s="11">
        <f>4599518.84470337/(10^3)</f>
        <v>4599.5188447033697</v>
      </c>
      <c r="AV80" s="11">
        <f>45115.1629311827/(10^3)</f>
        <v>45.115162931182695</v>
      </c>
      <c r="AW80" s="11">
        <f>44921.2372300932/(10^3)</f>
        <v>44.921237230093197</v>
      </c>
      <c r="AX80" s="11">
        <f>46306.9074673033/(10^3)</f>
        <v>46.306907467303304</v>
      </c>
      <c r="AY80" s="11">
        <f>48214.8613189126/(10^3)</f>
        <v>48.214861318912597</v>
      </c>
      <c r="AZ80" s="11">
        <f>48247.7616577743/(10^3)</f>
        <v>48.247761657774305</v>
      </c>
      <c r="BA80" s="11">
        <f>483.959706220759/(10^3)</f>
        <v>0.48395970622075901</v>
      </c>
      <c r="BB80" s="11">
        <f>47581.8595201777/(10^3)</f>
        <v>47.581859520177701</v>
      </c>
      <c r="BC80" s="11">
        <f>47907.4448995846/(10^3)</f>
        <v>47.907444899584604</v>
      </c>
      <c r="BD80" s="11">
        <f>46984.0301528383/(10^3)</f>
        <v>46.984030152838301</v>
      </c>
      <c r="BE80" s="11">
        <f>48214.3897160467/(10^3)</f>
        <v>48.214389716046703</v>
      </c>
      <c r="BF80" s="11">
        <f>50585.8730128346/(10^3)</f>
        <v>50.585873012834597</v>
      </c>
      <c r="BG80" s="11">
        <f>5120487.49235871/(10^3)</f>
        <v>5120.4874923587095</v>
      </c>
      <c r="BH80" s="11">
        <f>53321.8244715813/(10^3)</f>
        <v>53.321824471581301</v>
      </c>
      <c r="BI80" s="11">
        <f>53426.9872519131/(10^3)</f>
        <v>53.426987251913104</v>
      </c>
      <c r="BJ80" s="11">
        <f>52616.0281570743/(10^3)</f>
        <v>52.616028157074304</v>
      </c>
      <c r="BK80" s="11">
        <f>54424.8916227586/(10^3)</f>
        <v>54.424891622758601</v>
      </c>
      <c r="BL80" s="11">
        <f>53685.4277697262/(10^3)</f>
        <v>53.685427769726203</v>
      </c>
      <c r="BM80" s="11">
        <f>539.294074414285/(10^3)</f>
        <v>0.53929407441428501</v>
      </c>
      <c r="BN80" s="11">
        <f>56242.7069002885/(10^3)</f>
        <v>56.242706900288496</v>
      </c>
      <c r="BO80" s="11">
        <f>56549.7681990504/(10^3)</f>
        <v>56.549768199050398</v>
      </c>
      <c r="BP80" s="11">
        <f>57950.0037356615/(10^3)</f>
        <v>57.950003735661497</v>
      </c>
      <c r="BQ80" s="11">
        <f>57707.0553310254/(10^3)</f>
        <v>57.707055331025401</v>
      </c>
      <c r="BR80" s="11">
        <f>58121.2066977728/(10^3)</f>
        <v>58.121206697772806</v>
      </c>
      <c r="BS80" s="11">
        <f>6031823.07049381/(10^3)</f>
        <v>6031.8230704938096</v>
      </c>
      <c r="BT80" s="11">
        <f>61955.9941769326/(10^3)</f>
        <v>61.955994176932606</v>
      </c>
      <c r="BU80" s="11">
        <f>64541.4205453903/(10^3)</f>
        <v>64.541420545390295</v>
      </c>
      <c r="BV80" s="11">
        <f>65133.5323048169/(10^3)</f>
        <v>65.133532304816896</v>
      </c>
      <c r="BW80" s="11">
        <f>64770.4169170754/(10^3)</f>
        <v>64.770416917075408</v>
      </c>
      <c r="BX80" s="11">
        <f>67675.389277587/(10^3)</f>
        <v>67.675389277587001</v>
      </c>
      <c r="BY80" s="11">
        <f>710.738665488983/(10^3)</f>
        <v>0.71073866548898301</v>
      </c>
      <c r="BZ80" s="11">
        <f>71073.8665488983/(10^3)</f>
        <v>71.073866548898295</v>
      </c>
      <c r="CA80" s="11">
        <f>72115.7306944119/(10^3)</f>
        <v>72.115730694411909</v>
      </c>
      <c r="CB80" s="11">
        <f>74464.9391240163/(10^3)</f>
        <v>74.464939124016297</v>
      </c>
      <c r="CC80" s="12"/>
      <c r="CZ80" s="11">
        <v>40.923875111073009</v>
      </c>
      <c r="DA80" s="11">
        <v>43.14036873949204</v>
      </c>
      <c r="DB80" s="11">
        <v>44.326906664604394</v>
      </c>
      <c r="DC80" s="11">
        <v>48.395970622075922</v>
      </c>
      <c r="DD80" s="11">
        <v>53.929407441428467</v>
      </c>
      <c r="DE80" s="11">
        <v>71.07386654889828</v>
      </c>
      <c r="DG80" s="11">
        <v>40.091444257181138</v>
      </c>
      <c r="DH80" s="11">
        <v>43.121103414908269</v>
      </c>
      <c r="DI80" s="11">
        <v>43.965467026517352</v>
      </c>
      <c r="DJ80" s="11">
        <v>45.995188447033719</v>
      </c>
      <c r="DK80" s="11">
        <v>51.204874923587084</v>
      </c>
      <c r="DL80" s="11">
        <v>60.318230704938081</v>
      </c>
    </row>
    <row r="81" spans="4:116" ht="15.6" outlineLevel="1" x14ac:dyDescent="0.25">
      <c r="D81" s="10" t="s">
        <v>44</v>
      </c>
      <c r="E81" s="10" t="s">
        <v>43</v>
      </c>
      <c r="F81" s="10" t="s">
        <v>150</v>
      </c>
      <c r="G81" s="10" t="s">
        <v>182</v>
      </c>
      <c r="H81" s="62"/>
      <c r="I81" s="11">
        <f>57297.034965035/(10^3)</f>
        <v>57.297034965035003</v>
      </c>
      <c r="J81" s="11">
        <f>59809.5729976603/(10^3)</f>
        <v>59.809572997660304</v>
      </c>
      <c r="K81" s="11">
        <f>6071044.73384334/(10^3)</f>
        <v>6071.0447338433396</v>
      </c>
      <c r="L81" s="11">
        <f>60466.0638359707/(10^3)</f>
        <v>60.466063835970701</v>
      </c>
      <c r="M81" s="11">
        <f>60236.9569714568/(10^3)</f>
        <v>60.236956971456799</v>
      </c>
      <c r="N81" s="11">
        <f>60796.2775562819/(10^3)</f>
        <v>60.7962775562819</v>
      </c>
      <c r="O81" s="11">
        <f>61133.7870040218/(10^3)</f>
        <v>61.133787004021798</v>
      </c>
      <c r="P81" s="11">
        <f>63051.2067503427/(10^3)</f>
        <v>63.051206750342701</v>
      </c>
      <c r="Q81" s="11">
        <f>653.713132564896/(10^3)</f>
        <v>0.65371313256489605</v>
      </c>
      <c r="R81" s="11">
        <f>67397.1625066892/(10^3)</f>
        <v>67.397162506689199</v>
      </c>
      <c r="S81" s="11">
        <f>68243.5406252613/(10^3)</f>
        <v>68.243540625261303</v>
      </c>
      <c r="T81" s="11">
        <f>68564.8683757999/(10^3)</f>
        <v>68.56486837579989</v>
      </c>
      <c r="U81" s="11">
        <f>68996.033583226/(10^3)</f>
        <v>68.996033583226009</v>
      </c>
      <c r="V81" s="11">
        <f>67617.1486403459/(10^3)</f>
        <v>67.617148640345903</v>
      </c>
      <c r="W81" s="11">
        <f>6718511.69732794/(10^3)</f>
        <v>6718.5116973279401</v>
      </c>
      <c r="X81" s="11">
        <f>66747.6543433695/(10^3)</f>
        <v>66.747654343369504</v>
      </c>
      <c r="Y81" s="11">
        <f>68118.6423839125/(10^3)</f>
        <v>68.118642383912501</v>
      </c>
      <c r="Z81" s="11">
        <f>67855.2038928096/(10^3)</f>
        <v>67.855203892809598</v>
      </c>
      <c r="AA81" s="11">
        <f>70753.8620103722/(10^3)</f>
        <v>70.753862010372202</v>
      </c>
      <c r="AB81" s="11">
        <f>69990.676593679/(10^3)</f>
        <v>69.990676593678998</v>
      </c>
      <c r="AC81" s="11">
        <f>734.541525723342/(10^3)</f>
        <v>0.73454152572334208</v>
      </c>
      <c r="AD81" s="11">
        <f>73453.6036417972/(10^3)</f>
        <v>73.453603641797201</v>
      </c>
      <c r="AE81" s="11">
        <f>74242.0564802389/(10^3)</f>
        <v>74.242056480238901</v>
      </c>
      <c r="AF81" s="11">
        <f>73218.9034017998/(10^3)</f>
        <v>73.218903401799807</v>
      </c>
      <c r="AG81" s="11">
        <f>73036.8138490534/(10^3)</f>
        <v>73.036813849053402</v>
      </c>
      <c r="AH81" s="11">
        <f>74122.4241108713/(10^3)</f>
        <v>74.122424110871307</v>
      </c>
      <c r="AI81" s="11">
        <f>7754189.8348393/(10^3)</f>
        <v>7754.1898348393006</v>
      </c>
      <c r="AJ81" s="11">
        <f>76924.6174258929/(10^3)</f>
        <v>76.92461742589289</v>
      </c>
      <c r="AK81" s="11">
        <f>75991.0137845106/(10^3)</f>
        <v>75.991013784510599</v>
      </c>
      <c r="AL81" s="11">
        <f>74892.9065349984/(10^3)</f>
        <v>74.892906534998403</v>
      </c>
      <c r="AM81" s="11">
        <f>77972.3806816701/(10^3)</f>
        <v>77.972380681670103</v>
      </c>
      <c r="AN81" s="11">
        <f>78641.0696810455/(10^3)</f>
        <v>78.641069681045494</v>
      </c>
      <c r="AO81" s="11">
        <f>788.082728830132/(10^3)</f>
        <v>0.78808272883013208</v>
      </c>
      <c r="AP81" s="11">
        <f>78208.2141269251/(10^3)</f>
        <v>78.2082141269251</v>
      </c>
      <c r="AQ81" s="11">
        <f>77928.7955661253/(10^3)</f>
        <v>77.928795566125302</v>
      </c>
      <c r="AR81" s="11">
        <f>77660.7647016869/(10^3)</f>
        <v>77.660764701686901</v>
      </c>
      <c r="AS81" s="11">
        <f>76985.162265238/(10^3)</f>
        <v>76.985162265238003</v>
      </c>
      <c r="AT81" s="11">
        <f>76231.7669232099/(10^3)</f>
        <v>76.231766923209904</v>
      </c>
      <c r="AU81" s="11">
        <f>7760100.84021773/(10^3)</f>
        <v>7760.1008402177304</v>
      </c>
      <c r="AV81" s="11">
        <f>77281.4525599845/(10^3)</f>
        <v>77.281452559984487</v>
      </c>
      <c r="AW81" s="11">
        <f>75964.2780113327/(10^3)</f>
        <v>75.964278011332709</v>
      </c>
      <c r="AX81" s="11">
        <f>76477.9312112716/(10^3)</f>
        <v>76.477931211271596</v>
      </c>
      <c r="AY81" s="11">
        <f>75426.1416900446/(10^3)</f>
        <v>75.426141690044602</v>
      </c>
      <c r="AZ81" s="11">
        <f>75416.8886361848/(10^3)</f>
        <v>75.416888636184794</v>
      </c>
      <c r="BA81" s="11">
        <f>743.974512486773/(10^3)</f>
        <v>0.74397451248677304</v>
      </c>
      <c r="BB81" s="11">
        <f>74812.7165192815/(10^3)</f>
        <v>74.812716519281494</v>
      </c>
      <c r="BC81" s="11">
        <f>76821.3890987183/(10^3)</f>
        <v>76.821389098718299</v>
      </c>
      <c r="BD81" s="11">
        <f>77001.8080655768/(10^3)</f>
        <v>77.001808065576796</v>
      </c>
      <c r="BE81" s="11">
        <f>79059.7771235252/(10^3)</f>
        <v>79.059777123525194</v>
      </c>
      <c r="BF81" s="11">
        <f>81514.7115428716/(10^3)</f>
        <v>81.514711542871609</v>
      </c>
      <c r="BG81" s="11">
        <f>8253135.09636654/(10^3)</f>
        <v>8253.1350963665391</v>
      </c>
      <c r="BH81" s="11">
        <f>85889.9487813638/(10^3)</f>
        <v>85.889948781363799</v>
      </c>
      <c r="BI81" s="11">
        <f>89139.9479873377/(10^3)</f>
        <v>89.139947987337692</v>
      </c>
      <c r="BJ81" s="11">
        <f>91136.6868296148/(10^3)</f>
        <v>91.136686829614803</v>
      </c>
      <c r="BK81" s="11">
        <f>91427.8870293075/(10^3)</f>
        <v>91.427887029307499</v>
      </c>
      <c r="BL81" s="11">
        <f>95017.411482605/(10^3)</f>
        <v>95.017411482605013</v>
      </c>
      <c r="BM81" s="11">
        <f>956.640214779591/(10^3)</f>
        <v>0.95664021477959105</v>
      </c>
      <c r="BN81" s="11">
        <f>94667.309686069/(10^3)</f>
        <v>94.667309686069004</v>
      </c>
      <c r="BO81" s="11">
        <f>93525.8785332471/(10^3)</f>
        <v>93.525878533247095</v>
      </c>
      <c r="BP81" s="11">
        <f>91687.119525916/(10^3)</f>
        <v>91.687119525916003</v>
      </c>
      <c r="BQ81" s="11">
        <f>89934.078501333/(10^3)</f>
        <v>89.934078501333005</v>
      </c>
      <c r="BR81" s="11">
        <f>89490.7986819796/(10^3)</f>
        <v>89.490798681979612</v>
      </c>
      <c r="BS81" s="11">
        <f>9383892.65872888/(10^3)</f>
        <v>9383.8926587288806</v>
      </c>
      <c r="BT81" s="11">
        <f>92958.3087089829/(10^3)</f>
        <v>92.958308708982912</v>
      </c>
      <c r="BU81" s="11">
        <f>96456.8709930965/(10^3)</f>
        <v>96.456870993096501</v>
      </c>
      <c r="BV81" s="11">
        <f>97252.6704743465/(10^3)</f>
        <v>97.252670474346488</v>
      </c>
      <c r="BW81" s="11">
        <f>95798.5030844042/(10^3)</f>
        <v>95.798503084404203</v>
      </c>
      <c r="BX81" s="11">
        <f>95914.2187370308/(10^3)</f>
        <v>95.914218737030794</v>
      </c>
      <c r="BY81" s="11">
        <f>1014.61771648728/(10^3)</f>
        <v>1.0146177164872801</v>
      </c>
      <c r="BZ81" s="11">
        <f>101461.771648728/(10^3)</f>
        <v>101.461771648728</v>
      </c>
      <c r="CA81" s="11">
        <f>104181.792037104/(10^3)</f>
        <v>104.18179203710399</v>
      </c>
      <c r="CB81" s="11">
        <f>106193.470691532/(10^3)</f>
        <v>106.193470691532</v>
      </c>
      <c r="CC81" s="12"/>
      <c r="CZ81" s="11">
        <v>65.371313256489614</v>
      </c>
      <c r="DA81" s="11">
        <v>73.454152572334209</v>
      </c>
      <c r="DB81" s="11">
        <v>78.808272883013231</v>
      </c>
      <c r="DC81" s="11">
        <v>74.397451248677257</v>
      </c>
      <c r="DD81" s="11">
        <v>95.664021477959153</v>
      </c>
      <c r="DE81" s="11">
        <v>101.46177164872802</v>
      </c>
      <c r="DG81" s="11">
        <v>60.710447338433426</v>
      </c>
      <c r="DH81" s="11">
        <v>67.185116973279406</v>
      </c>
      <c r="DI81" s="11">
        <v>77.541898348393005</v>
      </c>
      <c r="DJ81" s="11">
        <v>77.601008402177257</v>
      </c>
      <c r="DK81" s="11">
        <v>82.531350963665375</v>
      </c>
      <c r="DL81" s="11">
        <v>93.838926587288853</v>
      </c>
    </row>
    <row r="82" spans="4:116" ht="15.6" outlineLevel="1" x14ac:dyDescent="0.25">
      <c r="D82" s="10" t="s">
        <v>45</v>
      </c>
      <c r="E82" s="10" t="s">
        <v>29</v>
      </c>
      <c r="F82" s="10" t="s">
        <v>150</v>
      </c>
      <c r="G82" s="10" t="s">
        <v>182</v>
      </c>
      <c r="H82" s="62"/>
      <c r="I82" s="11">
        <f>83874.4723488853/(10^3)</f>
        <v>83.874472348885305</v>
      </c>
      <c r="J82" s="11">
        <f>86031.2551324584/(10^3)</f>
        <v>86.031255132458412</v>
      </c>
      <c r="K82" s="11">
        <f>8975993.83987898/(10^3)</f>
        <v>8975.99383987898</v>
      </c>
      <c r="L82" s="11">
        <f>94141.8444528519/(10^3)</f>
        <v>94.141844452851899</v>
      </c>
      <c r="M82" s="11">
        <f>94785.8600885857/(10^3)</f>
        <v>94.785860088585707</v>
      </c>
      <c r="N82" s="11">
        <f>94590.8487538572/(10^3)</f>
        <v>94.590848753857188</v>
      </c>
      <c r="O82" s="11">
        <f>93844.7663446769/(10^3)</f>
        <v>93.844766344676898</v>
      </c>
      <c r="P82" s="11">
        <f>98419.7234538724/(10^3)</f>
        <v>98.419723453872408</v>
      </c>
      <c r="Q82" s="11">
        <f>988.415669533922/(10^3)</f>
        <v>0.98841566953392201</v>
      </c>
      <c r="R82" s="11">
        <f>100368.117934799/(10^3)</f>
        <v>100.368117934799</v>
      </c>
      <c r="S82" s="11">
        <f>103568.251838429/(10^3)</f>
        <v>103.56825183842901</v>
      </c>
      <c r="T82" s="11">
        <f>102161.167821137/(10^3)</f>
        <v>102.161167821137</v>
      </c>
      <c r="U82" s="11">
        <f>101863.833396366/(10^3)</f>
        <v>101.86383339636599</v>
      </c>
      <c r="V82" s="11">
        <f>104890.420624485/(10^3)</f>
        <v>104.890420624485</v>
      </c>
      <c r="W82" s="11">
        <f>10785342.3464287/(10^3)</f>
        <v>10785.342346428701</v>
      </c>
      <c r="X82" s="11">
        <f>107022.167701667/(10^3)</f>
        <v>107.022167701667</v>
      </c>
      <c r="Y82" s="11">
        <f>105454.201681733/(10^3)</f>
        <v>105.454201681733</v>
      </c>
      <c r="Z82" s="11">
        <f>103705.611483509/(10^3)</f>
        <v>103.705611483509</v>
      </c>
      <c r="AA82" s="11">
        <f>102620.888245278/(10^3)</f>
        <v>102.620888245278</v>
      </c>
      <c r="AB82" s="11">
        <f>102831.889124334/(10^3)</f>
        <v>102.831889124334</v>
      </c>
      <c r="AC82" s="11">
        <f>1025.81366989614/(10^3)</f>
        <v>1.02581366989614</v>
      </c>
      <c r="AD82" s="11">
        <f>106024.97177777/(10^3)</f>
        <v>106.02497177777001</v>
      </c>
      <c r="AE82" s="11">
        <f>104600.28143708/(10^3)</f>
        <v>104.60028143708</v>
      </c>
      <c r="AF82" s="11">
        <f>103698.531479405/(10^3)</f>
        <v>103.69853147940501</v>
      </c>
      <c r="AG82" s="11">
        <f>107962.147467854/(10^3)</f>
        <v>107.962147467854</v>
      </c>
      <c r="AH82" s="11">
        <f>105900.151104235/(10^3)</f>
        <v>105.90015110423501</v>
      </c>
      <c r="AI82" s="11">
        <f>10509965.7754028/(10^3)</f>
        <v>10509.965775402799</v>
      </c>
      <c r="AJ82" s="11">
        <f>105043.888199166/(10^3)</f>
        <v>105.04388819916601</v>
      </c>
      <c r="AK82" s="11">
        <f>106948.56362678/(10^3)</f>
        <v>106.94856362678</v>
      </c>
      <c r="AL82" s="11">
        <f>105689.267554079/(10^3)</f>
        <v>105.689267554079</v>
      </c>
      <c r="AM82" s="11">
        <f>104878.669925296/(10^3)</f>
        <v>104.87866992529599</v>
      </c>
      <c r="AN82" s="11">
        <f>106205.92204131/(10^3)</f>
        <v>106.20592204131</v>
      </c>
      <c r="AO82" s="11">
        <f>1061.57278163875/(10^3)</f>
        <v>1.0615727816387501</v>
      </c>
      <c r="AP82" s="11">
        <f>109796.104784416/(10^3)</f>
        <v>109.796104784416</v>
      </c>
      <c r="AQ82" s="11">
        <f>107641.56674332/(10^3)</f>
        <v>107.64156674332</v>
      </c>
      <c r="AR82" s="11">
        <f>106217.699212258/(10^3)</f>
        <v>106.217699212258</v>
      </c>
      <c r="AS82" s="11">
        <f>106392.281251468/(10^3)</f>
        <v>106.39228125146799</v>
      </c>
      <c r="AT82" s="11">
        <f>108258.625930989/(10^3)</f>
        <v>108.258625930989</v>
      </c>
      <c r="AU82" s="11">
        <f>10909365.822992/(10^3)</f>
        <v>10909.365822992</v>
      </c>
      <c r="AV82" s="11">
        <f>113825.838782562/(10^3)</f>
        <v>113.825838782562</v>
      </c>
      <c r="AW82" s="11">
        <f>113224.0337674/(10^3)</f>
        <v>113.2240337674</v>
      </c>
      <c r="AX82" s="11">
        <f>112617.853689085/(10^3)</f>
        <v>112.617853689085</v>
      </c>
      <c r="AY82" s="11">
        <f>112414.691950975/(10^3)</f>
        <v>112.414691950975</v>
      </c>
      <c r="AZ82" s="11">
        <f>115004.622648664/(10^3)</f>
        <v>115.004622648664</v>
      </c>
      <c r="BA82" s="11">
        <f>1163.49377550029/(10^3)</f>
        <v>1.1634937755002901</v>
      </c>
      <c r="BB82" s="11">
        <f>120974.023012582/(10^3)</f>
        <v>120.97402301258199</v>
      </c>
      <c r="BC82" s="11">
        <f>118861.479731559/(10^3)</f>
        <v>118.861479731559</v>
      </c>
      <c r="BD82" s="11">
        <f>120340.662523563/(10^3)</f>
        <v>120.34066252356301</v>
      </c>
      <c r="BE82" s="11">
        <f>120749.913760873/(10^3)</f>
        <v>120.749913760873</v>
      </c>
      <c r="BF82" s="11">
        <f>119529.849265731/(10^3)</f>
        <v>119.529849265731</v>
      </c>
      <c r="BG82" s="11">
        <f>11882792.0496996/(10^3)</f>
        <v>11882.792049699601</v>
      </c>
      <c r="BH82" s="11">
        <f>116675.423584963/(10^3)</f>
        <v>116.675423584963</v>
      </c>
      <c r="BI82" s="11">
        <f>115446.086351941/(10^3)</f>
        <v>115.44608635194101</v>
      </c>
      <c r="BJ82" s="11">
        <f>118607.585035692/(10^3)</f>
        <v>118.607585035692</v>
      </c>
      <c r="BK82" s="11">
        <f>117767.349489588/(10^3)</f>
        <v>117.767349489588</v>
      </c>
      <c r="BL82" s="11">
        <f>115516.961892681/(10^3)</f>
        <v>115.51696189268101</v>
      </c>
      <c r="BM82" s="11">
        <f>1167.85807694971/(10^3)</f>
        <v>1.16785807694971</v>
      </c>
      <c r="BN82" s="11">
        <f>117568.997929512/(10^3)</f>
        <v>117.56899792951199</v>
      </c>
      <c r="BO82" s="11">
        <f>122013.035369706/(10^3)</f>
        <v>122.013035369706</v>
      </c>
      <c r="BP82" s="11">
        <f>122041.083954497/(10^3)</f>
        <v>122.041083954497</v>
      </c>
      <c r="BQ82" s="11">
        <f>123103.713980791/(10^3)</f>
        <v>123.103713980791</v>
      </c>
      <c r="BR82" s="11">
        <f>125036.22739696/(10^3)</f>
        <v>125.03622739696</v>
      </c>
      <c r="BS82" s="11">
        <f>13072285.70673/(10^3)</f>
        <v>13072.285706730001</v>
      </c>
      <c r="BT82" s="11">
        <f>130009.534918648/(10^3)</f>
        <v>130.009534918648</v>
      </c>
      <c r="BU82" s="11">
        <f>135902.45480379/(10^3)</f>
        <v>135.90245480378999</v>
      </c>
      <c r="BV82" s="11">
        <f>140271.041697955/(10^3)</f>
        <v>140.27104169795498</v>
      </c>
      <c r="BW82" s="11">
        <f>141746.907282713/(10^3)</f>
        <v>141.74690728271298</v>
      </c>
      <c r="BX82" s="11">
        <f>139713.403238097/(10^3)</f>
        <v>139.71340323809702</v>
      </c>
      <c r="BY82" s="11">
        <f>1457.44145606304/(10^3)</f>
        <v>1.45744145606304</v>
      </c>
      <c r="BZ82" s="11">
        <f>145744.145606304/(10^3)</f>
        <v>145.74414560630399</v>
      </c>
      <c r="CA82" s="11">
        <f>147371.557068084/(10^3)</f>
        <v>147.371557068084</v>
      </c>
      <c r="CB82" s="11">
        <f>151233.88658738/(10^3)</f>
        <v>151.23388658738</v>
      </c>
      <c r="CC82" s="12"/>
      <c r="CZ82" s="11">
        <v>98.841566953392189</v>
      </c>
      <c r="DA82" s="11">
        <v>102.58136698961441</v>
      </c>
      <c r="DB82" s="11">
        <v>106.1572781638753</v>
      </c>
      <c r="DC82" s="11">
        <v>116.34937755002855</v>
      </c>
      <c r="DD82" s="11">
        <v>116.78580769497091</v>
      </c>
      <c r="DE82" s="11">
        <v>145.74414560630373</v>
      </c>
      <c r="DG82" s="11">
        <v>89.759938398789771</v>
      </c>
      <c r="DH82" s="11">
        <v>107.85342346428673</v>
      </c>
      <c r="DI82" s="11">
        <v>105.09965775402804</v>
      </c>
      <c r="DJ82" s="11">
        <v>109.09365822991977</v>
      </c>
      <c r="DK82" s="11">
        <v>118.82792049699584</v>
      </c>
      <c r="DL82" s="11">
        <v>130.72285706730037</v>
      </c>
    </row>
    <row r="83" spans="4:116" ht="15.6" outlineLevel="1" x14ac:dyDescent="0.25">
      <c r="D83" s="10" t="s">
        <v>55</v>
      </c>
      <c r="E83" s="10" t="s">
        <v>54</v>
      </c>
      <c r="F83" s="10" t="s">
        <v>149</v>
      </c>
      <c r="G83" s="10" t="s">
        <v>182</v>
      </c>
      <c r="H83" s="62"/>
      <c r="I83" s="11">
        <f>9484.61126333822/(10^3)</f>
        <v>9.4846112633382198</v>
      </c>
      <c r="J83" s="11">
        <f>9356.41943514837/(10^3)</f>
        <v>9.3564194351483696</v>
      </c>
      <c r="K83" s="11">
        <f>951149.085452394/(10^3)</f>
        <v>951.14908545239393</v>
      </c>
      <c r="L83" s="11">
        <f>9925.49731518269/(10^3)</f>
        <v>9.9254973151826906</v>
      </c>
      <c r="M83" s="11">
        <f>10217.1682182947/(10^3)</f>
        <v>10.217168218294701</v>
      </c>
      <c r="N83" s="11">
        <f>10050.7210756941/(10^3)</f>
        <v>10.050721075694101</v>
      </c>
      <c r="O83" s="11">
        <f>9972.3250053334/(10^3)</f>
        <v>9.9723250053333992</v>
      </c>
      <c r="P83" s="11">
        <f>10308.2145734174/(10^3)</f>
        <v>10.308214573417398</v>
      </c>
      <c r="Q83" s="11">
        <f>102.506422869729/(10^3)</f>
        <v>0.102506422869729</v>
      </c>
      <c r="R83" s="11">
        <f>10605.676214625/(10^3)</f>
        <v>10.605676214624999</v>
      </c>
      <c r="S83" s="11">
        <f>10564.060894623/(10^3)</f>
        <v>10.564060894623001</v>
      </c>
      <c r="T83" s="11">
        <f>10973.3002311398/(10^3)</f>
        <v>10.973300231139799</v>
      </c>
      <c r="U83" s="11">
        <f>10954.748294597/(10^3)</f>
        <v>10.954748294597</v>
      </c>
      <c r="V83" s="11">
        <f>11414.4323015954/(10^3)</f>
        <v>11.414432301595399</v>
      </c>
      <c r="W83" s="11">
        <f>1182439.319752/(10^3)</f>
        <v>1182.4393197520001</v>
      </c>
      <c r="X83" s="11">
        <f>11703.8378247927/(10^3)</f>
        <v>11.7038378247927</v>
      </c>
      <c r="Y83" s="11">
        <f>12254.8731694891/(10^3)</f>
        <v>12.2548731694891</v>
      </c>
      <c r="Z83" s="11">
        <f>12655.1371137681/(10^3)</f>
        <v>12.655137113768101</v>
      </c>
      <c r="AA83" s="11">
        <f>12466.0511425369/(10^3)</f>
        <v>12.4660511425369</v>
      </c>
      <c r="AB83" s="11">
        <f>12320.6725670159/(10^3)</f>
        <v>12.320672567015899</v>
      </c>
      <c r="AC83" s="11">
        <f>122.792132646953/(10^3)</f>
        <v>0.12279213264695299</v>
      </c>
      <c r="AD83" s="11">
        <f>12248.7703944638/(10^3)</f>
        <v>12.248770394463799</v>
      </c>
      <c r="AE83" s="11">
        <f>12231.1570126402/(10^3)</f>
        <v>12.2311570126402</v>
      </c>
      <c r="AF83" s="11">
        <f>12131.2149378148/(10^3)</f>
        <v>12.1312149378148</v>
      </c>
      <c r="AG83" s="11">
        <f>12029.5650366632/(10^3)</f>
        <v>12.0295650366632</v>
      </c>
      <c r="AH83" s="11">
        <f>12473.7386332181/(10^3)</f>
        <v>12.473738633218099</v>
      </c>
      <c r="AI83" s="11">
        <f>1274299.85945335/(10^3)</f>
        <v>1274.2998594533501</v>
      </c>
      <c r="AJ83" s="11">
        <f>12568.5711507419/(10^3)</f>
        <v>12.568571150741899</v>
      </c>
      <c r="AK83" s="11">
        <f>12683.6291673473/(10^3)</f>
        <v>12.6836291673473</v>
      </c>
      <c r="AL83" s="11">
        <f>12524.8248916973/(10^3)</f>
        <v>12.524824891697302</v>
      </c>
      <c r="AM83" s="11">
        <f>12331.3994325994/(10^3)</f>
        <v>12.331399432599401</v>
      </c>
      <c r="AN83" s="11">
        <f>12270.5873927788/(10^3)</f>
        <v>12.270587392778801</v>
      </c>
      <c r="AO83" s="11">
        <f>122.97123395953/(10^3)</f>
        <v>0.12297123395953</v>
      </c>
      <c r="AP83" s="11">
        <f>12265.4156850665/(10^3)</f>
        <v>12.2654156850665</v>
      </c>
      <c r="AQ83" s="11">
        <f>12032.9713591214/(10^3)</f>
        <v>12.032971359121401</v>
      </c>
      <c r="AR83" s="11">
        <f>12479.3042652756/(10^3)</f>
        <v>12.4793042652756</v>
      </c>
      <c r="AS83" s="11">
        <f>12473.4704339901/(10^3)</f>
        <v>12.4734704339901</v>
      </c>
      <c r="AT83" s="11">
        <f>12245.330825369/(10^3)</f>
        <v>12.245330825368999</v>
      </c>
      <c r="AU83" s="11">
        <f>1237532.86774686/(10^3)</f>
        <v>1237.5328677468601</v>
      </c>
      <c r="AV83" s="11">
        <f>12162.9315894776/(10^3)</f>
        <v>12.1629315894776</v>
      </c>
      <c r="AW83" s="11">
        <f>12081.9760245501/(10^3)</f>
        <v>12.0819760245501</v>
      </c>
      <c r="AX83" s="11">
        <f>11848.2381007526/(10^3)</f>
        <v>11.848238100752599</v>
      </c>
      <c r="AY83" s="11">
        <f>12375.8791621038/(10^3)</f>
        <v>12.3758791621038</v>
      </c>
      <c r="AZ83" s="11">
        <f>12750.1531326336/(10^3)</f>
        <v>12.750153132633601</v>
      </c>
      <c r="BA83" s="11">
        <f>126.162534462834/(10^3)</f>
        <v>0.12616253446283401</v>
      </c>
      <c r="BB83" s="11">
        <f>13031.8747793139/(10^3)</f>
        <v>13.031874779313899</v>
      </c>
      <c r="BC83" s="11">
        <f>12970.9591018803/(10^3)</f>
        <v>12.9709591018803</v>
      </c>
      <c r="BD83" s="11">
        <f>13104.5224718875/(10^3)</f>
        <v>13.104522471887499</v>
      </c>
      <c r="BE83" s="11">
        <f>13117.5805549043/(10^3)</f>
        <v>13.117580554904301</v>
      </c>
      <c r="BF83" s="11">
        <f>13062.2866978843/(10^3)</f>
        <v>13.0622866978843</v>
      </c>
      <c r="BG83" s="11">
        <f>1371251.84735516/(10^3)</f>
        <v>1371.25184735516</v>
      </c>
      <c r="BH83" s="11">
        <f>14109.0498532201/(10^3)</f>
        <v>14.1090498532201</v>
      </c>
      <c r="BI83" s="11">
        <f>14526.9981153623/(10^3)</f>
        <v>14.5269981153623</v>
      </c>
      <c r="BJ83" s="11">
        <f>14676.4282805217/(10^3)</f>
        <v>14.676428280521701</v>
      </c>
      <c r="BK83" s="11">
        <f>14640.7104600615/(10^3)</f>
        <v>14.6407104600615</v>
      </c>
      <c r="BL83" s="11">
        <f>14460.1342559692/(10^3)</f>
        <v>14.4601342559692</v>
      </c>
      <c r="BM83" s="11">
        <f>145.963930458767/(10^3)</f>
        <v>0.14596393045876702</v>
      </c>
      <c r="BN83" s="11">
        <f>15210.1620058839/(10^3)</f>
        <v>15.2101620058839</v>
      </c>
      <c r="BO83" s="11">
        <f>15270.7456553193/(10^3)</f>
        <v>15.270745655319301</v>
      </c>
      <c r="BP83" s="11">
        <f>15559.990803919/(10^3)</f>
        <v>15.559990803919</v>
      </c>
      <c r="BQ83" s="11">
        <f>16318.3517964742/(10^3)</f>
        <v>16.3183517964742</v>
      </c>
      <c r="BR83" s="11">
        <f>16435.2750700513/(10^3)</f>
        <v>16.435275070051297</v>
      </c>
      <c r="BS83" s="11">
        <f>1701225.82369301/(10^3)</f>
        <v>1701.2258236930099</v>
      </c>
      <c r="BT83" s="11">
        <f>17470.4688198033/(10^3)</f>
        <v>17.470468819803301</v>
      </c>
      <c r="BU83" s="11">
        <f>17350.3541757678/(10^3)</f>
        <v>17.350354175767798</v>
      </c>
      <c r="BV83" s="11">
        <f>17618.2699853357/(10^3)</f>
        <v>17.618269985335701</v>
      </c>
      <c r="BW83" s="11">
        <f>18033.9978776554/(10^3)</f>
        <v>18.033997877655402</v>
      </c>
      <c r="BX83" s="11">
        <f>18793.8314550445/(10^3)</f>
        <v>18.793831455044501</v>
      </c>
      <c r="BY83" s="11">
        <f>193.584374884989/(10^3)</f>
        <v>0.193584374884989</v>
      </c>
      <c r="BZ83" s="11">
        <f>19358.4374884989/(10^3)</f>
        <v>19.3584374884989</v>
      </c>
      <c r="CA83" s="11">
        <f>20005.1103163107/(10^3)</f>
        <v>20.005110316310699</v>
      </c>
      <c r="CB83" s="11">
        <f>19777.5555168742/(10^3)</f>
        <v>19.777555516874198</v>
      </c>
      <c r="CC83" s="12"/>
      <c r="CZ83" s="11">
        <v>10.250642286972916</v>
      </c>
      <c r="DA83" s="11">
        <v>12.279213264695338</v>
      </c>
      <c r="DB83" s="11">
        <v>12.29712339595299</v>
      </c>
      <c r="DC83" s="11">
        <v>12.616253446283437</v>
      </c>
      <c r="DD83" s="11">
        <v>14.596393045876695</v>
      </c>
      <c r="DE83" s="11">
        <v>19.358437488498868</v>
      </c>
      <c r="DG83" s="11">
        <v>9.5114908545239434</v>
      </c>
      <c r="DH83" s="11">
        <v>11.824393197519969</v>
      </c>
      <c r="DI83" s="11">
        <v>12.742998594533512</v>
      </c>
      <c r="DJ83" s="11">
        <v>12.375328677468621</v>
      </c>
      <c r="DK83" s="11">
        <v>13.712518473551635</v>
      </c>
      <c r="DL83" s="11">
        <v>17.012258236930062</v>
      </c>
    </row>
    <row r="84" spans="4:116" ht="15.6" outlineLevel="1" x14ac:dyDescent="0.25">
      <c r="D84" s="10" t="s">
        <v>57</v>
      </c>
      <c r="E84" s="10" t="s">
        <v>56</v>
      </c>
      <c r="F84" s="10" t="s">
        <v>150</v>
      </c>
      <c r="G84" s="10" t="s">
        <v>182</v>
      </c>
      <c r="H84" s="62"/>
      <c r="I84" s="11"/>
      <c r="J84" s="14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>
        <f>3619.61286375147/(10^3)</f>
        <v>3.61961286375147</v>
      </c>
      <c r="W84" s="11">
        <f>376378.152497276/(10^3)</f>
        <v>376.37815249727601</v>
      </c>
      <c r="X84" s="11">
        <f>3764.58109232424/(10^3)</f>
        <v>3.7645810923242404</v>
      </c>
      <c r="Y84" s="11">
        <f>3751.52521789066/(10^3)</f>
        <v>3.7515252178906597</v>
      </c>
      <c r="Z84" s="11">
        <f>3874.79027315057/(10^3)</f>
        <v>3.8747902731505701</v>
      </c>
      <c r="AA84" s="11">
        <f>3865.19945262066/(10^3)</f>
        <v>3.8651994526206601</v>
      </c>
      <c r="AB84" s="11">
        <f>3859.76074805478/(10^3)</f>
        <v>3.85976074805478</v>
      </c>
      <c r="AC84" s="11">
        <f>37.9489246656869/(10^3)</f>
        <v>3.7948924665686903E-2</v>
      </c>
      <c r="AD84" s="11">
        <f>3774.3728389752/(10^3)</f>
        <v>3.7743728389752</v>
      </c>
      <c r="AE84" s="11">
        <f>3707.20514172876/(10^3)</f>
        <v>3.7072051417287599</v>
      </c>
      <c r="AF84" s="11">
        <f>3661.86334631888/(10^3)</f>
        <v>3.6618633463188797</v>
      </c>
      <c r="AG84" s="11">
        <f>3663.34062946147/(10^3)</f>
        <v>3.6633406294614703</v>
      </c>
      <c r="AH84" s="11">
        <f>3689.51985558318/(10^3)</f>
        <v>3.6895198555831796</v>
      </c>
      <c r="AI84" s="11">
        <f>365815.7246854/(10^3)</f>
        <v>365.81572468540003</v>
      </c>
      <c r="AJ84" s="11">
        <f>3610.27895752278/(10^3)</f>
        <v>3.6102789575227798</v>
      </c>
      <c r="AK84" s="11">
        <f>3573.22183840542/(10^3)</f>
        <v>3.57322183840542</v>
      </c>
      <c r="AL84" s="11">
        <f>3570.59935086059/(10^3)</f>
        <v>3.5705993508605904</v>
      </c>
      <c r="AM84" s="11">
        <f>3608.85827668914/(10^3)</f>
        <v>3.6088582766891402</v>
      </c>
      <c r="AN84" s="11">
        <f>3621.08188972059/(10^3)</f>
        <v>3.6210818897205899</v>
      </c>
      <c r="AO84" s="11">
        <f>35.4960663065578/(10^3)</f>
        <v>3.54960663065578E-2</v>
      </c>
      <c r="AP84" s="11">
        <f>3489.53078336591/(10^3)</f>
        <v>3.4895307833659097</v>
      </c>
      <c r="AQ84" s="11">
        <f>3636.73398952697/(10^3)</f>
        <v>3.6367339895269701</v>
      </c>
      <c r="AR84" s="11">
        <f>3609.82044979089/(10^3)</f>
        <v>3.6098204497908899</v>
      </c>
      <c r="AS84" s="11">
        <f>3578.1022145905/(10^3)</f>
        <v>3.5781022145904999</v>
      </c>
      <c r="AT84" s="11">
        <f>3622.16019328728/(10^3)</f>
        <v>3.62216019328728</v>
      </c>
      <c r="AU84" s="11">
        <f>358091.485927664/(10^3)</f>
        <v>358.091485927664</v>
      </c>
      <c r="AV84" s="11">
        <f>3619.60615583201/(10^3)</f>
        <v>3.6196061558320096</v>
      </c>
      <c r="AW84" s="11">
        <f>3608.67735781608/(10^3)</f>
        <v>3.60867735781608</v>
      </c>
      <c r="AX84" s="11">
        <f>3561.99004632494/(10^3)</f>
        <v>3.5619900463249401</v>
      </c>
      <c r="AY84" s="11">
        <f>3521.14551187999/(10^3)</f>
        <v>3.5211455118799901</v>
      </c>
      <c r="AZ84" s="11">
        <f>3481.73366380169/(10^3)</f>
        <v>3.4817336638016898</v>
      </c>
      <c r="BA84" s="11">
        <f>34.2813534223101/(10^3)</f>
        <v>3.4281353422310097E-2</v>
      </c>
      <c r="BB84" s="11">
        <f>3411.5743625853/(10^3)</f>
        <v>3.4115743625853003</v>
      </c>
      <c r="BC84" s="11">
        <f>3444.86916134423/(10^3)</f>
        <v>3.4448691613442302</v>
      </c>
      <c r="BD84" s="11">
        <f>3610.76045897359/(10^3)</f>
        <v>3.6107604589735902</v>
      </c>
      <c r="BE84" s="11">
        <f>3545.00268456942/(10^3)</f>
        <v>3.54500268456942</v>
      </c>
      <c r="BF84" s="11">
        <f>3582.97903662837/(10^3)</f>
        <v>3.58297903662837</v>
      </c>
      <c r="BG84" s="11">
        <f>369006.729860514/(10^3)</f>
        <v>369.00672986051399</v>
      </c>
      <c r="BH84" s="11">
        <f>3734.92171380072/(10^3)</f>
        <v>3.7349217138007202</v>
      </c>
      <c r="BI84" s="11">
        <f>3882.31667264065/(10^3)</f>
        <v>3.8823166726406497</v>
      </c>
      <c r="BJ84" s="11">
        <f>4059.02010913817/(10^3)</f>
        <v>4.0590201091381699</v>
      </c>
      <c r="BK84" s="11">
        <f>3979.76912417851/(10^3)</f>
        <v>3.9797691241785103</v>
      </c>
      <c r="BL84" s="11">
        <f>4118.38430494552/(10^3)</f>
        <v>4.1183843049455202</v>
      </c>
      <c r="BM84" s="11">
        <f>42.9643015561846/(10^3)</f>
        <v>4.2964301556184602E-2</v>
      </c>
      <c r="BN84" s="11">
        <f>4373.89652083819/(10^3)</f>
        <v>4.3738965208381897</v>
      </c>
      <c r="BO84" s="11">
        <f>4540.85344102859/(10^3)</f>
        <v>4.5408534410285899</v>
      </c>
      <c r="BP84" s="11">
        <f>4766.65543909749/(10^3)</f>
        <v>4.76665543909749</v>
      </c>
      <c r="BQ84" s="11">
        <f>4723.24146160982/(10^3)</f>
        <v>4.7232414616098204</v>
      </c>
      <c r="BR84" s="11">
        <f>4801.94284779565/(10^3)</f>
        <v>4.8019428477956501</v>
      </c>
      <c r="BS84" s="11">
        <f>471034.823663006/(10^3)</f>
        <v>471.03482366300602</v>
      </c>
      <c r="BT84" s="11">
        <f>4765.1380611873/(10^3)</f>
        <v>4.7651380611873</v>
      </c>
      <c r="BU84" s="11">
        <f>4978.2492254691/(10^3)</f>
        <v>4.9782492254690993</v>
      </c>
      <c r="BV84" s="11">
        <f>5201.60567606012/(10^3)</f>
        <v>5.2016056760601197</v>
      </c>
      <c r="BW84" s="11">
        <f>5193.31526817914/(10^3)</f>
        <v>5.1933152681791395</v>
      </c>
      <c r="BX84" s="11">
        <f>5175.58396129738/(10^3)</f>
        <v>5.17558396129738</v>
      </c>
      <c r="BY84" s="11">
        <f>53.6178356868088/(10^3)</f>
        <v>5.36178356868088E-2</v>
      </c>
      <c r="BZ84" s="11">
        <f>5361.78356868088/(10^3)</f>
        <v>5.3617835686808801</v>
      </c>
      <c r="CA84" s="11">
        <f>5538.63616759946/(10^3)</f>
        <v>5.53863616759946</v>
      </c>
      <c r="CB84" s="11">
        <f>5708.4668210205/(10^3)</f>
        <v>5.7084668210205001</v>
      </c>
      <c r="CC84" s="12"/>
      <c r="CZ84" s="11">
        <v>3.5997902348112065</v>
      </c>
      <c r="DA84" s="11">
        <v>3.7948924665686872</v>
      </c>
      <c r="DB84" s="11">
        <v>3.5496066306557839</v>
      </c>
      <c r="DC84" s="11">
        <v>3.4281353422310108</v>
      </c>
      <c r="DD84" s="11">
        <v>4.2964301556184559</v>
      </c>
      <c r="DE84" s="11">
        <v>5.3617835686808846</v>
      </c>
      <c r="DG84" s="11">
        <v>3.3177943845706674</v>
      </c>
      <c r="DH84" s="11">
        <v>3.7637815249727642</v>
      </c>
      <c r="DI84" s="11">
        <v>3.6581572468539978</v>
      </c>
      <c r="DJ84" s="11">
        <v>3.5809148592766396</v>
      </c>
      <c r="DK84" s="11">
        <v>3.6900672986051428</v>
      </c>
      <c r="DL84" s="11">
        <v>4.7103482366300566</v>
      </c>
    </row>
    <row r="85" spans="4:116" ht="15.6" outlineLevel="1" x14ac:dyDescent="0.25">
      <c r="D85" s="10" t="s">
        <v>58</v>
      </c>
      <c r="E85" s="10" t="s">
        <v>54</v>
      </c>
      <c r="F85" s="10" t="s">
        <v>149</v>
      </c>
      <c r="G85" s="10" t="s">
        <v>182</v>
      </c>
      <c r="H85" s="62"/>
      <c r="I85" s="11">
        <f>8974.6131664211/(10^3)</f>
        <v>8.9746131664211006</v>
      </c>
      <c r="J85" s="11">
        <f>8910.69915213803/(10^3)</f>
        <v>8.9106991521380294</v>
      </c>
      <c r="K85" s="11">
        <f>917978.329733806/(10^3)</f>
        <v>917.97832973380594</v>
      </c>
      <c r="L85" s="11">
        <f>9144.83216207034/(10^3)</f>
        <v>9.1448321620703386</v>
      </c>
      <c r="M85" s="11">
        <f>9352.33037182267/(10^3)</f>
        <v>9.3523303718226707</v>
      </c>
      <c r="N85" s="11">
        <f>9251.48706270927/(10^3)</f>
        <v>9.2514870627092698</v>
      </c>
      <c r="O85" s="11">
        <f>9437.89129247226/(10^3)</f>
        <v>9.4378912924722602</v>
      </c>
      <c r="P85" s="11">
        <f>9672.32622053629/(10^3)</f>
        <v>9.6723262205362897</v>
      </c>
      <c r="Q85" s="11">
        <f>97.3362708832813/(10^3)</f>
        <v>9.7336270883281298E-2</v>
      </c>
      <c r="R85" s="11">
        <f>10078.9577297124/(10^3)</f>
        <v>10.0789577297124</v>
      </c>
      <c r="S85" s="11">
        <f>10458.4842362328/(10^3)</f>
        <v>10.458484236232801</v>
      </c>
      <c r="T85" s="11">
        <f>10566.3836061632/(10^3)</f>
        <v>10.5663836061632</v>
      </c>
      <c r="U85" s="11">
        <f>10548.2017048798/(10^3)</f>
        <v>10.548201704879801</v>
      </c>
      <c r="V85" s="11">
        <f>10429.3652330725/(10^3)</f>
        <v>10.429365233072501</v>
      </c>
      <c r="W85" s="11">
        <f>1024737.61095298/(10^3)</f>
        <v>1024.73761095298</v>
      </c>
      <c r="X85" s="11">
        <f>10082.5626224757/(10^3)</f>
        <v>10.082562622475701</v>
      </c>
      <c r="Y85" s="11">
        <f>9929.09865999043/(10^3)</f>
        <v>9.9290986599904301</v>
      </c>
      <c r="Z85" s="11">
        <f>9827.69074887761/(10^3)</f>
        <v>9.8276907488776111</v>
      </c>
      <c r="AA85" s="11">
        <f>9808.31497438543/(10^3)</f>
        <v>9.8083149743854303</v>
      </c>
      <c r="AB85" s="11">
        <f>10264.4355607885/(10^3)</f>
        <v>10.264435560788501</v>
      </c>
      <c r="AC85" s="11">
        <f>104.7719958498/(10^3)</f>
        <v>0.1047719958498</v>
      </c>
      <c r="AD85" s="11">
        <f>10810.0609503214/(10^3)</f>
        <v>10.8100609503214</v>
      </c>
      <c r="AE85" s="11">
        <f>10599.4508533729/(10^3)</f>
        <v>10.5994508533729</v>
      </c>
      <c r="AF85" s="11">
        <f>10701.4844609944/(10^3)</f>
        <v>10.701484460994399</v>
      </c>
      <c r="AG85" s="11">
        <f>10997.7691752431/(10^3)</f>
        <v>10.9977691752431</v>
      </c>
      <c r="AH85" s="11">
        <f>11202.4552935376/(10^3)</f>
        <v>11.2024552935376</v>
      </c>
      <c r="AI85" s="11">
        <f>1144036.40708186/(10^3)</f>
        <v>1144.0364070818598</v>
      </c>
      <c r="AJ85" s="11">
        <f>11278.379166565/(10^3)</f>
        <v>11.278379166565001</v>
      </c>
      <c r="AK85" s="11">
        <f>11776.3597151981/(10^3)</f>
        <v>11.776359715198099</v>
      </c>
      <c r="AL85" s="11">
        <f>11729.3647280371/(10^3)</f>
        <v>11.729364728037101</v>
      </c>
      <c r="AM85" s="11">
        <f>12243.7826707893/(10^3)</f>
        <v>12.243782670789299</v>
      </c>
      <c r="AN85" s="11">
        <f>12842.1771783675/(10^3)</f>
        <v>12.8421771783675</v>
      </c>
      <c r="AO85" s="11">
        <f>133.713167259722/(10^3)</f>
        <v>0.13371316725972202</v>
      </c>
      <c r="AP85" s="11">
        <f>13903.6256129612/(10^3)</f>
        <v>13.9036256129612</v>
      </c>
      <c r="AQ85" s="11">
        <f>13814.1926844865/(10^3)</f>
        <v>13.8141926844865</v>
      </c>
      <c r="AR85" s="11">
        <f>13618.5802217997/(10^3)</f>
        <v>13.6185802217997</v>
      </c>
      <c r="AS85" s="11">
        <f>14045.3111645236/(10^3)</f>
        <v>14.0453111645236</v>
      </c>
      <c r="AT85" s="11">
        <f>14630.1063827344/(10^3)</f>
        <v>14.6301063827344</v>
      </c>
      <c r="AU85" s="11">
        <f>1490163.01494333/(10^3)</f>
        <v>1490.1630149433302</v>
      </c>
      <c r="AV85" s="11">
        <f>14796.5520933448/(10^3)</f>
        <v>14.7965520933448</v>
      </c>
      <c r="AW85" s="11">
        <f>14788.4493488135/(10^3)</f>
        <v>14.788449348813499</v>
      </c>
      <c r="AX85" s="11">
        <f>15272.6145279213/(10^3)</f>
        <v>15.2726145279213</v>
      </c>
      <c r="AY85" s="11">
        <f>15165.8325298595/(10^3)</f>
        <v>15.165832529859498</v>
      </c>
      <c r="AZ85" s="11">
        <f>15336.6914510834/(10^3)</f>
        <v>15.3366914510834</v>
      </c>
      <c r="BA85" s="11">
        <f>151.53849718048/(10^3)</f>
        <v>0.15153849718047999</v>
      </c>
      <c r="BB85" s="11">
        <f>15404.2743165968/(10^3)</f>
        <v>15.404274316596801</v>
      </c>
      <c r="BC85" s="11">
        <f>15433.0661983057/(10^3)</f>
        <v>15.433066198305699</v>
      </c>
      <c r="BD85" s="11">
        <f>15782.6765808446/(10^3)</f>
        <v>15.782676580844599</v>
      </c>
      <c r="BE85" s="11">
        <f>16475.880862171/(10^3)</f>
        <v>16.475880862171003</v>
      </c>
      <c r="BF85" s="11">
        <f>16559.3308940916/(10^3)</f>
        <v>16.559330894091598</v>
      </c>
      <c r="BG85" s="11">
        <f>1736776.81523314/(10^3)</f>
        <v>1736.77681523314</v>
      </c>
      <c r="BH85" s="11">
        <f>17541.4404356764/(10^3)</f>
        <v>17.5414404356764</v>
      </c>
      <c r="BI85" s="11">
        <f>17970.9234884285/(10^3)</f>
        <v>17.9709234884285</v>
      </c>
      <c r="BJ85" s="11">
        <f>18753.1878557192/(10^3)</f>
        <v>18.753187855719201</v>
      </c>
      <c r="BK85" s="11">
        <f>18695.2011818195/(10^3)</f>
        <v>18.695201181819499</v>
      </c>
      <c r="BL85" s="11">
        <f>18678.9038892068/(10^3)</f>
        <v>18.678903889206797</v>
      </c>
      <c r="BM85" s="11">
        <f>192.980541089923/(10^3)</f>
        <v>0.19298054108992302</v>
      </c>
      <c r="BN85" s="11">
        <f>19527.5957816046/(10^3)</f>
        <v>19.5275957816046</v>
      </c>
      <c r="BO85" s="11">
        <f>19298.698997492/(10^3)</f>
        <v>19.298698997492</v>
      </c>
      <c r="BP85" s="11">
        <f>19180.6230756168/(10^3)</f>
        <v>19.180623075616801</v>
      </c>
      <c r="BQ85" s="11">
        <f>19882.32763349/(10^3)</f>
        <v>19.88232763349</v>
      </c>
      <c r="BR85" s="11">
        <f>20842.6317634011/(10^3)</f>
        <v>20.842631763401098</v>
      </c>
      <c r="BS85" s="11">
        <f>2077753.94549004/(10^3)</f>
        <v>2077.7539454900398</v>
      </c>
      <c r="BT85" s="11">
        <f>21422.9800149253/(10^3)</f>
        <v>21.422980014925297</v>
      </c>
      <c r="BU85" s="11">
        <f>21984.7186435683/(10^3)</f>
        <v>21.9847186435683</v>
      </c>
      <c r="BV85" s="11">
        <f>22859.7976253841/(10^3)</f>
        <v>22.8597976253841</v>
      </c>
      <c r="BW85" s="11">
        <f>23562.1785373533/(10^3)</f>
        <v>23.562178537353297</v>
      </c>
      <c r="BX85" s="11">
        <f>24250.3435390137/(10^3)</f>
        <v>24.250343539013699</v>
      </c>
      <c r="BY85" s="11">
        <f>256.691893115873/(10^3)</f>
        <v>0.25669189311587298</v>
      </c>
      <c r="BZ85" s="11">
        <f>25669.1893115873/(10^3)</f>
        <v>25.669189311587299</v>
      </c>
      <c r="CA85" s="11">
        <f>25657.0637678991/(10^3)</f>
        <v>25.6570637678991</v>
      </c>
      <c r="CB85" s="11">
        <f>25617.1027445085/(10^3)</f>
        <v>25.617102744508497</v>
      </c>
      <c r="CC85" s="12"/>
      <c r="CZ85" s="11">
        <v>9.7336270883281308</v>
      </c>
      <c r="DA85" s="11">
        <v>10.47719958498001</v>
      </c>
      <c r="DB85" s="11">
        <v>13.371316725972218</v>
      </c>
      <c r="DC85" s="11">
        <v>15.153849718048006</v>
      </c>
      <c r="DD85" s="11">
        <v>19.29805410899235</v>
      </c>
      <c r="DE85" s="11">
        <v>25.669189311587335</v>
      </c>
      <c r="DG85" s="11">
        <v>9.179783297338064</v>
      </c>
      <c r="DH85" s="11">
        <v>10.247376109529764</v>
      </c>
      <c r="DI85" s="11">
        <v>11.440364070818568</v>
      </c>
      <c r="DJ85" s="11">
        <v>14.901630149433283</v>
      </c>
      <c r="DK85" s="11">
        <v>17.367768152331386</v>
      </c>
      <c r="DL85" s="11">
        <v>20.777539454900399</v>
      </c>
    </row>
    <row r="86" spans="4:116" ht="15.6" outlineLevel="1" x14ac:dyDescent="0.25">
      <c r="D86" s="10" t="s">
        <v>60</v>
      </c>
      <c r="E86" s="10" t="s">
        <v>59</v>
      </c>
      <c r="F86" s="10" t="s">
        <v>149</v>
      </c>
      <c r="G86" s="10" t="s">
        <v>182</v>
      </c>
      <c r="H86" s="62"/>
      <c r="I86" s="11">
        <f>5331.88595412559/(10^3)</f>
        <v>5.3318859541255899</v>
      </c>
      <c r="J86" s="11">
        <f>5372.42984036324/(10^3)</f>
        <v>5.3724298403632398</v>
      </c>
      <c r="K86" s="11">
        <f>542971.556575664/(10^3)</f>
        <v>542.97155657566395</v>
      </c>
      <c r="L86" s="11">
        <f>5359.76430237416/(10^3)</f>
        <v>5.3597643023741606</v>
      </c>
      <c r="M86" s="11">
        <f>5268.16924859216/(10^3)</f>
        <v>5.2681692485921605</v>
      </c>
      <c r="N86" s="11">
        <f>5439.19066620843/(10^3)</f>
        <v>5.4391906662084306</v>
      </c>
      <c r="O86" s="11">
        <f>5381.9045937999/(10^3)</f>
        <v>5.3819045937998995</v>
      </c>
      <c r="P86" s="11">
        <f>5642.40965899973/(10^3)</f>
        <v>5.6424096589997301</v>
      </c>
      <c r="Q86" s="11">
        <f>55.9614202205021/(10^3)</f>
        <v>5.5961420220502101E-2</v>
      </c>
      <c r="R86" s="11">
        <f>5658.12321236324/(10^3)</f>
        <v>5.6581232123632397</v>
      </c>
      <c r="S86" s="11">
        <f>5684.30045038994/(10^3)</f>
        <v>5.6843004503899399</v>
      </c>
      <c r="T86" s="11">
        <f>5625.24427118512/(10^3)</f>
        <v>5.62524427118512</v>
      </c>
      <c r="U86" s="11">
        <f>5525.43132197838/(10^3)</f>
        <v>5.5254313219783802</v>
      </c>
      <c r="V86" s="11">
        <f>5639.2868752876/(10^3)</f>
        <v>5.6392868752876</v>
      </c>
      <c r="W86" s="11">
        <f>574516.942403583/(10^3)</f>
        <v>574.51694240358302</v>
      </c>
      <c r="X86" s="11">
        <f>5744.19964507982/(10^3)</f>
        <v>5.7441996450798198</v>
      </c>
      <c r="Y86" s="11">
        <f>5683.82595593098/(10^3)</f>
        <v>5.6838259559309803</v>
      </c>
      <c r="Z86" s="11">
        <f>5751.80898047715/(10^3)</f>
        <v>5.7518089804771497</v>
      </c>
      <c r="AA86" s="11">
        <f>5720.4888472749/(10^3)</f>
        <v>5.7204888472748996</v>
      </c>
      <c r="AB86" s="11">
        <f>5689.85386604913/(10^3)</f>
        <v>5.6898538660491305</v>
      </c>
      <c r="AC86" s="11">
        <f>56.0127875972048/(10^3)</f>
        <v>5.6012787597204801E-2</v>
      </c>
      <c r="AD86" s="11">
        <f>5880.96786071004/(10^3)</f>
        <v>5.8809678607100402</v>
      </c>
      <c r="AE86" s="11">
        <f>5864.54773854546/(10^3)</f>
        <v>5.8645477385454594</v>
      </c>
      <c r="AF86" s="11">
        <f>5807.24500323616/(10^3)</f>
        <v>5.8072450032361607</v>
      </c>
      <c r="AG86" s="11">
        <f>5702.94002212528/(10^3)</f>
        <v>5.7029400221252802</v>
      </c>
      <c r="AH86" s="11">
        <f>5803.42213233618/(10^3)</f>
        <v>5.8034221323361797</v>
      </c>
      <c r="AI86" s="11">
        <f>589205.48832425/(10^3)</f>
        <v>589.20548832424993</v>
      </c>
      <c r="AJ86" s="11">
        <f>5896.96214982972/(10^3)</f>
        <v>5.8969621498297204</v>
      </c>
      <c r="AK86" s="11">
        <f>5860.84528252713/(10^3)</f>
        <v>5.86084528252713</v>
      </c>
      <c r="AL86" s="11">
        <f>6098.83897865842/(10^3)</f>
        <v>6.0988389786584198</v>
      </c>
      <c r="AM86" s="11">
        <f>6219.83077438798/(10^3)</f>
        <v>6.2198307743879795</v>
      </c>
      <c r="AN86" s="11">
        <f>6278.32775448606/(10^3)</f>
        <v>6.2783277544860603</v>
      </c>
      <c r="AO86" s="11">
        <f>62.5081178683511/(10^3)</f>
        <v>6.2508117868351101E-2</v>
      </c>
      <c r="AP86" s="11">
        <f>6551.18867269114/(10^3)</f>
        <v>6.5511886726911399</v>
      </c>
      <c r="AQ86" s="11">
        <f>6842.81960120764/(10^3)</f>
        <v>6.8428196012076397</v>
      </c>
      <c r="AR86" s="11">
        <f>6955.8704107727/(10^3)</f>
        <v>6.9558704107727003</v>
      </c>
      <c r="AS86" s="11">
        <f>6823.00156704031/(10^3)</f>
        <v>6.8230015670403104</v>
      </c>
      <c r="AT86" s="11">
        <f>6799.91289995363/(10^3)</f>
        <v>6.7999128999536298</v>
      </c>
      <c r="AU86" s="11">
        <f>670366.136525721/(10^3)</f>
        <v>670.366136525721</v>
      </c>
      <c r="AV86" s="11">
        <f>6635.42028448586/(10^3)</f>
        <v>6.6354202844858596</v>
      </c>
      <c r="AW86" s="11">
        <f>6651.06983833468/(10^3)</f>
        <v>6.6510698383346796</v>
      </c>
      <c r="AX86" s="11">
        <f>6719.93336902461/(10^3)</f>
        <v>6.7199333690246101</v>
      </c>
      <c r="AY86" s="11">
        <f>7011.41702451613/(10^3)</f>
        <v>7.0114170245161302</v>
      </c>
      <c r="AZ86" s="11">
        <f>7013.41931172995/(10^3)</f>
        <v>7.0134193117299501</v>
      </c>
      <c r="BA86" s="11">
        <f>71.035161780585/(10^3)</f>
        <v>7.1035161780584999E-2</v>
      </c>
      <c r="BB86" s="11">
        <f>7281.85324785478/(10^3)</f>
        <v>7.2818532478547802</v>
      </c>
      <c r="BC86" s="11">
        <f>7248.85093861238/(10^3)</f>
        <v>7.2488509386123798</v>
      </c>
      <c r="BD86" s="11">
        <f>7611.05785482154/(10^3)</f>
        <v>7.6110578548215395</v>
      </c>
      <c r="BE86" s="11">
        <f>7884.26240330471/(10^3)</f>
        <v>7.8842624033047093</v>
      </c>
      <c r="BF86" s="11">
        <f>8202.89415718443/(10^3)</f>
        <v>8.2028941571844296</v>
      </c>
      <c r="BG86" s="11">
        <f>808649.721761102/(10^3)</f>
        <v>808.649721761102</v>
      </c>
      <c r="BH86" s="11">
        <f>8403.65192060503/(10^3)</f>
        <v>8.4036519206050304</v>
      </c>
      <c r="BI86" s="11">
        <f>8707.30285906081/(10^3)</f>
        <v>8.7073028590608104</v>
      </c>
      <c r="BJ86" s="11">
        <f>8685.19420289511/(10^3)</f>
        <v>8.6851942028951115</v>
      </c>
      <c r="BK86" s="11">
        <f>8961.84939066686/(10^3)</f>
        <v>8.9618493906668597</v>
      </c>
      <c r="BL86" s="11">
        <f>8889.39730059891/(10^3)</f>
        <v>8.88939730059891</v>
      </c>
      <c r="BM86" s="11">
        <f>89.2729773686945/(10^3)</f>
        <v>8.9272977368694495E-2</v>
      </c>
      <c r="BN86" s="11">
        <f>9244.79992800048/(10^3)</f>
        <v>9.2447999280004804</v>
      </c>
      <c r="BO86" s="11">
        <f>9553.23134744929/(10^3)</f>
        <v>9.5532313474492891</v>
      </c>
      <c r="BP86" s="11">
        <f>9499.03693976737/(10^3)</f>
        <v>9.49903693976737</v>
      </c>
      <c r="BQ86" s="11">
        <f>9642.07308063477/(10^3)</f>
        <v>9.6420730806347699</v>
      </c>
      <c r="BR86" s="11">
        <f>9531.30408036209/(10^3)</f>
        <v>9.531304080362089</v>
      </c>
      <c r="BS86" s="11">
        <f>977958.006497153/(10^3)</f>
        <v>977.95800649715295</v>
      </c>
      <c r="BT86" s="11">
        <f>10223.9053874415/(10^3)</f>
        <v>10.2239053874415</v>
      </c>
      <c r="BU86" s="11">
        <f>10319.203386088/(10^3)</f>
        <v>10.319203386088001</v>
      </c>
      <c r="BV86" s="11">
        <f>10408.4171892022/(10^3)</f>
        <v>10.408417189202201</v>
      </c>
      <c r="BW86" s="11">
        <f>10257.1170140602/(10^3)</f>
        <v>10.257117014060201</v>
      </c>
      <c r="BX86" s="11">
        <f>10614.5650684546/(10^3)</f>
        <v>10.614565068454599</v>
      </c>
      <c r="BY86" s="11">
        <f>111.037041418132/(10^3)</f>
        <v>0.111037041418132</v>
      </c>
      <c r="BZ86" s="11">
        <f>11103.7041418132/(10^3)</f>
        <v>11.1037041418132</v>
      </c>
      <c r="CA86" s="11">
        <f>11039.8806757234/(10^3)</f>
        <v>11.039880675723399</v>
      </c>
      <c r="CB86" s="11">
        <f>10978.2638249628/(10^3)</f>
        <v>10.9782638249628</v>
      </c>
      <c r="CC86" s="12"/>
      <c r="CZ86" s="11">
        <v>5.5961420220502145</v>
      </c>
      <c r="DA86" s="11">
        <v>5.6012787597204818</v>
      </c>
      <c r="DB86" s="11">
        <v>6.2508117868351087</v>
      </c>
      <c r="DC86" s="11">
        <v>7.1035161780584994</v>
      </c>
      <c r="DD86" s="11">
        <v>8.9272977368694484</v>
      </c>
      <c r="DE86" s="11">
        <v>11.103704141813164</v>
      </c>
      <c r="DG86" s="11">
        <v>5.4297155657566405</v>
      </c>
      <c r="DH86" s="11">
        <v>5.7451694240358337</v>
      </c>
      <c r="DI86" s="11">
        <v>5.8920548832425039</v>
      </c>
      <c r="DJ86" s="11">
        <v>6.7036613652572088</v>
      </c>
      <c r="DK86" s="11">
        <v>8.086497217611015</v>
      </c>
      <c r="DL86" s="11">
        <v>9.7795800649715332</v>
      </c>
    </row>
    <row r="87" spans="4:116" ht="15.6" outlineLevel="1" x14ac:dyDescent="0.25">
      <c r="D87" s="10" t="s">
        <v>61</v>
      </c>
      <c r="E87" s="10" t="s">
        <v>2</v>
      </c>
      <c r="F87" s="10" t="s">
        <v>150</v>
      </c>
      <c r="G87" s="10" t="s">
        <v>182</v>
      </c>
      <c r="H87" s="62"/>
      <c r="I87" s="11">
        <f>2688.84586555825/(10^3)</f>
        <v>2.6888458655582501</v>
      </c>
      <c r="J87" s="11">
        <f>2781.8589011331/(10^3)</f>
        <v>2.7818589011330999</v>
      </c>
      <c r="K87" s="11">
        <f>277530.888035855/(10^3)</f>
        <v>277.53088803585501</v>
      </c>
      <c r="L87" s="11">
        <f>2752.9988784565/(10^3)</f>
        <v>2.7529988784564998</v>
      </c>
      <c r="M87" s="11">
        <f>2719.97834330957/(10^3)</f>
        <v>2.7199783433095699</v>
      </c>
      <c r="N87" s="11">
        <f>2675.66290383489/(10^3)</f>
        <v>2.67566290383489</v>
      </c>
      <c r="O87" s="11">
        <f>2648.38615947625/(10^3)</f>
        <v>2.6483861594762503</v>
      </c>
      <c r="P87" s="11">
        <f>2740.26362952145/(10^3)</f>
        <v>2.7402636295214502</v>
      </c>
      <c r="Q87" s="11">
        <f>27.1816845825113/(10^3)</f>
        <v>2.7181684582511297E-2</v>
      </c>
      <c r="R87" s="11">
        <f>2837.71074301518/(10^3)</f>
        <v>2.83771074301518</v>
      </c>
      <c r="S87" s="11">
        <f>2908.80374232835/(10^3)</f>
        <v>2.9088037423283497</v>
      </c>
      <c r="T87" s="11">
        <f>2958.38797266631/(10^3)</f>
        <v>2.9583879726663098</v>
      </c>
      <c r="U87" s="11">
        <f>2904.49643255908/(10^3)</f>
        <v>2.9044964325590801</v>
      </c>
      <c r="V87" s="11">
        <f>3026.97764282849/(10^3)</f>
        <v>3.02697764282849</v>
      </c>
      <c r="W87" s="11">
        <f>300929.428059298/(10^3)</f>
        <v>300.929428059298</v>
      </c>
      <c r="X87" s="11">
        <f>2951.36803870844/(10^3)</f>
        <v>2.95136803870844</v>
      </c>
      <c r="Y87" s="11">
        <f>2892.57189245876/(10^3)</f>
        <v>2.89257189245876</v>
      </c>
      <c r="Z87" s="11">
        <f>2979.62130179852/(10^3)</f>
        <v>2.9796213017985202</v>
      </c>
      <c r="AA87" s="11">
        <f>2966.19468718398/(10^3)</f>
        <v>2.9661946871839802</v>
      </c>
      <c r="AB87" s="11">
        <f>2940.81702742412/(10^3)</f>
        <v>2.9408170274241203</v>
      </c>
      <c r="AC87" s="11">
        <f>28.8700373171185/(10^3)</f>
        <v>2.8870037317118499E-2</v>
      </c>
      <c r="AD87" s="11">
        <f>2863.71183053935/(10^3)</f>
        <v>2.8637118305393501</v>
      </c>
      <c r="AE87" s="11">
        <f>2849.40849156375/(10^3)</f>
        <v>2.8494084915637501</v>
      </c>
      <c r="AF87" s="11">
        <f>2903.13689573723/(10^3)</f>
        <v>2.9031368957372301</v>
      </c>
      <c r="AG87" s="11">
        <f>2922.52177273369/(10^3)</f>
        <v>2.9225217727336901</v>
      </c>
      <c r="AH87" s="11">
        <f>2886.15177247554/(10^3)</f>
        <v>2.8861517724755399</v>
      </c>
      <c r="AI87" s="11">
        <f>296896.306907843/(10^3)</f>
        <v>296.89630690784298</v>
      </c>
      <c r="AJ87" s="11">
        <f>2959.83302858662/(10^3)</f>
        <v>2.9598330285866199</v>
      </c>
      <c r="AK87" s="11">
        <f>2937.8662810846/(10^3)</f>
        <v>2.9378662810845997</v>
      </c>
      <c r="AL87" s="11">
        <f>2884.31419907246/(10^3)</f>
        <v>2.8843141990724597</v>
      </c>
      <c r="AM87" s="11">
        <f>2915.06611754374/(10^3)</f>
        <v>2.91506611754374</v>
      </c>
      <c r="AN87" s="11">
        <f>2864.55023276495/(10^3)</f>
        <v>2.8645502327649499</v>
      </c>
      <c r="AO87" s="11">
        <f>29.5929800532583/(10^3)</f>
        <v>2.9592980053258302E-2</v>
      </c>
      <c r="AP87" s="11">
        <f>3058.47395271484/(10^3)</f>
        <v>3.0584739527148401</v>
      </c>
      <c r="AQ87" s="11">
        <f>3025.47893460486/(10^3)</f>
        <v>3.0254789346048603</v>
      </c>
      <c r="AR87" s="11">
        <f>3011.86198797861/(10^3)</f>
        <v>3.0118619879786102</v>
      </c>
      <c r="AS87" s="11">
        <f>2977.00130852889/(10^3)</f>
        <v>2.97700130852889</v>
      </c>
      <c r="AT87" s="11">
        <f>3012.45281884757/(10^3)</f>
        <v>3.0124528188475703</v>
      </c>
      <c r="AU87" s="11">
        <f>305512.452634625/(10^3)</f>
        <v>305.51245263462499</v>
      </c>
      <c r="AV87" s="11">
        <f>3015.72810511135/(10^3)</f>
        <v>3.01572810511135</v>
      </c>
      <c r="AW87" s="11">
        <f>3049.58409749178/(10^3)</f>
        <v>3.0495840974917803</v>
      </c>
      <c r="AX87" s="11">
        <f>3160.57915539351/(10^3)</f>
        <v>3.1605791553935099</v>
      </c>
      <c r="AY87" s="11">
        <f>3290.03717527133/(10^3)</f>
        <v>3.2900371752713298</v>
      </c>
      <c r="AZ87" s="11">
        <f>3246.72482202462/(10^3)</f>
        <v>3.2467248220246203</v>
      </c>
      <c r="BA87" s="11">
        <f>33.9569087205896/(10^3)</f>
        <v>3.3956908720589603E-2</v>
      </c>
      <c r="BB87" s="11">
        <f>3358.18519252102/(10^3)</f>
        <v>3.3581851925210198</v>
      </c>
      <c r="BC87" s="11">
        <f>3446.59065943711/(10^3)</f>
        <v>3.4465906594371098</v>
      </c>
      <c r="BD87" s="11">
        <f>3404.26487014796/(10^3)</f>
        <v>3.4042648701479603</v>
      </c>
      <c r="BE87" s="11">
        <f>3468.49516629719/(10^3)</f>
        <v>3.4684951662971897</v>
      </c>
      <c r="BF87" s="11">
        <f>3568.7720544059/(10^3)</f>
        <v>3.5687720544058998</v>
      </c>
      <c r="BG87" s="11">
        <f>363899.36444151/(10^3)</f>
        <v>363.89936444150999</v>
      </c>
      <c r="BH87" s="11">
        <f>3726.64776276911/(10^3)</f>
        <v>3.7266477627691104</v>
      </c>
      <c r="BI87" s="11">
        <f>3832.55732555597/(10^3)</f>
        <v>3.8325573255559697</v>
      </c>
      <c r="BJ87" s="11">
        <f>3887.5453326912/(10^3)</f>
        <v>3.8875453326912002</v>
      </c>
      <c r="BK87" s="11">
        <f>3842.33643124904/(10^3)</f>
        <v>3.84233643124904</v>
      </c>
      <c r="BL87" s="11">
        <f>4033.97472839266/(10^3)</f>
        <v>4.0339747283926597</v>
      </c>
      <c r="BM87" s="11">
        <f>40.0708198332888/(10^3)</f>
        <v>4.00708198332888E-2</v>
      </c>
      <c r="BN87" s="11">
        <f>4032.4975839008/(10^3)</f>
        <v>4.0324975839007999</v>
      </c>
      <c r="BO87" s="11">
        <f>3984.2615071126/(10^3)</f>
        <v>3.9842615071126</v>
      </c>
      <c r="BP87" s="11">
        <f>3957.81113228841/(10^3)</f>
        <v>3.95781113228841</v>
      </c>
      <c r="BQ87" s="11">
        <f>4143.07965474619/(10^3)</f>
        <v>4.1430796547461899</v>
      </c>
      <c r="BR87" s="11">
        <f>4262.62559224842/(10^3)</f>
        <v>4.26262559224842</v>
      </c>
      <c r="BS87" s="11">
        <f>427925.748732174/(10^3)</f>
        <v>427.92574873217399</v>
      </c>
      <c r="BT87" s="11">
        <f>4199.92079505/(10^3)</f>
        <v>4.1999207950500006</v>
      </c>
      <c r="BU87" s="11">
        <f>4335.98152743814/(10^3)</f>
        <v>4.3359815274381397</v>
      </c>
      <c r="BV87" s="11">
        <f>4411.20495192707/(10^3)</f>
        <v>4.4112049519270702</v>
      </c>
      <c r="BW87" s="11">
        <f>4404.75565437803/(10^3)</f>
        <v>4.4047556543780297</v>
      </c>
      <c r="BX87" s="11">
        <f>4486.3594979998/(10^3)</f>
        <v>4.4863594979997998</v>
      </c>
      <c r="BY87" s="11">
        <f>48.7402662560813/(10^3)</f>
        <v>4.8740266256081299E-2</v>
      </c>
      <c r="BZ87" s="11">
        <f>4874.02662560813/(10^3)</f>
        <v>4.8740266256081304</v>
      </c>
      <c r="CA87" s="11">
        <f>5078.54291664149/(10^3)</f>
        <v>5.0785429166414895</v>
      </c>
      <c r="CB87" s="11">
        <f>5210.30664716812/(10^3)</f>
        <v>5.2103066471681201</v>
      </c>
      <c r="CC87" s="12"/>
      <c r="CZ87" s="11">
        <v>2.7181684582511294</v>
      </c>
      <c r="DA87" s="11">
        <v>2.8870037317118511</v>
      </c>
      <c r="DB87" s="11">
        <v>2.9592980053258251</v>
      </c>
      <c r="DC87" s="11">
        <v>3.3956908720589585</v>
      </c>
      <c r="DD87" s="11">
        <v>4.0070819833288756</v>
      </c>
      <c r="DE87" s="11">
        <v>4.8740266256081339</v>
      </c>
      <c r="DG87" s="11">
        <v>2.7753088803585508</v>
      </c>
      <c r="DH87" s="11">
        <v>3.0092942805929779</v>
      </c>
      <c r="DI87" s="11">
        <v>2.9689630690784292</v>
      </c>
      <c r="DJ87" s="11">
        <v>3.0551245263462525</v>
      </c>
      <c r="DK87" s="11">
        <v>3.6389936444150952</v>
      </c>
      <c r="DL87" s="11">
        <v>4.2792574873217397</v>
      </c>
    </row>
    <row r="88" spans="4:116" ht="15.6" outlineLevel="1" x14ac:dyDescent="0.25">
      <c r="D88" s="10" t="s">
        <v>62</v>
      </c>
      <c r="E88" s="10" t="s">
        <v>56</v>
      </c>
      <c r="F88" s="10" t="s">
        <v>150</v>
      </c>
      <c r="G88" s="10" t="s">
        <v>182</v>
      </c>
      <c r="H88" s="62"/>
      <c r="I88" s="11"/>
      <c r="J88" s="11"/>
      <c r="K88" s="11"/>
      <c r="L88" s="11">
        <f>3720.78333499496/(10^3)</f>
        <v>3.7207833349949602</v>
      </c>
      <c r="M88" s="11">
        <f>3772.11729982731/(10^3)</f>
        <v>3.7721172998273103</v>
      </c>
      <c r="N88" s="11">
        <f>3825.32451070483/(10^3)</f>
        <v>3.8253245107048301</v>
      </c>
      <c r="O88" s="11">
        <f>3846.47368289439/(10^3)</f>
        <v>3.84647368289439</v>
      </c>
      <c r="P88" s="11">
        <f>3886.99058290881/(10^3)</f>
        <v>3.8869905829088101</v>
      </c>
      <c r="Q88" s="11">
        <f>39.9631598353043/(10^3)</f>
        <v>3.9963159835304303E-2</v>
      </c>
      <c r="R88" s="11">
        <f>4194.36662962625/(10^3)</f>
        <v>4.1943666296262503</v>
      </c>
      <c r="S88" s="11">
        <f>4401.62804273975/(10^3)</f>
        <v>4.4016280427397501</v>
      </c>
      <c r="T88" s="11">
        <f>4611.37432737559/(10^3)</f>
        <v>4.6113743273755903</v>
      </c>
      <c r="U88" s="11">
        <f>4554.29271019875/(10^3)</f>
        <v>4.5542927101987498</v>
      </c>
      <c r="V88" s="11">
        <f>4551.77873630078/(10^3)</f>
        <v>4.55177873630078</v>
      </c>
      <c r="W88" s="11">
        <f>452762.91386178/(10^3)</f>
        <v>452.76291386178002</v>
      </c>
      <c r="X88" s="11">
        <f>4659.06767908146/(10^3)</f>
        <v>4.6590676790814598</v>
      </c>
      <c r="Y88" s="11">
        <f>4744.70017055941/(10^3)</f>
        <v>4.7447001705594101</v>
      </c>
      <c r="Z88" s="11">
        <f>4967.75786990767/(10^3)</f>
        <v>4.9677578699076701</v>
      </c>
      <c r="AA88" s="11">
        <f>4893.26465890194/(10^3)</f>
        <v>4.8932646589019395</v>
      </c>
      <c r="AB88" s="11">
        <f>4876.7322296937/(10^3)</f>
        <v>4.8767322296937001</v>
      </c>
      <c r="AC88" s="11">
        <f>48.1753837060078/(10^3)</f>
        <v>4.8175383706007803E-2</v>
      </c>
      <c r="AD88" s="11">
        <f>4960.07349831614/(10^3)</f>
        <v>4.9600734983161399</v>
      </c>
      <c r="AE88" s="11">
        <f>4929.60339728609/(10^3)</f>
        <v>4.9296033972860895</v>
      </c>
      <c r="AF88" s="11">
        <f>4858.35683654567/(10^3)</f>
        <v>4.8583568365456706</v>
      </c>
      <c r="AG88" s="11">
        <f>5085.90021434882/(10^3)</f>
        <v>5.0859002143488192</v>
      </c>
      <c r="AH88" s="11">
        <f>5089.43221694043/(10^3)</f>
        <v>5.0894322169404305</v>
      </c>
      <c r="AI88" s="11">
        <f>512758.003128429/(10^3)</f>
        <v>512.75800312842898</v>
      </c>
      <c r="AJ88" s="11">
        <f>5119.78165440213/(10^3)</f>
        <v>5.1197816544021295</v>
      </c>
      <c r="AK88" s="11">
        <f>5163.16075901146/(10^3)</f>
        <v>5.1631607590114603</v>
      </c>
      <c r="AL88" s="11">
        <f>5074.98676844877/(10^3)</f>
        <v>5.0749867684487695</v>
      </c>
      <c r="AM88" s="11">
        <f>5051.04897197902/(10^3)</f>
        <v>5.0510489719790206</v>
      </c>
      <c r="AN88" s="11">
        <f>5027.088259342/(10^3)</f>
        <v>5.0270882593420003</v>
      </c>
      <c r="AO88" s="11">
        <f>49.3286426877827/(10^3)</f>
        <v>4.9328642687782698E-2</v>
      </c>
      <c r="AP88" s="11">
        <f>4907.69667772099/(10^3)</f>
        <v>4.9076966777209901</v>
      </c>
      <c r="AQ88" s="11">
        <f>4896.85614390351/(10^3)</f>
        <v>4.8968561439035101</v>
      </c>
      <c r="AR88" s="11">
        <f>4919.68291796552/(10^3)</f>
        <v>4.9196829179655195</v>
      </c>
      <c r="AS88" s="11">
        <f>4918.95497384122/(10^3)</f>
        <v>4.9189549738412195</v>
      </c>
      <c r="AT88" s="11">
        <f>4914.85520172302/(10^3)</f>
        <v>4.9148552017230207</v>
      </c>
      <c r="AU88" s="11">
        <f>514915.91825436/(10^3)</f>
        <v>514.91591825436001</v>
      </c>
      <c r="AV88" s="11">
        <f>5214.14335268576/(10^3)</f>
        <v>5.2141433526857597</v>
      </c>
      <c r="AW88" s="11">
        <f>5472.72732079847/(10^3)</f>
        <v>5.4727273207984704</v>
      </c>
      <c r="AX88" s="11">
        <f>5604.88071386377/(10^3)</f>
        <v>5.6048807138637704</v>
      </c>
      <c r="AY88" s="11">
        <f>5604.94446127861/(10^3)</f>
        <v>5.6049444612786097</v>
      </c>
      <c r="AZ88" s="11">
        <f>5496.41815826662/(10^3)</f>
        <v>5.4964181582666196</v>
      </c>
      <c r="BA88" s="11">
        <f>56.3739490791795/(10^3)</f>
        <v>5.6373949079179503E-2</v>
      </c>
      <c r="BB88" s="11">
        <f>5760.77290522859/(10^3)</f>
        <v>5.7607729052285901</v>
      </c>
      <c r="BC88" s="11">
        <f>5739.42868759313/(10^3)</f>
        <v>5.7394286875931302</v>
      </c>
      <c r="BD88" s="11">
        <f>5678.58590888545/(10^3)</f>
        <v>5.6785859088854505</v>
      </c>
      <c r="BE88" s="11">
        <f>5885.17694572843/(10^3)</f>
        <v>5.8851769457284302</v>
      </c>
      <c r="BF88" s="11">
        <f>6010.14581889524/(10^3)</f>
        <v>6.0101458188952401</v>
      </c>
      <c r="BG88" s="11">
        <f>623025.148525782/(10^3)</f>
        <v>623.02514852578201</v>
      </c>
      <c r="BH88" s="11">
        <f>6453.40888650706/(10^3)</f>
        <v>6.4534088865070602</v>
      </c>
      <c r="BI88" s="11">
        <f>6379.95672339383/(10^3)</f>
        <v>6.3799567233938292</v>
      </c>
      <c r="BJ88" s="11">
        <f>6367.38349658655/(10^3)</f>
        <v>6.3673834965865499</v>
      </c>
      <c r="BK88" s="11">
        <f>6378.84827502489/(10^3)</f>
        <v>6.3788482750248905</v>
      </c>
      <c r="BL88" s="11">
        <f>6677.2651490502/(10^3)</f>
        <v>6.6772651490502</v>
      </c>
      <c r="BM88" s="11">
        <f>66.114218057316/(10^3)</f>
        <v>6.6114218057316002E-2</v>
      </c>
      <c r="BN88" s="11">
        <f>6622.28258822834/(10^3)</f>
        <v>6.6222825882283392</v>
      </c>
      <c r="BO88" s="11">
        <f>6865.32371317313/(10^3)</f>
        <v>6.8653237131731304</v>
      </c>
      <c r="BP88" s="11">
        <f>7024.29421657527/(10^3)</f>
        <v>7.02429421657527</v>
      </c>
      <c r="BQ88" s="11">
        <f>7075.86199470945/(10^3)</f>
        <v>7.0758619947094505</v>
      </c>
      <c r="BR88" s="11">
        <f>7282.27110776871/(10^3)</f>
        <v>7.2822711077687101</v>
      </c>
      <c r="BS88" s="11">
        <f>716337.529716679/(10^3)</f>
        <v>716.337529716679</v>
      </c>
      <c r="BT88" s="11">
        <f>7306.63677379338/(10^3)</f>
        <v>7.3066367737933797</v>
      </c>
      <c r="BU88" s="11">
        <f>7557.36106983269/(10^3)</f>
        <v>7.5573610698326901</v>
      </c>
      <c r="BV88" s="11">
        <f>7449.53215097372/(10^3)</f>
        <v>7.4495321509737193</v>
      </c>
      <c r="BW88" s="11">
        <f>7568.53728224414/(10^3)</f>
        <v>7.5685372822441401</v>
      </c>
      <c r="BX88" s="11">
        <f>7787.51360534319/(10^3)</f>
        <v>7.7875136053431895</v>
      </c>
      <c r="BY88" s="11">
        <f>78.2224388364454/(10^3)</f>
        <v>7.8222438836445404E-2</v>
      </c>
      <c r="BZ88" s="11">
        <f>7822.24388364454/(10^3)</f>
        <v>7.82224388364454</v>
      </c>
      <c r="CA88" s="11">
        <f>8093.09436656413/(10^3)</f>
        <v>8.0930943665641291</v>
      </c>
      <c r="CB88" s="11">
        <f>8073.17343347902/(10^3)</f>
        <v>8.0731734334790204</v>
      </c>
      <c r="CC88" s="12"/>
      <c r="CZ88" s="11">
        <v>3.9963159835304323</v>
      </c>
      <c r="DA88" s="11">
        <v>4.8175383706007802</v>
      </c>
      <c r="DB88" s="11">
        <v>4.9328642687782684</v>
      </c>
      <c r="DC88" s="11">
        <v>5.6373949079179528</v>
      </c>
      <c r="DD88" s="11">
        <v>6.6114218057316041</v>
      </c>
      <c r="DE88" s="11">
        <v>7.8222438836445436</v>
      </c>
      <c r="DG88" s="11">
        <v>3.705041700924685</v>
      </c>
      <c r="DH88" s="11">
        <v>4.5276291386177965</v>
      </c>
      <c r="DI88" s="11">
        <v>5.1275800312842952</v>
      </c>
      <c r="DJ88" s="11">
        <v>5.1491591825436007</v>
      </c>
      <c r="DK88" s="11">
        <v>6.2302514852578197</v>
      </c>
      <c r="DL88" s="11">
        <v>7.1633752971667866</v>
      </c>
    </row>
    <row r="89" spans="4:116" ht="15.6" outlineLevel="1" x14ac:dyDescent="0.25">
      <c r="D89" s="10" t="s">
        <v>63</v>
      </c>
      <c r="E89" s="10" t="s">
        <v>14</v>
      </c>
      <c r="F89" s="10" t="s">
        <v>150</v>
      </c>
      <c r="G89" s="10" t="s">
        <v>182</v>
      </c>
      <c r="H89" s="62"/>
      <c r="I89" s="11"/>
      <c r="J89" s="11"/>
      <c r="K89" s="11"/>
      <c r="L89" s="11"/>
      <c r="M89" s="11"/>
      <c r="N89" s="11"/>
      <c r="O89" s="11">
        <f>3129.01498469202/(10^3)</f>
        <v>3.1290149846920197</v>
      </c>
      <c r="P89" s="11">
        <f>3211.06658661605/(10^3)</f>
        <v>3.2110665866160497</v>
      </c>
      <c r="Q89" s="11">
        <f>31.6103842786755/(10^3)</f>
        <v>3.1610384278675498E-2</v>
      </c>
      <c r="R89" s="11">
        <f>3317.369748748/(10^3)</f>
        <v>3.3173697487479998</v>
      </c>
      <c r="S89" s="11">
        <f>3412.87040734967/(10^3)</f>
        <v>3.4128704073496703</v>
      </c>
      <c r="T89" s="11">
        <f>3402.06205218566/(10^3)</f>
        <v>3.4020620521856597</v>
      </c>
      <c r="U89" s="11">
        <f>3569.66886922126/(10^3)</f>
        <v>3.5696688692212599</v>
      </c>
      <c r="V89" s="11">
        <f>3592.01517177546/(10^3)</f>
        <v>3.59201517177546</v>
      </c>
      <c r="W89" s="11">
        <f>353215.178983214/(10^3)</f>
        <v>353.215178983214</v>
      </c>
      <c r="X89" s="11">
        <f>3678.89452709454/(10^3)</f>
        <v>3.6788945270945401</v>
      </c>
      <c r="Y89" s="11">
        <f>3626.73898666082/(10^3)</f>
        <v>3.6267389866608202</v>
      </c>
      <c r="Z89" s="11">
        <f>3599.20032875765/(10^3)</f>
        <v>3.5992003287576497</v>
      </c>
      <c r="AA89" s="11">
        <f>3591.63064809528/(10^3)</f>
        <v>3.59163064809528</v>
      </c>
      <c r="AB89" s="11">
        <f>3587.96752077855/(10^3)</f>
        <v>3.58796752077855</v>
      </c>
      <c r="AC89" s="11">
        <f>36.2595812475158/(10^3)</f>
        <v>3.6259581247515799E-2</v>
      </c>
      <c r="AD89" s="11">
        <f>3623.1898931059/(10^3)</f>
        <v>3.6231898931058999</v>
      </c>
      <c r="AE89" s="11">
        <f>3648.03533897468/(10^3)</f>
        <v>3.64803533897468</v>
      </c>
      <c r="AF89" s="11">
        <f>3763.48995266014/(10^3)</f>
        <v>3.76348995266014</v>
      </c>
      <c r="AG89" s="11">
        <f>3737.25448507108/(10^3)</f>
        <v>3.7372544850710803</v>
      </c>
      <c r="AH89" s="11">
        <f>3897.31220607259/(10^3)</f>
        <v>3.89731220607259</v>
      </c>
      <c r="AI89" s="11">
        <f>382647.755694146/(10^3)</f>
        <v>382.64775569414599</v>
      </c>
      <c r="AJ89" s="11">
        <f>3811.5493101391/(10^3)</f>
        <v>3.8115493101391</v>
      </c>
      <c r="AK89" s="11">
        <f>3755.14467799315/(10^3)</f>
        <v>3.7551446779931497</v>
      </c>
      <c r="AL89" s="11">
        <f>3734.28803958099/(10^3)</f>
        <v>3.7342880395809899</v>
      </c>
      <c r="AM89" s="11">
        <f>3703.16619386521/(10^3)</f>
        <v>3.7031661938652101</v>
      </c>
      <c r="AN89" s="11">
        <f>3630.29298735939/(10^3)</f>
        <v>3.6302929873593897</v>
      </c>
      <c r="AO89" s="11">
        <f>35.9119281569662/(10^3)</f>
        <v>3.59119281569662E-2</v>
      </c>
      <c r="AP89" s="11">
        <f>3582.02966183797/(10^3)</f>
        <v>3.5820296618379697</v>
      </c>
      <c r="AQ89" s="11">
        <f>3540.52165536623/(10^3)</f>
        <v>3.5405216553662298</v>
      </c>
      <c r="AR89" s="11">
        <f>3549.4056062593/(10^3)</f>
        <v>3.5494056062592998</v>
      </c>
      <c r="AS89" s="11">
        <f>3603.19309884267/(10^3)</f>
        <v>3.6031930988426701</v>
      </c>
      <c r="AT89" s="11">
        <f>3678.77252683164/(10^3)</f>
        <v>3.67877252683164</v>
      </c>
      <c r="AU89" s="11">
        <f>365753.691280893/(10^3)</f>
        <v>365.75369128089301</v>
      </c>
      <c r="AV89" s="11">
        <f>3759.30812715639/(10^3)</f>
        <v>3.7593081271563902</v>
      </c>
      <c r="AW89" s="11">
        <f>3751.82412040988/(10^3)</f>
        <v>3.7518241204098799</v>
      </c>
      <c r="AX89" s="11">
        <f>3871.31981055566/(10^3)</f>
        <v>3.8713198105556597</v>
      </c>
      <c r="AY89" s="11">
        <f>3800.41117618627/(10^3)</f>
        <v>3.80041117618627</v>
      </c>
      <c r="AZ89" s="11">
        <f>3729.69226283811/(10^3)</f>
        <v>3.72969226283811</v>
      </c>
      <c r="BA89" s="11">
        <f>37.5860885294694/(10^3)</f>
        <v>3.7586088529469402E-2</v>
      </c>
      <c r="BB89" s="11">
        <f>3691.08121044745/(10^3)</f>
        <v>3.6910812104474497</v>
      </c>
      <c r="BC89" s="11">
        <f>3667.29826917623/(10^3)</f>
        <v>3.6672982691762299</v>
      </c>
      <c r="BD89" s="11">
        <f>3814.84713801991/(10^3)</f>
        <v>3.81484713801991</v>
      </c>
      <c r="BE89" s="11">
        <f>3897.74545210265/(10^3)</f>
        <v>3.89774545210265</v>
      </c>
      <c r="BF89" s="11">
        <f>3865.80652404421/(10^3)</f>
        <v>3.8658065240442103</v>
      </c>
      <c r="BG89" s="11">
        <f>405629.395654392/(10^3)</f>
        <v>405.629395654392</v>
      </c>
      <c r="BH89" s="11">
        <f>3992.32208504592/(10^3)</f>
        <v>3.9923220850459202</v>
      </c>
      <c r="BI89" s="11">
        <f>4088.86277166142/(10^3)</f>
        <v>4.0888627716614199</v>
      </c>
      <c r="BJ89" s="11">
        <f>4157.05238638603/(10^3)</f>
        <v>4.15705238638603</v>
      </c>
      <c r="BK89" s="11">
        <f>4094.96141216293/(10^3)</f>
        <v>4.0949614121629301</v>
      </c>
      <c r="BL89" s="11">
        <f>4072.58034439423/(10^3)</f>
        <v>4.0725803443942299</v>
      </c>
      <c r="BM89" s="11">
        <f>41.1663094026266/(10^3)</f>
        <v>4.1166309402626604E-2</v>
      </c>
      <c r="BN89" s="11">
        <f>4093.2832038099/(10^3)</f>
        <v>4.0932832038099001</v>
      </c>
      <c r="BO89" s="11">
        <f>4026.89129410206/(10^3)</f>
        <v>4.02689129410206</v>
      </c>
      <c r="BP89" s="11">
        <f>4084.19137708927/(10^3)</f>
        <v>4.0841913770892706</v>
      </c>
      <c r="BQ89" s="11">
        <f>4285.4338481999/(10^3)</f>
        <v>4.2854338481998999</v>
      </c>
      <c r="BR89" s="11">
        <f>4318.49952055739/(10^3)</f>
        <v>4.3184995205573893</v>
      </c>
      <c r="BS89" s="11">
        <f>451913.982985434/(10^3)</f>
        <v>451.91398298543402</v>
      </c>
      <c r="BT89" s="11">
        <f>4685.79467485342/(10^3)</f>
        <v>4.6857946748534198</v>
      </c>
      <c r="BU89" s="11">
        <f>4868.38707041054/(10^3)</f>
        <v>4.8683870704105399</v>
      </c>
      <c r="BV89" s="11">
        <f>4871.36673377971/(10^3)</f>
        <v>4.87136673377971</v>
      </c>
      <c r="BW89" s="11">
        <f>4863.85207538724/(10^3)</f>
        <v>4.8638520753872401</v>
      </c>
      <c r="BX89" s="11">
        <f>5007.83114308937/(10^3)</f>
        <v>5.0078311430893701</v>
      </c>
      <c r="BY89" s="11">
        <f>51.7657991601237/(10^3)</f>
        <v>5.17657991601237E-2</v>
      </c>
      <c r="BZ89" s="11">
        <f>5176.57991601238/(10^3)</f>
        <v>5.17657991601238</v>
      </c>
      <c r="CA89" s="11">
        <f>5204.32054264709/(10^3)</f>
        <v>5.20432054264709</v>
      </c>
      <c r="CB89" s="11">
        <f>5260.5039118843/(10^3)</f>
        <v>5.2605039118842996</v>
      </c>
      <c r="CC89" s="12"/>
      <c r="CZ89" s="11">
        <v>3.1610384278675459</v>
      </c>
      <c r="DA89" s="11">
        <v>3.6259581247515831</v>
      </c>
      <c r="DB89" s="11">
        <v>3.5911928156966231</v>
      </c>
      <c r="DC89" s="11">
        <v>3.758608852946939</v>
      </c>
      <c r="DD89" s="11">
        <v>4.1166309402626595</v>
      </c>
      <c r="DE89" s="11">
        <v>5.1765799160123755</v>
      </c>
      <c r="DG89" s="11">
        <v>3.09526343668617</v>
      </c>
      <c r="DH89" s="11">
        <v>3.5321517898321417</v>
      </c>
      <c r="DI89" s="11">
        <v>3.8264775569414606</v>
      </c>
      <c r="DJ89" s="11">
        <v>3.6575369128089261</v>
      </c>
      <c r="DK89" s="11">
        <v>4.0562939565439189</v>
      </c>
      <c r="DL89" s="11">
        <v>4.5191398298543408</v>
      </c>
    </row>
    <row r="90" spans="4:116" ht="15.6" outlineLevel="1" x14ac:dyDescent="0.25">
      <c r="D90" s="10" t="s">
        <v>65</v>
      </c>
      <c r="E90" s="10" t="s">
        <v>64</v>
      </c>
      <c r="F90" s="10" t="s">
        <v>150</v>
      </c>
      <c r="G90" s="10" t="s">
        <v>182</v>
      </c>
      <c r="H90" s="62"/>
      <c r="I90" s="11">
        <f>10700.0367321067/(10^3)</f>
        <v>10.700036732106701</v>
      </c>
      <c r="J90" s="11">
        <f>11139.5347336821/(10^3)</f>
        <v>11.139534733682099</v>
      </c>
      <c r="K90" s="11">
        <f>1167403.14131584/(10^3)</f>
        <v>1167.40314131584</v>
      </c>
      <c r="L90" s="11">
        <f>11883.1514390068/(10^3)</f>
        <v>11.8831514390068</v>
      </c>
      <c r="M90" s="11">
        <f>12282.1119746874/(10^3)</f>
        <v>12.2821119746874</v>
      </c>
      <c r="N90" s="11">
        <f>12636.3437317278/(10^3)</f>
        <v>12.6363437317278</v>
      </c>
      <c r="O90" s="11">
        <f>12718.2146549008/(10^3)</f>
        <v>12.7182146549008</v>
      </c>
      <c r="P90" s="11">
        <f>12532.4435044797/(10^3)</f>
        <v>12.5324435044797</v>
      </c>
      <c r="Q90" s="11">
        <f>129.82484316506/(10^3)</f>
        <v>0.12982484316505999</v>
      </c>
      <c r="R90" s="11">
        <f>12986.3072963049/(10^3)</f>
        <v>12.986307296304901</v>
      </c>
      <c r="S90" s="11">
        <f>13547.2437130766/(10^3)</f>
        <v>13.547243713076599</v>
      </c>
      <c r="T90" s="11">
        <f>13334.9551179712/(10^3)</f>
        <v>13.3349551179712</v>
      </c>
      <c r="U90" s="11">
        <f>13262.8695351078/(10^3)</f>
        <v>13.2628695351078</v>
      </c>
      <c r="V90" s="11">
        <f>13240.3812688222/(10^3)</f>
        <v>13.240381268822201</v>
      </c>
      <c r="W90" s="11">
        <f>1315047.39305927/(10^3)</f>
        <v>1315.04739305927</v>
      </c>
      <c r="X90" s="11">
        <f>13142.6991717374/(10^3)</f>
        <v>13.1426991717374</v>
      </c>
      <c r="Y90" s="11">
        <f>12941.0622414889/(10^3)</f>
        <v>12.9410622414889</v>
      </c>
      <c r="Z90" s="11">
        <f>13386.9096052066/(10^3)</f>
        <v>13.386909605206601</v>
      </c>
      <c r="AA90" s="11">
        <f>14031.9336438831/(10^3)</f>
        <v>14.0319336438831</v>
      </c>
      <c r="AB90" s="11">
        <f>13852.3946795136/(10^3)</f>
        <v>13.852394679513599</v>
      </c>
      <c r="AC90" s="11">
        <f>136.516347808124/(10^3)</f>
        <v>0.13651634780812402</v>
      </c>
      <c r="AD90" s="11">
        <f>13433.2984358916/(10^3)</f>
        <v>13.433298435891601</v>
      </c>
      <c r="AE90" s="11">
        <f>13877.2156343867/(10^3)</f>
        <v>13.877215634386699</v>
      </c>
      <c r="AF90" s="11">
        <f>13661.2284177018/(10^3)</f>
        <v>13.6612284177018</v>
      </c>
      <c r="AG90" s="11">
        <f>13732.3272558571/(10^3)</f>
        <v>13.732327255857101</v>
      </c>
      <c r="AH90" s="11">
        <f>13622.9241136633/(10^3)</f>
        <v>13.6229241136633</v>
      </c>
      <c r="AI90" s="11">
        <f>1358644.40095546/(10^3)</f>
        <v>1358.64440095546</v>
      </c>
      <c r="AJ90" s="11">
        <f>14199.4392566327/(10^3)</f>
        <v>14.199439256632701</v>
      </c>
      <c r="AK90" s="11">
        <f>14137.6520073972/(10^3)</f>
        <v>14.1376520073972</v>
      </c>
      <c r="AL90" s="11">
        <f>14360.8588827403/(10^3)</f>
        <v>14.360858882740301</v>
      </c>
      <c r="AM90" s="11">
        <f>14087.2439221503/(10^3)</f>
        <v>14.087243922150298</v>
      </c>
      <c r="AN90" s="11">
        <f>13962.4712933734/(10^3)</f>
        <v>13.962471293373401</v>
      </c>
      <c r="AO90" s="11">
        <f>137.525490155621/(10^3)</f>
        <v>0.13752549015562099</v>
      </c>
      <c r="AP90" s="11">
        <f>13961.0926040331/(10^3)</f>
        <v>13.9610926040331</v>
      </c>
      <c r="AQ90" s="11">
        <f>13858.8089193377/(10^3)</f>
        <v>13.858808919337701</v>
      </c>
      <c r="AR90" s="11">
        <f>13797.0435492301/(10^3)</f>
        <v>13.7970435492301</v>
      </c>
      <c r="AS90" s="11">
        <f>13899.1438361698/(10^3)</f>
        <v>13.899143836169801</v>
      </c>
      <c r="AT90" s="11">
        <f>13925.3973254826/(10^3)</f>
        <v>13.925397325482599</v>
      </c>
      <c r="AU90" s="11">
        <f>1393046.87981538/(10^3)</f>
        <v>1393.0468798153802</v>
      </c>
      <c r="AV90" s="11">
        <f>13794.7781921198/(10^3)</f>
        <v>13.7947781921198</v>
      </c>
      <c r="AW90" s="11">
        <f>13575.2034064181/(10^3)</f>
        <v>13.575203406418101</v>
      </c>
      <c r="AX90" s="11">
        <f>13559.6552213792/(10^3)</f>
        <v>13.559655221379201</v>
      </c>
      <c r="AY90" s="11">
        <f>13290.8919919695/(10^3)</f>
        <v>13.290891991969501</v>
      </c>
      <c r="AZ90" s="11">
        <f>13195.3723635271/(10^3)</f>
        <v>13.195372363527101</v>
      </c>
      <c r="BA90" s="11">
        <f>132.147002107161/(10^3)</f>
        <v>0.13214700210716099</v>
      </c>
      <c r="BB90" s="11">
        <f>13441.9322163689/(10^3)</f>
        <v>13.441932216368899</v>
      </c>
      <c r="BC90" s="11">
        <f>13542.8338129434/(10^3)</f>
        <v>13.5428338129434</v>
      </c>
      <c r="BD90" s="11">
        <f>13607.0239414511/(10^3)</f>
        <v>13.6070239414511</v>
      </c>
      <c r="BE90" s="11">
        <f>13390.7544575893/(10^3)</f>
        <v>13.390754457589301</v>
      </c>
      <c r="BF90" s="11">
        <f>13720.8341614655/(10^3)</f>
        <v>13.720834161465501</v>
      </c>
      <c r="BG90" s="11">
        <f>1418868.92402137/(10^3)</f>
        <v>1418.86892402137</v>
      </c>
      <c r="BH90" s="11">
        <f>14176.9953562718/(10^3)</f>
        <v>14.176995356271799</v>
      </c>
      <c r="BI90" s="11">
        <f>14217.3590506146/(10^3)</f>
        <v>14.217359050614599</v>
      </c>
      <c r="BJ90" s="11">
        <f>14262.3766292611/(10^3)</f>
        <v>14.2623766292611</v>
      </c>
      <c r="BK90" s="11">
        <f>14578.9234043834/(10^3)</f>
        <v>14.578923404383401</v>
      </c>
      <c r="BL90" s="11">
        <f>15081.0998923873/(10^3)</f>
        <v>15.0810998923873</v>
      </c>
      <c r="BM90" s="11">
        <f>148.199352403071/(10^3)</f>
        <v>0.148199352403071</v>
      </c>
      <c r="BN90" s="11">
        <f>15507.3035747501/(10^3)</f>
        <v>15.5073035747501</v>
      </c>
      <c r="BO90" s="11">
        <f>16059.1235998018/(10^3)</f>
        <v>16.059123599801801</v>
      </c>
      <c r="BP90" s="11">
        <f>16125.7149416829/(10^3)</f>
        <v>16.125714941682901</v>
      </c>
      <c r="BQ90" s="11">
        <f>16610.2435636094/(10^3)</f>
        <v>16.610243563609401</v>
      </c>
      <c r="BR90" s="11">
        <f>16955.4565089324/(10^3)</f>
        <v>16.9554565089324</v>
      </c>
      <c r="BS90" s="11">
        <f>1760995.426687/(10^3)</f>
        <v>1760.9954266870002</v>
      </c>
      <c r="BT90" s="11">
        <f>17696.2447537213/(10^3)</f>
        <v>17.696244753721302</v>
      </c>
      <c r="BU90" s="11">
        <f>17362.9778642203/(10^3)</f>
        <v>17.362977864220298</v>
      </c>
      <c r="BV90" s="11">
        <f>17220.8437942379/(10^3)</f>
        <v>17.220843794237897</v>
      </c>
      <c r="BW90" s="11">
        <f>17977.0048068133/(10^3)</f>
        <v>17.977004806813301</v>
      </c>
      <c r="BX90" s="11">
        <f>17659.8371190015/(10^3)</f>
        <v>17.659837119001498</v>
      </c>
      <c r="BY90" s="11">
        <f>177.793767793031/(10^3)</f>
        <v>0.17779376779303102</v>
      </c>
      <c r="BZ90" s="11">
        <f>17779.3767793031/(10^3)</f>
        <v>17.779376779303099</v>
      </c>
      <c r="CA90" s="11">
        <f>18198.6012141417/(10^3)</f>
        <v>18.1986012141417</v>
      </c>
      <c r="CB90" s="11">
        <f>18244.7480243743/(10^3)</f>
        <v>18.244748024374299</v>
      </c>
      <c r="CC90" s="12"/>
      <c r="CZ90" s="11">
        <v>12.982484316506028</v>
      </c>
      <c r="DA90" s="11">
        <v>13.651634780812385</v>
      </c>
      <c r="DB90" s="11">
        <v>13.752549015562064</v>
      </c>
      <c r="DC90" s="11">
        <v>13.214700210716105</v>
      </c>
      <c r="DD90" s="11">
        <v>14.819935240307087</v>
      </c>
      <c r="DE90" s="11">
        <v>17.779376779303096</v>
      </c>
      <c r="DG90" s="11">
        <v>11.674031413158438</v>
      </c>
      <c r="DH90" s="11">
        <v>13.150473930592653</v>
      </c>
      <c r="DI90" s="11">
        <v>13.58644400955461</v>
      </c>
      <c r="DJ90" s="11">
        <v>13.930468798153814</v>
      </c>
      <c r="DK90" s="11">
        <v>14.188689240213748</v>
      </c>
      <c r="DL90" s="11">
        <v>17.609954266870037</v>
      </c>
    </row>
    <row r="91" spans="4:116" ht="15.6" outlineLevel="1" x14ac:dyDescent="0.25">
      <c r="D91" s="10" t="s">
        <v>66</v>
      </c>
      <c r="E91" s="10" t="s">
        <v>41</v>
      </c>
      <c r="F91" s="10" t="s">
        <v>149</v>
      </c>
      <c r="G91" s="10" t="s">
        <v>182</v>
      </c>
      <c r="H91" s="62"/>
      <c r="I91" s="11">
        <f>8324.36430211968/(10^3)</f>
        <v>8.3243643021196796</v>
      </c>
      <c r="J91" s="11">
        <f>8236.86919598423/(10^3)</f>
        <v>8.2368691959842302</v>
      </c>
      <c r="K91" s="11">
        <f>862515.369487852/(10^3)</f>
        <v>862.51536948785201</v>
      </c>
      <c r="L91" s="11">
        <f>8848.66361986284/(10^3)</f>
        <v>8.8486636198628403</v>
      </c>
      <c r="M91" s="11">
        <f>8999.72496854869/(10^3)</f>
        <v>8.9997249685486889</v>
      </c>
      <c r="N91" s="11">
        <f>9130.25651913729/(10^3)</f>
        <v>9.1302565191372906</v>
      </c>
      <c r="O91" s="11">
        <f>9462.86819643079/(10^3)</f>
        <v>9.4628681964307901</v>
      </c>
      <c r="P91" s="11">
        <f>9785.49141205523/(10^3)</f>
        <v>9.7854914120552294</v>
      </c>
      <c r="Q91" s="11">
        <f>98.2170645553978/(10^3)</f>
        <v>9.8217064555397804E-2</v>
      </c>
      <c r="R91" s="11">
        <f>10240.8504439219/(10^3)</f>
        <v>10.2408504439219</v>
      </c>
      <c r="S91" s="11">
        <f>10175.8509322949/(10^3)</f>
        <v>10.1758509322949</v>
      </c>
      <c r="T91" s="11">
        <f>10112.886587637/(10^3)</f>
        <v>10.112886587637</v>
      </c>
      <c r="U91" s="11">
        <f>9912.93699376745/(10^3)</f>
        <v>9.912936993767449</v>
      </c>
      <c r="V91" s="11">
        <f>10064.9616643781/(10^3)</f>
        <v>10.064961664378099</v>
      </c>
      <c r="W91" s="11">
        <f>1038057.89519563/(10^3)</f>
        <v>1038.05789519563</v>
      </c>
      <c r="X91" s="11">
        <f>10246.6202609759/(10^3)</f>
        <v>10.246620260975901</v>
      </c>
      <c r="Y91" s="11">
        <f>10486.5779398128/(10^3)</f>
        <v>10.486577939812801</v>
      </c>
      <c r="Z91" s="11">
        <f>10533.7005547959/(10^3)</f>
        <v>10.5337005547959</v>
      </c>
      <c r="AA91" s="11">
        <f>10495.8880317522/(10^3)</f>
        <v>10.4958880317522</v>
      </c>
      <c r="AB91" s="11">
        <f>10308.0419977662/(10^3)</f>
        <v>10.3080419977662</v>
      </c>
      <c r="AC91" s="11">
        <f>103.364781229905/(10^3)</f>
        <v>0.103364781229905</v>
      </c>
      <c r="AD91" s="11">
        <f>10156.304615994/(10^3)</f>
        <v>10.156304615994001</v>
      </c>
      <c r="AE91" s="11">
        <f>10147.6529382544/(10^3)</f>
        <v>10.147652938254399</v>
      </c>
      <c r="AF91" s="11">
        <f>10015.8827920556/(10^3)</f>
        <v>10.015882792055599</v>
      </c>
      <c r="AG91" s="11">
        <f>9909.29271128824/(10^3)</f>
        <v>9.9092927112882414</v>
      </c>
      <c r="AH91" s="11">
        <f>9860.28487907833/(10^3)</f>
        <v>9.8602848790783302</v>
      </c>
      <c r="AI91" s="11">
        <f>970215.301482199/(10^3)</f>
        <v>970.21530148219904</v>
      </c>
      <c r="AJ91" s="11">
        <f>9900.2628995847/(10^3)</f>
        <v>9.9002628995847015</v>
      </c>
      <c r="AK91" s="11">
        <f>9725.86473733096/(10^3)</f>
        <v>9.7258647373309604</v>
      </c>
      <c r="AL91" s="11">
        <f>9850.57238510949/(10^3)</f>
        <v>9.8505723851094906</v>
      </c>
      <c r="AM91" s="11">
        <f>9891.98014472213/(10^3)</f>
        <v>9.8919801447221314</v>
      </c>
      <c r="AN91" s="11">
        <f>9733.54570721135/(10^3)</f>
        <v>9.7335457072113503</v>
      </c>
      <c r="AO91" s="11">
        <f>95.697749964211/(10^3)</f>
        <v>9.5697749964211001E-2</v>
      </c>
      <c r="AP91" s="11">
        <f>9471.10496051838/(10^3)</f>
        <v>9.4711049605183799</v>
      </c>
      <c r="AQ91" s="11">
        <f>9329.6142056529/(10^3)</f>
        <v>9.3296142056529003</v>
      </c>
      <c r="AR91" s="11">
        <f>9352.6946662435/(10^3)</f>
        <v>9.3526946662435009</v>
      </c>
      <c r="AS91" s="11">
        <f>9242.9408633612/(10^3)</f>
        <v>9.2429408633612002</v>
      </c>
      <c r="AT91" s="11">
        <f>9531.17876994431/(10^3)</f>
        <v>9.5311787699443098</v>
      </c>
      <c r="AU91" s="11">
        <f>935090.073629946/(10^3)</f>
        <v>935.090073629946</v>
      </c>
      <c r="AV91" s="11">
        <f>9772.59416890491/(10^3)</f>
        <v>9.7725941689049112</v>
      </c>
      <c r="AW91" s="11">
        <f>9649.12995499727/(10^3)</f>
        <v>9.6491299549972709</v>
      </c>
      <c r="AX91" s="11">
        <f>9572.65654539379/(10^3)</f>
        <v>9.5726565453937891</v>
      </c>
      <c r="AY91" s="11">
        <f>9953.56553134002/(10^3)</f>
        <v>9.9535655313400202</v>
      </c>
      <c r="AZ91" s="11">
        <f>9788.41192135289/(10^3)</f>
        <v>9.7884119213528908</v>
      </c>
      <c r="BA91" s="11">
        <f>98.7364039014161/(10^3)</f>
        <v>9.8736403901416095E-2</v>
      </c>
      <c r="BB91" s="11">
        <f>10099.4235110226/(10^3)</f>
        <v>10.0994235110226</v>
      </c>
      <c r="BC91" s="11">
        <f>10082.9513203694/(10^3)</f>
        <v>10.0829513203694</v>
      </c>
      <c r="BD91" s="11">
        <f>10357.0206668432/(10^3)</f>
        <v>10.3570206668432</v>
      </c>
      <c r="BE91" s="11">
        <f>10200.2109703705/(10^3)</f>
        <v>10.200210970370499</v>
      </c>
      <c r="BF91" s="11">
        <f>10010.7819108282/(10^3)</f>
        <v>10.0107819108282</v>
      </c>
      <c r="BG91" s="11">
        <f>1002188.53146828/(10^3)</f>
        <v>1002.18853146828</v>
      </c>
      <c r="BH91" s="11">
        <f>10169.0598682862/(10^3)</f>
        <v>10.169059868286199</v>
      </c>
      <c r="BI91" s="11">
        <f>10318.7259799957/(10^3)</f>
        <v>10.318725979995699</v>
      </c>
      <c r="BJ91" s="11">
        <f>10221.8842608741/(10^3)</f>
        <v>10.2218842608741</v>
      </c>
      <c r="BK91" s="11">
        <f>10416.0510641964/(10^3)</f>
        <v>10.416051064196399</v>
      </c>
      <c r="BL91" s="11">
        <f>10649.8197790862/(10^3)</f>
        <v>10.649819779086199</v>
      </c>
      <c r="BM91" s="11">
        <f>110.25372058634/(10^3)</f>
        <v>0.11025372058633999</v>
      </c>
      <c r="BN91" s="11">
        <f>10836.3878964636/(10^3)</f>
        <v>10.8363878964636</v>
      </c>
      <c r="BO91" s="11">
        <f>11311.3304926612/(10^3)</f>
        <v>11.311330492661201</v>
      </c>
      <c r="BP91" s="11">
        <f>11377.1734085647/(10^3)</f>
        <v>11.377173408564701</v>
      </c>
      <c r="BQ91" s="11">
        <f>11920.6027700181/(10^3)</f>
        <v>11.9206027700181</v>
      </c>
      <c r="BR91" s="11">
        <f>12187.393120022/(10^3)</f>
        <v>12.187393120022</v>
      </c>
      <c r="BS91" s="11">
        <f>1259292.64570267/(10^3)</f>
        <v>1259.2926457026701</v>
      </c>
      <c r="BT91" s="11">
        <f>13006.7222041546/(10^3)</f>
        <v>13.006722204154599</v>
      </c>
      <c r="BU91" s="11">
        <f>13328.3568843865/(10^3)</f>
        <v>13.328356884386499</v>
      </c>
      <c r="BV91" s="11">
        <f>13516.007723903/(10^3)</f>
        <v>13.516007723903</v>
      </c>
      <c r="BW91" s="11">
        <f>13780.4772629383/(10^3)</f>
        <v>13.7804772629383</v>
      </c>
      <c r="BX91" s="11">
        <f>13879.2171926224/(10^3)</f>
        <v>13.8792171926224</v>
      </c>
      <c r="BY91" s="11">
        <f>142.288971248002/(10^3)</f>
        <v>0.14228897124800202</v>
      </c>
      <c r="BZ91" s="11">
        <f>14228.8971248002/(10^3)</f>
        <v>14.2288971248002</v>
      </c>
      <c r="CA91" s="11">
        <f>14398.7254782117/(10^3)</f>
        <v>14.3987254782117</v>
      </c>
      <c r="CB91" s="11">
        <f>14753.1265457582/(10^3)</f>
        <v>14.753126545758199</v>
      </c>
      <c r="CC91" s="12"/>
      <c r="CZ91" s="11">
        <v>9.8217064555397755</v>
      </c>
      <c r="DA91" s="11">
        <v>10.336478122990497</v>
      </c>
      <c r="DB91" s="11">
        <v>9.5697749964210974</v>
      </c>
      <c r="DC91" s="11">
        <v>9.8736403901416061</v>
      </c>
      <c r="DD91" s="11">
        <v>11.025372058633984</v>
      </c>
      <c r="DE91" s="11">
        <v>14.228897124800222</v>
      </c>
      <c r="DG91" s="11">
        <v>8.6251536948785184</v>
      </c>
      <c r="DH91" s="11">
        <v>10.380578951956293</v>
      </c>
      <c r="DI91" s="11">
        <v>9.7021530148219881</v>
      </c>
      <c r="DJ91" s="11">
        <v>9.3509007362994616</v>
      </c>
      <c r="DK91" s="11">
        <v>10.021885314682754</v>
      </c>
      <c r="DL91" s="11">
        <v>12.592926457026687</v>
      </c>
    </row>
    <row r="92" spans="4:116" ht="15.6" outlineLevel="1" x14ac:dyDescent="0.25">
      <c r="D92" s="10" t="s">
        <v>68</v>
      </c>
      <c r="E92" s="10" t="s">
        <v>67</v>
      </c>
      <c r="F92" s="10" t="s">
        <v>149</v>
      </c>
      <c r="G92" s="10" t="s">
        <v>182</v>
      </c>
      <c r="H92" s="62"/>
      <c r="I92" s="11">
        <f>45990.4614894231/(10^3)</f>
        <v>45.990461489423097</v>
      </c>
      <c r="J92" s="11">
        <f>47787.9377525666/(10^3)</f>
        <v>47.787937752566599</v>
      </c>
      <c r="K92" s="11">
        <f>4875775.35274233/(10^3)</f>
        <v>4875.7753527423301</v>
      </c>
      <c r="L92" s="11">
        <f>50108.3053678092/(10^3)</f>
        <v>50.108305367809194</v>
      </c>
      <c r="M92" s="11">
        <f>49553.6200669817/(10^3)</f>
        <v>49.553620066981701</v>
      </c>
      <c r="N92" s="11">
        <f>51151.1833984268/(10^3)</f>
        <v>51.151183398426802</v>
      </c>
      <c r="O92" s="11">
        <f>50834.7030698089/(10^3)</f>
        <v>50.834703069808903</v>
      </c>
      <c r="P92" s="11">
        <f>51283.3075184373/(10^3)</f>
        <v>51.283307518437304</v>
      </c>
      <c r="Q92" s="11">
        <f>509.122330697244/(10^3)</f>
        <v>0.509122330697244</v>
      </c>
      <c r="R92" s="11">
        <f>50082.5506212859/(10^3)</f>
        <v>50.082550621285904</v>
      </c>
      <c r="S92" s="11">
        <f>51719.0406640271/(10^3)</f>
        <v>51.719040664027105</v>
      </c>
      <c r="T92" s="11">
        <f>53549.0738201097/(10^3)</f>
        <v>53.549073820109697</v>
      </c>
      <c r="U92" s="11">
        <f>53341.7881784128/(10^3)</f>
        <v>53.341788178412799</v>
      </c>
      <c r="V92" s="11">
        <f>52478.6571774872/(10^3)</f>
        <v>52.4786571774872</v>
      </c>
      <c r="W92" s="11">
        <f>5177420.68334138/(10^3)</f>
        <v>5177.42068334138</v>
      </c>
      <c r="X92" s="11">
        <f>50860.6059046004/(10^3)</f>
        <v>50.860605904600398</v>
      </c>
      <c r="Y92" s="11">
        <f>52663.358713957/(10^3)</f>
        <v>52.663358713957003</v>
      </c>
      <c r="Z92" s="11">
        <f>52370.1262546679/(10^3)</f>
        <v>52.370126254667902</v>
      </c>
      <c r="AA92" s="11">
        <f>54374.2450005561/(10^3)</f>
        <v>54.374245000556094</v>
      </c>
      <c r="AB92" s="11">
        <f>53581.9974805242/(10^3)</f>
        <v>53.581997480524201</v>
      </c>
      <c r="AC92" s="11">
        <f>538.698077098839/(10^3)</f>
        <v>0.53869807709883899</v>
      </c>
      <c r="AD92" s="11">
        <f>56378.882237834/(10^3)</f>
        <v>56.378882237833999</v>
      </c>
      <c r="AE92" s="11">
        <f>57304.8888287778/(10^3)</f>
        <v>57.304888828777806</v>
      </c>
      <c r="AF92" s="11">
        <f>57214.0917158949/(10^3)</f>
        <v>57.214091715894902</v>
      </c>
      <c r="AG92" s="11">
        <f>56125.2831184771/(10^3)</f>
        <v>56.1252831184771</v>
      </c>
      <c r="AH92" s="11">
        <f>56057.6479381102/(10^3)</f>
        <v>56.0576479381102</v>
      </c>
      <c r="AI92" s="11">
        <f>5575582.51423272/(10^3)</f>
        <v>5575.5825142327203</v>
      </c>
      <c r="AJ92" s="11">
        <f>55663.9308503211/(10^3)</f>
        <v>55.663930850321101</v>
      </c>
      <c r="AK92" s="11">
        <f>56877.3029951879/(10^3)</f>
        <v>56.877302995187897</v>
      </c>
      <c r="AL92" s="11">
        <f>56634.8530965194/(10^3)</f>
        <v>56.6348530965194</v>
      </c>
      <c r="AM92" s="11">
        <f>55830.3096513797/(10^3)</f>
        <v>55.8303096513797</v>
      </c>
      <c r="AN92" s="11">
        <f>55696.1770975212/(10^3)</f>
        <v>55.6961770975212</v>
      </c>
      <c r="AO92" s="11">
        <f>567.967860728459/(10^3)</f>
        <v>0.56796786072845895</v>
      </c>
      <c r="AP92" s="11">
        <f>58987.0139493613/(10^3)</f>
        <v>58.987013949361305</v>
      </c>
      <c r="AQ92" s="11">
        <f>58205.2944479177/(10^3)</f>
        <v>58.205294447917701</v>
      </c>
      <c r="AR92" s="11">
        <f>57118.3265887517/(10^3)</f>
        <v>57.1183265887517</v>
      </c>
      <c r="AS92" s="11">
        <f>57478.2583967527/(10^3)</f>
        <v>57.4782583967527</v>
      </c>
      <c r="AT92" s="11">
        <f>56900.7487045345/(10^3)</f>
        <v>56.9007487045345</v>
      </c>
      <c r="AU92" s="11">
        <f>5677139.05087653/(10^3)</f>
        <v>5677.1390508765298</v>
      </c>
      <c r="AV92" s="11">
        <f>57922.8895482065/(10^3)</f>
        <v>57.922889548206498</v>
      </c>
      <c r="AW92" s="11">
        <f>58842.3126972331/(10^3)</f>
        <v>58.842312697233098</v>
      </c>
      <c r="AX92" s="11">
        <f>60903.5659970642/(10^3)</f>
        <v>60.903565997064199</v>
      </c>
      <c r="AY92" s="11">
        <f>60001.6197929946/(10^3)</f>
        <v>60.001619792994596</v>
      </c>
      <c r="AZ92" s="11">
        <f>58954.0029609675/(10^3)</f>
        <v>58.954002960967493</v>
      </c>
      <c r="BA92" s="11">
        <f>598.590534094711/(10^3)</f>
        <v>0.59859053409471097</v>
      </c>
      <c r="BB92" s="11">
        <f>59519.8675353698/(10^3)</f>
        <v>59.519867535369798</v>
      </c>
      <c r="BC92" s="11">
        <f>58516.5083645728/(10^3)</f>
        <v>58.5165083645728</v>
      </c>
      <c r="BD92" s="11">
        <f>58801.6382863179/(10^3)</f>
        <v>58.801638286317903</v>
      </c>
      <c r="BE92" s="11">
        <f>60355.6293406137/(10^3)</f>
        <v>60.355629340613696</v>
      </c>
      <c r="BF92" s="11">
        <f>61287.5163297423/(10^3)</f>
        <v>61.287516329742296</v>
      </c>
      <c r="BG92" s="11">
        <f>6216179.63136454/(10^3)</f>
        <v>6216.17963136454</v>
      </c>
      <c r="BH92" s="11">
        <f>61241.7298013528/(10^3)</f>
        <v>61.241729801352797</v>
      </c>
      <c r="BI92" s="11">
        <f>60593.8189654945/(10^3)</f>
        <v>60.593818965494499</v>
      </c>
      <c r="BJ92" s="11">
        <f>59841.8676425643/(10^3)</f>
        <v>59.841867642564296</v>
      </c>
      <c r="BK92" s="11">
        <f>62104.8780093822/(10^3)</f>
        <v>62.104878009382197</v>
      </c>
      <c r="BL92" s="11">
        <f>61630.9303636676/(10^3)</f>
        <v>61.630930363667595</v>
      </c>
      <c r="BM92" s="11">
        <f>639.824912289179/(10^3)</f>
        <v>0.63982491228917904</v>
      </c>
      <c r="BN92" s="11">
        <f>63993.8623474649/(10^3)</f>
        <v>63.993862347464898</v>
      </c>
      <c r="BO92" s="11">
        <f>64187.8153874913/(10^3)</f>
        <v>64.187815387491298</v>
      </c>
      <c r="BP92" s="11">
        <f>67240.0348433884/(10^3)</f>
        <v>67.240034843388401</v>
      </c>
      <c r="BQ92" s="11">
        <f>66046.8363952506/(10^3)</f>
        <v>66.046836395250608</v>
      </c>
      <c r="BR92" s="11">
        <f>64928.2333846798/(10^3)</f>
        <v>64.9282333846798</v>
      </c>
      <c r="BS92" s="11">
        <f>6798100.44456944/(10^3)</f>
        <v>6798.1004445694398</v>
      </c>
      <c r="BT92" s="11">
        <f>67440.4098637659/(10^3)</f>
        <v>67.440409863765908</v>
      </c>
      <c r="BU92" s="11">
        <f>68405.9335276821/(10^3)</f>
        <v>68.405933527682095</v>
      </c>
      <c r="BV92" s="11">
        <f>67161.266680906/(10^3)</f>
        <v>67.161266680905996</v>
      </c>
      <c r="BW92" s="11">
        <f>67313.4002736341/(10^3)</f>
        <v>67.313400273634102</v>
      </c>
      <c r="BX92" s="11">
        <f>67380.5005006226/(10^3)</f>
        <v>67.380500500622603</v>
      </c>
      <c r="BY92" s="11">
        <f>698.171024265729/(10^3)</f>
        <v>0.69817102426572897</v>
      </c>
      <c r="BZ92" s="11">
        <f>69817.1024265729/(10^3)</f>
        <v>69.817102426572902</v>
      </c>
      <c r="CA92" s="11">
        <f>70906.0990522833/(10^3)</f>
        <v>70.906099052283295</v>
      </c>
      <c r="CB92" s="11">
        <f>74276.1481353842/(10^3)</f>
        <v>74.27614813538419</v>
      </c>
      <c r="CC92" s="12"/>
      <c r="CZ92" s="11">
        <v>50.912233069724401</v>
      </c>
      <c r="DA92" s="11">
        <v>53.869807709883929</v>
      </c>
      <c r="DB92" s="11">
        <v>56.796786072845876</v>
      </c>
      <c r="DC92" s="11">
        <v>59.859053409471073</v>
      </c>
      <c r="DD92" s="11">
        <v>63.982491228917866</v>
      </c>
      <c r="DE92" s="11">
        <v>69.817102426572859</v>
      </c>
      <c r="DG92" s="11">
        <v>48.757753527423297</v>
      </c>
      <c r="DH92" s="11">
        <v>51.774206833413771</v>
      </c>
      <c r="DI92" s="11">
        <v>55.755825142327183</v>
      </c>
      <c r="DJ92" s="11">
        <v>56.771390508765343</v>
      </c>
      <c r="DK92" s="11">
        <v>62.161796313645368</v>
      </c>
      <c r="DL92" s="11">
        <v>67.981004445694353</v>
      </c>
    </row>
    <row r="93" spans="4:116" ht="15.6" x14ac:dyDescent="0.25">
      <c r="D93" s="10" t="s">
        <v>69</v>
      </c>
      <c r="E93" s="10" t="s">
        <v>59</v>
      </c>
      <c r="F93" s="10" t="s">
        <v>149</v>
      </c>
      <c r="G93" s="10" t="s">
        <v>182</v>
      </c>
      <c r="H93" s="62"/>
      <c r="I93" s="11">
        <f>64885.6866759937/(10^3)</f>
        <v>64.885686675993696</v>
      </c>
      <c r="J93" s="11">
        <f>67508.2438860011/(10^3)</f>
        <v>67.508243886001097</v>
      </c>
      <c r="K93" s="11">
        <f>6647979.36558384/(10^3)</f>
        <v>6647.9793655838403</v>
      </c>
      <c r="L93" s="11">
        <f>69520.7080471518/(10^3)</f>
        <v>69.5207080471518</v>
      </c>
      <c r="M93" s="11">
        <f>70716.0730873398/(10^3)</f>
        <v>70.716073087339794</v>
      </c>
      <c r="N93" s="11">
        <f>72615.6057365175/(10^3)</f>
        <v>72.615605736517495</v>
      </c>
      <c r="O93" s="11">
        <f>74369.6191026167/(10^3)</f>
        <v>74.36961910261671</v>
      </c>
      <c r="P93" s="11">
        <f>77158.2348172207/(10^3)</f>
        <v>77.158234817220702</v>
      </c>
      <c r="Q93" s="11">
        <f>770.162630215081/(10^3)</f>
        <v>0.77016263021508102</v>
      </c>
      <c r="R93" s="11">
        <f>77745.6744447164/(10^3)</f>
        <v>77.7456744447164</v>
      </c>
      <c r="S93" s="11">
        <f>80414.8505686428/(10^3)</f>
        <v>80.414850568642791</v>
      </c>
      <c r="T93" s="11">
        <f>79878.56333686/(10^3)</f>
        <v>79.878563336859997</v>
      </c>
      <c r="U93" s="11">
        <f>79688.5323284999/(10^3)</f>
        <v>79.688532328499903</v>
      </c>
      <c r="V93" s="11">
        <f>83273.6411625181/(10^3)</f>
        <v>83.273641162518103</v>
      </c>
      <c r="W93" s="11">
        <f>8474923.90005444/(10^3)</f>
        <v>8474.9239000544403</v>
      </c>
      <c r="X93" s="11">
        <f>84458.1549869155/(10^3)</f>
        <v>84.458154986915503</v>
      </c>
      <c r="Y93" s="11">
        <f>85047.2794938904/(10^3)</f>
        <v>85.0472794938904</v>
      </c>
      <c r="Z93" s="11">
        <f>88011.1718552629/(10^3)</f>
        <v>88.011171855262901</v>
      </c>
      <c r="AA93" s="11">
        <f>89325.8215040037/(10^3)</f>
        <v>89.325821504003699</v>
      </c>
      <c r="AB93" s="11">
        <f>88295.2092173722/(10^3)</f>
        <v>88.295209217372204</v>
      </c>
      <c r="AC93" s="11">
        <f>917.852781833019/(10^3)</f>
        <v>0.91785278183301899</v>
      </c>
      <c r="AD93" s="11">
        <f>90913.2635949574/(10^3)</f>
        <v>90.9132635949574</v>
      </c>
      <c r="AE93" s="11">
        <f>93861.5514875002/(10^3)</f>
        <v>93.861551487500194</v>
      </c>
      <c r="AF93" s="11">
        <f>96022.0988071697/(10^3)</f>
        <v>96.022098807169712</v>
      </c>
      <c r="AG93" s="11">
        <f>94948.2573442388/(10^3)</f>
        <v>94.948257344238797</v>
      </c>
      <c r="AH93" s="11">
        <f>94404.8870383917/(10^3)</f>
        <v>94.404887038391692</v>
      </c>
      <c r="AI93" s="11">
        <f>9660255.10767665/(10^3)</f>
        <v>9660.2551076766504</v>
      </c>
      <c r="AJ93" s="11">
        <f>95131.8116038996/(10^3)</f>
        <v>95.131811603899592</v>
      </c>
      <c r="AK93" s="11">
        <f>94467.4145386445/(10^3)</f>
        <v>94.467414538644505</v>
      </c>
      <c r="AL93" s="11">
        <f>92966.8780455443/(10^3)</f>
        <v>92.966878045544306</v>
      </c>
      <c r="AM93" s="11">
        <f>91987.8608646304/(10^3)</f>
        <v>91.987860864630406</v>
      </c>
      <c r="AN93" s="11">
        <f>91144.1611133924/(10^3)</f>
        <v>91.1441611133924</v>
      </c>
      <c r="AO93" s="11">
        <f>902.897244838525/(10^3)</f>
        <v>0.90289724483852496</v>
      </c>
      <c r="AP93" s="11">
        <f>89443.2801406699/(10^3)</f>
        <v>89.443280140669899</v>
      </c>
      <c r="AQ93" s="11">
        <f>89721.9648599266/(10^3)</f>
        <v>89.721964859926587</v>
      </c>
      <c r="AR93" s="11">
        <f>90502.1279402978/(10^3)</f>
        <v>90.502127940297797</v>
      </c>
      <c r="AS93" s="11">
        <f>89554.6243202958/(10^3)</f>
        <v>89.554624320295801</v>
      </c>
      <c r="AT93" s="11">
        <f>88966.9668382262/(10^3)</f>
        <v>88.966966838226199</v>
      </c>
      <c r="AU93" s="11">
        <f>8932824.41890582/(10^3)</f>
        <v>8932.8244189058205</v>
      </c>
      <c r="AV93" s="11">
        <f>88627.6021619808/(10^3)</f>
        <v>88.627602161980803</v>
      </c>
      <c r="AW93" s="11">
        <f>90725.3251907378/(10^3)</f>
        <v>90.725325190737806</v>
      </c>
      <c r="AX93" s="11">
        <f>89180.0539496997/(10^3)</f>
        <v>89.180053949699698</v>
      </c>
      <c r="AY93" s="11">
        <f>91007.9898002521/(10^3)</f>
        <v>91.007989800252091</v>
      </c>
      <c r="AZ93" s="11">
        <f>89987.8670291785/(10^3)</f>
        <v>89.987867029178489</v>
      </c>
      <c r="BA93" s="11">
        <f>884.167900045323/(10^3)</f>
        <v>0.88416790004532297</v>
      </c>
      <c r="BB93" s="11">
        <f>89423.5873358789/(10^3)</f>
        <v>89.423587335878892</v>
      </c>
      <c r="BC93" s="11">
        <f>91572.5436971603/(10^3)</f>
        <v>91.572543697160299</v>
      </c>
      <c r="BD93" s="11">
        <f>94148.8371026108/(10^3)</f>
        <v>94.148837102610813</v>
      </c>
      <c r="BE93" s="11">
        <f>93562.8450051693/(10^3)</f>
        <v>93.562845005169308</v>
      </c>
      <c r="BF93" s="11">
        <f>91742.9745087387/(10^3)</f>
        <v>91.742974508738698</v>
      </c>
      <c r="BG93" s="11">
        <f>9097880.96020646/(10^3)</f>
        <v>9097.8809602064593</v>
      </c>
      <c r="BH93" s="11">
        <f>95251.8180591058/(10^3)</f>
        <v>95.251818059105801</v>
      </c>
      <c r="BI93" s="11">
        <f>93597.2355148566/(10^3)</f>
        <v>93.597235514856592</v>
      </c>
      <c r="BJ93" s="11">
        <f>92306.7457862215/(10^3)</f>
        <v>92.306745786221498</v>
      </c>
      <c r="BK93" s="11">
        <f>94378.065403119/(10^3)</f>
        <v>94.37806540311901</v>
      </c>
      <c r="BL93" s="11">
        <f>92896.4463838048/(10^3)</f>
        <v>92.8964463838048</v>
      </c>
      <c r="BM93" s="11">
        <f>937.620492930415/(10^3)</f>
        <v>0.93762049293041505</v>
      </c>
      <c r="BN93" s="11">
        <f>92551.0809656245/(10^3)</f>
        <v>92.551080965624493</v>
      </c>
      <c r="BO93" s="11">
        <f>95577.0447704221/(10^3)</f>
        <v>95.577044770422106</v>
      </c>
      <c r="BP93" s="11">
        <f>94920.4442859288/(10^3)</f>
        <v>94.920444285928795</v>
      </c>
      <c r="BQ93" s="11">
        <f>95394.6064898734/(10^3)</f>
        <v>95.394606489873411</v>
      </c>
      <c r="BR93" s="11">
        <f>95920.8431928487/(10^3)</f>
        <v>95.920843192848693</v>
      </c>
      <c r="BS93" s="11">
        <f>9967504.64689953/(10^3)</f>
        <v>9967.5046468995315</v>
      </c>
      <c r="BT93" s="11">
        <f>103102.593504362/(10^3)</f>
        <v>103.10259350436199</v>
      </c>
      <c r="BU93" s="11">
        <f>106339.673373817/(10^3)</f>
        <v>106.33967337381701</v>
      </c>
      <c r="BV93" s="11">
        <f>105116.0685426/(10^3)</f>
        <v>105.1160685426</v>
      </c>
      <c r="BW93" s="11">
        <f>105007.288502595/(10^3)</f>
        <v>105.00728850259499</v>
      </c>
      <c r="BX93" s="11">
        <f>104638.938528451/(10^3)</f>
        <v>104.63893852845101</v>
      </c>
      <c r="BY93" s="11">
        <f>1038.45314849681/(10^3)</f>
        <v>1.03845314849681</v>
      </c>
      <c r="BZ93" s="11">
        <f>103845.314849681/(10^3)</f>
        <v>103.845314849681</v>
      </c>
      <c r="CA93" s="11">
        <f>104426.952015948/(10^3)</f>
        <v>104.426952015948</v>
      </c>
      <c r="CB93" s="11">
        <f>107620.314857919/(10^3)</f>
        <v>107.620314857919</v>
      </c>
      <c r="CC93" s="12"/>
      <c r="CZ93" s="11">
        <v>77.016263021508109</v>
      </c>
      <c r="DA93" s="11">
        <v>91.785278183301926</v>
      </c>
      <c r="DB93" s="11">
        <v>90.289724483852524</v>
      </c>
      <c r="DC93" s="11">
        <v>88.416790004532288</v>
      </c>
      <c r="DD93" s="11">
        <v>93.762049293041457</v>
      </c>
      <c r="DE93" s="11">
        <v>103.84531484968068</v>
      </c>
      <c r="DG93" s="11">
        <v>66.479793655838378</v>
      </c>
      <c r="DH93" s="11">
        <v>84.749239000544407</v>
      </c>
      <c r="DI93" s="11">
        <v>96.602551076766545</v>
      </c>
      <c r="DJ93" s="11">
        <v>89.328244189058211</v>
      </c>
      <c r="DK93" s="11">
        <v>90.978809602064615</v>
      </c>
      <c r="DL93" s="11">
        <v>99.675046468995248</v>
      </c>
    </row>
    <row r="94" spans="4:116" ht="15.6" x14ac:dyDescent="0.25">
      <c r="D94" s="10" t="s">
        <v>70</v>
      </c>
      <c r="E94" s="10" t="s">
        <v>8</v>
      </c>
      <c r="F94" s="10" t="s">
        <v>151</v>
      </c>
      <c r="G94" s="10" t="s">
        <v>182</v>
      </c>
      <c r="H94" s="62"/>
      <c r="I94" s="11">
        <f>99525.9794967366/(10^3)</f>
        <v>99.525979496736596</v>
      </c>
      <c r="J94" s="11">
        <f>102579.51547774/(10^3)</f>
        <v>102.57951547774</v>
      </c>
      <c r="K94" s="11">
        <f>10658408.9859916/(10^3)</f>
        <v>10658.4089859916</v>
      </c>
      <c r="L94" s="11">
        <f>105438.18991733/(10^3)</f>
        <v>105.43818991733001</v>
      </c>
      <c r="M94" s="11">
        <f>104889.787755122/(10^3)</f>
        <v>104.889787755122</v>
      </c>
      <c r="N94" s="11">
        <f>107008.94123214/(10^3)</f>
        <v>107.00894123214</v>
      </c>
      <c r="O94" s="11">
        <f>107907.645445499/(10^3)</f>
        <v>107.907645445499</v>
      </c>
      <c r="P94" s="11">
        <f>109181.465110765/(10^3)</f>
        <v>109.181465110765</v>
      </c>
      <c r="Q94" s="11">
        <f>1102.84779805051/(10^3)</f>
        <v>1.10284779805051</v>
      </c>
      <c r="R94" s="11">
        <f>110945.261357802/(10^3)</f>
        <v>110.945261357802</v>
      </c>
      <c r="S94" s="11">
        <f>110640.256046188/(10^3)</f>
        <v>110.640256046188</v>
      </c>
      <c r="T94" s="11">
        <f>108634.427952897/(10^3)</f>
        <v>108.634427952897</v>
      </c>
      <c r="U94" s="11">
        <f>107003.724909261/(10^3)</f>
        <v>107.003724909261</v>
      </c>
      <c r="V94" s="11">
        <f>105740.437024165/(10^3)</f>
        <v>105.740437024165</v>
      </c>
      <c r="W94" s="11">
        <f>10722547.6848689/(10^3)</f>
        <v>10722.5476848689</v>
      </c>
      <c r="X94" s="11">
        <f>106657.484100446/(10^3)</f>
        <v>106.657484100446</v>
      </c>
      <c r="Y94" s="11">
        <f>110693.302829775/(10^3)</f>
        <v>110.69330282977499</v>
      </c>
      <c r="Z94" s="11">
        <f>115772.262292447/(10^3)</f>
        <v>115.77226229244701</v>
      </c>
      <c r="AA94" s="11">
        <f>113975.42110802/(10^3)</f>
        <v>113.97542110802</v>
      </c>
      <c r="AB94" s="11">
        <f>114585.288811879/(10^3)</f>
        <v>114.585288811879</v>
      </c>
      <c r="AC94" s="11">
        <f>1124.22713585405/(10^3)</f>
        <v>1.1242271358540499</v>
      </c>
      <c r="AD94" s="11">
        <f>116175.137024147/(10^3)</f>
        <v>116.17513702414701</v>
      </c>
      <c r="AE94" s="11">
        <f>120209.567718029/(10^3)</f>
        <v>120.20956771802899</v>
      </c>
      <c r="AF94" s="11">
        <f>121138.885561663/(10^3)</f>
        <v>121.138885561663</v>
      </c>
      <c r="AG94" s="11">
        <f>121989.313001299/(10^3)</f>
        <v>121.989313001299</v>
      </c>
      <c r="AH94" s="11">
        <f>120619.406195549/(10^3)</f>
        <v>120.619406195549</v>
      </c>
      <c r="AI94" s="11">
        <f>12005872.0360778/(10^3)</f>
        <v>12005.872036077799</v>
      </c>
      <c r="AJ94" s="11">
        <f>119253.602836467/(10^3)</f>
        <v>119.25360283646701</v>
      </c>
      <c r="AK94" s="11">
        <f>117309.259282188/(10^3)</f>
        <v>117.30925928218799</v>
      </c>
      <c r="AL94" s="11">
        <f>115141.505343005/(10^3)</f>
        <v>115.14150534300501</v>
      </c>
      <c r="AM94" s="11">
        <f>117371.867437219/(10^3)</f>
        <v>117.371867437219</v>
      </c>
      <c r="AN94" s="11">
        <f>117877.233563526/(10^3)</f>
        <v>117.87723356352599</v>
      </c>
      <c r="AO94" s="11">
        <f>1169.40934443606/(10^3)</f>
        <v>1.16940934443606</v>
      </c>
      <c r="AP94" s="11">
        <f>119546.522189746/(10^3)</f>
        <v>119.546522189746</v>
      </c>
      <c r="AQ94" s="11">
        <f>119173.602544367/(10^3)</f>
        <v>119.173602544367</v>
      </c>
      <c r="AR94" s="11">
        <f>117378.582248377/(10^3)</f>
        <v>117.378582248377</v>
      </c>
      <c r="AS94" s="11">
        <f>119819.765472526/(10^3)</f>
        <v>119.819765472526</v>
      </c>
      <c r="AT94" s="11">
        <f>121553.347079261/(10^3)</f>
        <v>121.553347079261</v>
      </c>
      <c r="AU94" s="11">
        <f>11980806.0617663/(10^3)</f>
        <v>11980.8060617663</v>
      </c>
      <c r="AV94" s="11">
        <f>117865.099349983/(10^3)</f>
        <v>117.865099349983</v>
      </c>
      <c r="AW94" s="11">
        <f>116914.997758293/(10^3)</f>
        <v>116.914997758293</v>
      </c>
      <c r="AX94" s="11">
        <f>117013.133199539/(10^3)</f>
        <v>117.01313319953901</v>
      </c>
      <c r="AY94" s="11">
        <f>117872.310126329/(10^3)</f>
        <v>117.872310126329</v>
      </c>
      <c r="AZ94" s="11">
        <f>115831.710264084/(10^3)</f>
        <v>115.83171026408401</v>
      </c>
      <c r="BA94" s="11">
        <f>1215.38348117964/(10^3)</f>
        <v>1.21538348117964</v>
      </c>
      <c r="BB94" s="11">
        <f>124750.343303872/(10^3)</f>
        <v>124.750343303872</v>
      </c>
      <c r="BC94" s="11">
        <f>124403.06228432/(10^3)</f>
        <v>124.40306228432</v>
      </c>
      <c r="BD94" s="11">
        <f>124138.401153273/(10^3)</f>
        <v>124.13840115327299</v>
      </c>
      <c r="BE94" s="11">
        <f>126884.79110718/(10^3)</f>
        <v>126.88479110718001</v>
      </c>
      <c r="BF94" s="11">
        <f>133120.225046094/(10^3)</f>
        <v>133.12022504609402</v>
      </c>
      <c r="BG94" s="11">
        <f>13348825.3541863/(10^3)</f>
        <v>13348.8253541863</v>
      </c>
      <c r="BH94" s="11">
        <f>137145.334728744/(10^3)</f>
        <v>137.14533472874399</v>
      </c>
      <c r="BI94" s="11">
        <f>143295.267032937/(10^3)</f>
        <v>143.29526703293701</v>
      </c>
      <c r="BJ94" s="11">
        <f>143754.612048807/(10^3)</f>
        <v>143.75461204880699</v>
      </c>
      <c r="BK94" s="11">
        <f>144643.734057189/(10^3)</f>
        <v>144.64373405718899</v>
      </c>
      <c r="BL94" s="11">
        <f>142939.928835935/(10^3)</f>
        <v>142.93992883593498</v>
      </c>
      <c r="BM94" s="11">
        <f>1441.05227463204/(10^3)</f>
        <v>1.44105227463204</v>
      </c>
      <c r="BN94" s="11">
        <f>142817.349839781/(10^3)</f>
        <v>142.817349839781</v>
      </c>
      <c r="BO94" s="11">
        <f>145116.688163494/(10^3)</f>
        <v>145.11668816349399</v>
      </c>
      <c r="BP94" s="11">
        <f>142493.38866441/(10^3)</f>
        <v>142.49338866441002</v>
      </c>
      <c r="BQ94" s="11">
        <f>142962.402509281/(10^3)</f>
        <v>142.96240250928099</v>
      </c>
      <c r="BR94" s="11">
        <f>140380.522975031/(10^3)</f>
        <v>140.380522975031</v>
      </c>
      <c r="BS94" s="11">
        <f>14700596.1248582/(10^3)</f>
        <v>14700.596124858201</v>
      </c>
      <c r="BT94" s="11">
        <f>146989.205221592/(10^3)</f>
        <v>146.98920522159202</v>
      </c>
      <c r="BU94" s="11">
        <f>149982.98286038/(10^3)</f>
        <v>149.98298286037999</v>
      </c>
      <c r="BV94" s="11">
        <f>148738.133577319/(10^3)</f>
        <v>148.73813357731902</v>
      </c>
      <c r="BW94" s="11">
        <f>147981.568916196/(10^3)</f>
        <v>147.98156891619601</v>
      </c>
      <c r="BX94" s="11">
        <f>154872.535403391/(10^3)</f>
        <v>154.872535403391</v>
      </c>
      <c r="BY94" s="11">
        <f>1592.95664687102/(10^3)</f>
        <v>1.5929566468710199</v>
      </c>
      <c r="BZ94" s="11">
        <f>159295.664687102/(10^3)</f>
        <v>159.295664687102</v>
      </c>
      <c r="CA94" s="11">
        <f>164259.08477099/(10^3)</f>
        <v>164.25908477099</v>
      </c>
      <c r="CB94" s="11">
        <f>168064.692563302/(10^3)</f>
        <v>168.064692563302</v>
      </c>
      <c r="CC94" s="12"/>
      <c r="CZ94" s="11">
        <v>110.2847798050515</v>
      </c>
      <c r="DA94" s="11">
        <v>112.42271358540481</v>
      </c>
      <c r="DB94" s="11">
        <v>116.94093444360625</v>
      </c>
      <c r="DC94" s="11">
        <v>121.53834811796384</v>
      </c>
      <c r="DD94" s="11">
        <v>144.10522746320419</v>
      </c>
      <c r="DE94" s="11">
        <v>159.29566468710192</v>
      </c>
      <c r="DG94" s="11">
        <v>106.58408985991582</v>
      </c>
      <c r="DH94" s="11">
        <v>107.22547684868897</v>
      </c>
      <c r="DI94" s="11">
        <v>120.0587203607782</v>
      </c>
      <c r="DJ94" s="11">
        <v>119.8080606176626</v>
      </c>
      <c r="DK94" s="11">
        <v>133.48825354186346</v>
      </c>
      <c r="DL94" s="11">
        <v>147.00596124858208</v>
      </c>
    </row>
    <row r="95" spans="4:116" ht="15.6" x14ac:dyDescent="0.25">
      <c r="D95" s="10" t="s">
        <v>71</v>
      </c>
      <c r="E95" s="10" t="s">
        <v>67</v>
      </c>
      <c r="F95" s="10" t="s">
        <v>149</v>
      </c>
      <c r="G95" s="10" t="s">
        <v>182</v>
      </c>
      <c r="H95" s="62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>
        <f>4005.80953382475/(10^3)</f>
        <v>4.0058095338247499</v>
      </c>
      <c r="W95" s="11">
        <f>404531.107409112/(10^3)</f>
        <v>404.531107409112</v>
      </c>
      <c r="X95" s="11">
        <f>4158.21316853242/(10^3)</f>
        <v>4.15821316853242</v>
      </c>
      <c r="Y95" s="11">
        <f>4130.19309459946/(10^3)</f>
        <v>4.13019309459946</v>
      </c>
      <c r="Z95" s="11">
        <f>4090.12963456463/(10^3)</f>
        <v>4.0901296345646303</v>
      </c>
      <c r="AA95" s="11">
        <f>4086.11508668174/(10^3)</f>
        <v>4.0861150866817404</v>
      </c>
      <c r="AB95" s="11">
        <f>4068.1199807807/(10^3)</f>
        <v>4.0681199807807005</v>
      </c>
      <c r="AC95" s="11">
        <f>40.5071123747084/(10^3)</f>
        <v>4.0507112374708401E-2</v>
      </c>
      <c r="AD95" s="11">
        <f>3976.75786439391/(10^3)</f>
        <v>3.9767578643939099</v>
      </c>
      <c r="AE95" s="11">
        <f>3903.15633091057/(10^3)</f>
        <v>3.9031563309105701</v>
      </c>
      <c r="AF95" s="11">
        <f>3880.52027600937/(10^3)</f>
        <v>3.8805202760093698</v>
      </c>
      <c r="AG95" s="11">
        <f>3885.48271607722/(10^3)</f>
        <v>3.8854827160772203</v>
      </c>
      <c r="AH95" s="11">
        <f>3825.61341928329/(10^3)</f>
        <v>3.82561341928329</v>
      </c>
      <c r="AI95" s="11">
        <f>388286.204436503/(10^3)</f>
        <v>388.286204436503</v>
      </c>
      <c r="AJ95" s="11">
        <f>4046.58685073769/(10^3)</f>
        <v>4.0465868507376896</v>
      </c>
      <c r="AK95" s="11">
        <f>4011.62854996715/(10^3)</f>
        <v>4.01162854996715</v>
      </c>
      <c r="AL95" s="11">
        <f>4172.5779435204/(10^3)</f>
        <v>4.1725779435204</v>
      </c>
      <c r="AM95" s="11">
        <f>4155.55065274105/(10^3)</f>
        <v>4.1555506527410495</v>
      </c>
      <c r="AN95" s="11">
        <f>4126.98426499398/(10^3)</f>
        <v>4.1269842649939799</v>
      </c>
      <c r="AO95" s="11">
        <f>41.0285997390582/(10^3)</f>
        <v>4.1028599739058202E-2</v>
      </c>
      <c r="AP95" s="11">
        <f>4246.97770410384/(10^3)</f>
        <v>4.2469777041038395</v>
      </c>
      <c r="AQ95" s="11">
        <f>4309.79478564019/(10^3)</f>
        <v>4.3097947856401895</v>
      </c>
      <c r="AR95" s="11">
        <f>4384.85539730408/(10^3)</f>
        <v>4.3848553973040802</v>
      </c>
      <c r="AS95" s="11">
        <f>4315.03061565728/(10^3)</f>
        <v>4.31503061565728</v>
      </c>
      <c r="AT95" s="11">
        <f>4261.8256600612/(10^3)</f>
        <v>4.2618256600612003</v>
      </c>
      <c r="AU95" s="11">
        <f>424251.786974042/(10^3)</f>
        <v>424.25178697404203</v>
      </c>
      <c r="AV95" s="11">
        <f>4180.4539732008/(10^3)</f>
        <v>4.1804539732007999</v>
      </c>
      <c r="AW95" s="11">
        <f>4146.90996591337/(10^3)</f>
        <v>4.1469099659133697</v>
      </c>
      <c r="AX95" s="11">
        <f>4192.60273173907/(10^3)</f>
        <v>4.1926027317390702</v>
      </c>
      <c r="AY95" s="11">
        <f>4168.80825305049/(10^3)</f>
        <v>4.1688082530504902</v>
      </c>
      <c r="AZ95" s="11">
        <f>4129.74212109984/(10^3)</f>
        <v>4.1297421210998397</v>
      </c>
      <c r="BA95" s="11">
        <f>42.5317820520358/(10^3)</f>
        <v>4.2531782052035803E-2</v>
      </c>
      <c r="BB95" s="11">
        <f>4322.91186950119/(10^3)</f>
        <v>4.3229118695011906</v>
      </c>
      <c r="BC95" s="11">
        <f>4511.3550021071/(10^3)</f>
        <v>4.5113550021070994</v>
      </c>
      <c r="BD95" s="11">
        <f>4502.47150102063/(10^3)</f>
        <v>4.5024715010206302</v>
      </c>
      <c r="BE95" s="11">
        <f>4583.56038567999/(10^3)</f>
        <v>4.5835603856799896</v>
      </c>
      <c r="BF95" s="11">
        <f>4586.42378757298/(10^3)</f>
        <v>4.5864237875729792</v>
      </c>
      <c r="BG95" s="11">
        <f>469656.881665563/(10^3)</f>
        <v>469.65688166556299</v>
      </c>
      <c r="BH95" s="11">
        <f>4678.15923225717/(10^3)</f>
        <v>4.6781592322571699</v>
      </c>
      <c r="BI95" s="11">
        <f>4634.95919669928/(10^3)</f>
        <v>4.6349591966992802</v>
      </c>
      <c r="BJ95" s="11">
        <f>4711.0343609879/(10^3)</f>
        <v>4.7110343609878997</v>
      </c>
      <c r="BK95" s="11">
        <f>4640.52394708524/(10^3)</f>
        <v>4.6405239470852404</v>
      </c>
      <c r="BL95" s="11">
        <f>4758.89076870534/(10^3)</f>
        <v>4.7588907687053394</v>
      </c>
      <c r="BM95" s="11">
        <f>47.7554255660127/(10^3)</f>
        <v>4.7755425566012699E-2</v>
      </c>
      <c r="BN95" s="11">
        <f>4957.04567691294/(10^3)</f>
        <v>4.9570456769129398</v>
      </c>
      <c r="BO95" s="11">
        <f>5093.99947210848/(10^3)</f>
        <v>5.0939994721084805</v>
      </c>
      <c r="BP95" s="11">
        <f>5175.33715713329/(10^3)</f>
        <v>5.1753371571332902</v>
      </c>
      <c r="BQ95" s="11">
        <f>5214.48071831359/(10^3)</f>
        <v>5.2144807183135899</v>
      </c>
      <c r="BR95" s="11">
        <f>5373.78758809592/(10^3)</f>
        <v>5.3737875880959196</v>
      </c>
      <c r="BS95" s="11">
        <f>562613.144026943/(10^3)</f>
        <v>562.61314402694302</v>
      </c>
      <c r="BT95" s="11">
        <f>5720.13166745283/(10^3)</f>
        <v>5.7201316674528302</v>
      </c>
      <c r="BU95" s="11">
        <f>5681.04562884294/(10^3)</f>
        <v>5.6810456288429396</v>
      </c>
      <c r="BV95" s="11">
        <f>5856.56955388346/(10^3)</f>
        <v>5.8565695538834595</v>
      </c>
      <c r="BW95" s="11">
        <f>5778.85720513423/(10^3)</f>
        <v>5.77885720513423</v>
      </c>
      <c r="BX95" s="11">
        <f>5903.35821012262/(10^3)</f>
        <v>5.9033582101226205</v>
      </c>
      <c r="BY95" s="11">
        <f>62.0963271914721/(10^3)</f>
        <v>6.2096327191472102E-2</v>
      </c>
      <c r="BZ95" s="11">
        <f>6209.63271914721/(10^3)</f>
        <v>6.2096327191472103</v>
      </c>
      <c r="CA95" s="11">
        <f>6280.79940951979/(10^3)</f>
        <v>6.2807994095197897</v>
      </c>
      <c r="CB95" s="11">
        <f>6427.16645410326/(10^3)</f>
        <v>6.4271664541032596</v>
      </c>
      <c r="CC95" s="12"/>
      <c r="CZ95" s="11">
        <v>3.7545914888468612</v>
      </c>
      <c r="DA95" s="11">
        <v>4.0507112374708418</v>
      </c>
      <c r="DB95" s="11">
        <v>4.102859973905816</v>
      </c>
      <c r="DC95" s="11">
        <v>4.2531782052035778</v>
      </c>
      <c r="DD95" s="11">
        <v>4.7755425566012706</v>
      </c>
      <c r="DE95" s="11">
        <v>6.2096327191472103</v>
      </c>
      <c r="DG95" s="11">
        <v>3.5089797154152627</v>
      </c>
      <c r="DH95" s="11">
        <v>4.0453110740911162</v>
      </c>
      <c r="DI95" s="11">
        <v>3.8828620443650324</v>
      </c>
      <c r="DJ95" s="11">
        <v>4.2425178697404213</v>
      </c>
      <c r="DK95" s="11">
        <v>4.6965688166556312</v>
      </c>
      <c r="DL95" s="11">
        <v>5.6261314402694298</v>
      </c>
    </row>
    <row r="96" spans="4:116" ht="15.6" x14ac:dyDescent="0.25">
      <c r="D96" s="10" t="s">
        <v>72</v>
      </c>
      <c r="E96" s="10" t="s">
        <v>17</v>
      </c>
      <c r="F96" s="10" t="s">
        <v>149</v>
      </c>
      <c r="G96" s="10" t="s">
        <v>182</v>
      </c>
      <c r="H96" s="62"/>
      <c r="I96" s="11">
        <f>6944.19062558331/(10^3)</f>
        <v>6.9441906255833104</v>
      </c>
      <c r="J96" s="11">
        <f>6983.83730160891/(10^3)</f>
        <v>6.9838373016089097</v>
      </c>
      <c r="K96" s="11">
        <f>727962.916185824/(10^3)</f>
        <v>727.96291618582393</v>
      </c>
      <c r="L96" s="11">
        <f>7403.48735593951/(10^3)</f>
        <v>7.40348735593951</v>
      </c>
      <c r="M96" s="11">
        <f>7680.83500602118/(10^3)</f>
        <v>7.6808350060211801</v>
      </c>
      <c r="N96" s="11">
        <f>7848.53806843652/(10^3)</f>
        <v>7.84853806843652</v>
      </c>
      <c r="O96" s="11">
        <f>8183.06359147387/(10^3)</f>
        <v>8.1830635914738696</v>
      </c>
      <c r="P96" s="11">
        <f>8279.67367666064/(10^3)</f>
        <v>8.2796736766606394</v>
      </c>
      <c r="Q96" s="11">
        <f>84.6027742396004/(10^3)</f>
        <v>8.4602774239600387E-2</v>
      </c>
      <c r="R96" s="11">
        <f>8486.7516688121/(10^3)</f>
        <v>8.486751668812099</v>
      </c>
      <c r="S96" s="11">
        <f>8760.95165315629/(10^3)</f>
        <v>8.7609516531562903</v>
      </c>
      <c r="T96" s="11">
        <f>8705.62728968537/(10^3)</f>
        <v>8.7056272896853706</v>
      </c>
      <c r="U96" s="11">
        <f>8936.85498684782/(10^3)</f>
        <v>8.9368549868478198</v>
      </c>
      <c r="V96" s="11">
        <f>9040.84654369707/(10^3)</f>
        <v>9.0408465436970697</v>
      </c>
      <c r="W96" s="11">
        <f>897109.438945708/(10^3)</f>
        <v>897.10943894570801</v>
      </c>
      <c r="X96" s="11">
        <f>9123.28092434782/(10^3)</f>
        <v>9.1232809243478208</v>
      </c>
      <c r="Y96" s="11">
        <f>9170.44794168368/(10^3)</f>
        <v>9.1704479416836797</v>
      </c>
      <c r="Z96" s="11">
        <f>9212.82218655618/(10^3)</f>
        <v>9.2128221865561812</v>
      </c>
      <c r="AA96" s="11">
        <f>9436.91557051731/(10^3)</f>
        <v>9.4369155705173107</v>
      </c>
      <c r="AB96" s="11">
        <f>9350.12391133897/(10^3)</f>
        <v>9.3501239113389687</v>
      </c>
      <c r="AC96" s="11">
        <f>92.5872861698586/(10^3)</f>
        <v>9.2587286169858604E-2</v>
      </c>
      <c r="AD96" s="11">
        <f>9195.75594855844/(10^3)</f>
        <v>9.1957559485584408</v>
      </c>
      <c r="AE96" s="11">
        <f>9117.34176635708/(10^3)</f>
        <v>9.1173417663570806</v>
      </c>
      <c r="AF96" s="11">
        <f>9091.40185117231/(10^3)</f>
        <v>9.0914018511723089</v>
      </c>
      <c r="AG96" s="11">
        <f>9306.62737320655/(10^3)</f>
        <v>9.306627373206549</v>
      </c>
      <c r="AH96" s="11">
        <f>9515.46529545901/(10^3)</f>
        <v>9.5154652954590091</v>
      </c>
      <c r="AI96" s="11">
        <f>952677.301970432/(10^3)</f>
        <v>952.67730197043204</v>
      </c>
      <c r="AJ96" s="11">
        <f>9535.54351278925/(10^3)</f>
        <v>9.5355435127892498</v>
      </c>
      <c r="AK96" s="11">
        <f>9853.83561644405/(10^3)</f>
        <v>9.8538356164440497</v>
      </c>
      <c r="AL96" s="11">
        <f>9942.99267734835/(10^3)</f>
        <v>9.9429926773483501</v>
      </c>
      <c r="AM96" s="11">
        <f>10071.3808086214/(10^3)</f>
        <v>10.071380808621399</v>
      </c>
      <c r="AN96" s="11">
        <f>10006.1997480303/(10^3)</f>
        <v>10.0061997480303</v>
      </c>
      <c r="AO96" s="11">
        <f>98.1983966426238/(10^3)</f>
        <v>9.8198396642623809E-2</v>
      </c>
      <c r="AP96" s="11">
        <f>9962.67406744538/(10^3)</f>
        <v>9.9626740674453789</v>
      </c>
      <c r="AQ96" s="11">
        <f>10289.4243098658/(10^3)</f>
        <v>10.289424309865801</v>
      </c>
      <c r="AR96" s="11">
        <f>10289.3544982147/(10^3)</f>
        <v>10.289354498214699</v>
      </c>
      <c r="AS96" s="11">
        <f>10269.3880708426/(10^3)</f>
        <v>10.2693880708426</v>
      </c>
      <c r="AT96" s="11">
        <f>10089.7720477381/(10^3)</f>
        <v>10.089772047738101</v>
      </c>
      <c r="AU96" s="11">
        <f>997060.337149467/(10^3)</f>
        <v>997.06033714946693</v>
      </c>
      <c r="AV96" s="11">
        <f>9811.78931375426/(10^3)</f>
        <v>9.8117893137542591</v>
      </c>
      <c r="AW96" s="11">
        <f>10014.9638843147/(10^3)</f>
        <v>10.0149638843147</v>
      </c>
      <c r="AX96" s="11">
        <f>10024.4841677014/(10^3)</f>
        <v>10.024484167701399</v>
      </c>
      <c r="AY96" s="11">
        <f>9905.4286749456/(10^3)</f>
        <v>9.9054286749456004</v>
      </c>
      <c r="AZ96" s="11">
        <f>9768.09251655207/(10^3)</f>
        <v>9.7680925165520698</v>
      </c>
      <c r="BA96" s="11">
        <f>100.025313911642/(10^3)</f>
        <v>0.100025313911642</v>
      </c>
      <c r="BB96" s="11">
        <f>10194.2302911051/(10^3)</f>
        <v>10.194230291105098</v>
      </c>
      <c r="BC96" s="11">
        <f>10431.8516750939/(10^3)</f>
        <v>10.431851675093899</v>
      </c>
      <c r="BD96" s="11">
        <f>10356.8888487635/(10^3)</f>
        <v>10.3568888487635</v>
      </c>
      <c r="BE96" s="11">
        <f>10235.0955109622/(10^3)</f>
        <v>10.2350955109622</v>
      </c>
      <c r="BF96" s="11">
        <f>10432.3920662554/(10^3)</f>
        <v>10.432392066255399</v>
      </c>
      <c r="BG96" s="11">
        <f>1052155.64897688/(10^3)</f>
        <v>1052.15564897688</v>
      </c>
      <c r="BH96" s="11">
        <f>10816.3811117395/(10^3)</f>
        <v>10.816381111739499</v>
      </c>
      <c r="BI96" s="11">
        <f>10919.8692691132/(10^3)</f>
        <v>10.9198692691132</v>
      </c>
      <c r="BJ96" s="11">
        <f>10890.2699134745/(10^3)</f>
        <v>10.8902699134745</v>
      </c>
      <c r="BK96" s="11">
        <f>10921.6493550373/(10^3)</f>
        <v>10.9216493550373</v>
      </c>
      <c r="BL96" s="11">
        <f>11289.7389544616/(10^3)</f>
        <v>11.289738954461599</v>
      </c>
      <c r="BM96" s="11">
        <f>112.674821170431/(10^3)</f>
        <v>0.112674821170431</v>
      </c>
      <c r="BN96" s="11">
        <f>11221.5856612643/(10^3)</f>
        <v>11.221585661264299</v>
      </c>
      <c r="BO96" s="11">
        <f>11155.7259786642/(10^3)</f>
        <v>11.155725978664201</v>
      </c>
      <c r="BP96" s="11">
        <f>11480.611521058/(10^3)</f>
        <v>11.480611521058</v>
      </c>
      <c r="BQ96" s="11">
        <f>12025.3102866443/(10^3)</f>
        <v>12.0253102866443</v>
      </c>
      <c r="BR96" s="11">
        <f>12625.6023573709/(10^3)</f>
        <v>12.625602357370902</v>
      </c>
      <c r="BS96" s="11">
        <f>1303192.24756988/(10^3)</f>
        <v>1303.19224756988</v>
      </c>
      <c r="BT96" s="11">
        <f>13567.37106599/(10^3)</f>
        <v>13.567371065990001</v>
      </c>
      <c r="BU96" s="11">
        <f>14179.6710856849/(10^3)</f>
        <v>14.1796710856849</v>
      </c>
      <c r="BV96" s="11">
        <f>14511.9804941683/(10^3)</f>
        <v>14.5119804941683</v>
      </c>
      <c r="BW96" s="11">
        <f>14805.9267134382/(10^3)</f>
        <v>14.8059267134382</v>
      </c>
      <c r="BX96" s="11">
        <f>14911.5099733417/(10^3)</f>
        <v>14.911509973341699</v>
      </c>
      <c r="BY96" s="11">
        <f>151.012712307621/(10^3)</f>
        <v>0.15101271230762101</v>
      </c>
      <c r="BZ96" s="11">
        <f>15101.2712307621/(10^3)</f>
        <v>15.1012712307621</v>
      </c>
      <c r="CA96" s="11">
        <f>14888.381546597/(10^3)</f>
        <v>14.888381546597</v>
      </c>
      <c r="CB96" s="11">
        <f>14796.2504511827/(10^3)</f>
        <v>14.796250451182699</v>
      </c>
      <c r="CC96" s="12"/>
      <c r="CZ96" s="11">
        <v>8.4602774239600347</v>
      </c>
      <c r="DA96" s="11">
        <v>9.2587286169858558</v>
      </c>
      <c r="DB96" s="11">
        <v>9.819839664262382</v>
      </c>
      <c r="DC96" s="11">
        <v>10.002531391164213</v>
      </c>
      <c r="DD96" s="11">
        <v>11.267482117043146</v>
      </c>
      <c r="DE96" s="11">
        <v>15.101271230762128</v>
      </c>
      <c r="DG96" s="11">
        <v>7.2796291618582387</v>
      </c>
      <c r="DH96" s="11">
        <v>8.9710943894570772</v>
      </c>
      <c r="DI96" s="11">
        <v>9.5267730197043221</v>
      </c>
      <c r="DJ96" s="11">
        <v>9.970603371494672</v>
      </c>
      <c r="DK96" s="11">
        <v>10.521556489768839</v>
      </c>
      <c r="DL96" s="11">
        <v>13.031922475698778</v>
      </c>
    </row>
    <row r="97" spans="4:116" ht="15.6" x14ac:dyDescent="0.25">
      <c r="D97" s="10" t="s">
        <v>73</v>
      </c>
      <c r="E97" s="10" t="s">
        <v>35</v>
      </c>
      <c r="F97" s="10" t="s">
        <v>150</v>
      </c>
      <c r="G97" s="10" t="s">
        <v>182</v>
      </c>
      <c r="H97" s="62"/>
      <c r="I97" s="11">
        <f>8688.81946999025/(10^3)</f>
        <v>8.6888194699902499</v>
      </c>
      <c r="J97" s="11">
        <f>9028.65069938765/(10^3)</f>
        <v>9.0286506993876507</v>
      </c>
      <c r="K97" s="11">
        <f>939981.736141037/(10^3)</f>
        <v>939.981736141037</v>
      </c>
      <c r="L97" s="11">
        <f>9225.63375464388/(10^3)</f>
        <v>9.22563375464388</v>
      </c>
      <c r="M97" s="11">
        <f>9645.05319741976/(10^3)</f>
        <v>9.6450531974197595</v>
      </c>
      <c r="N97" s="11">
        <f>9740.27154602362/(10^3)</f>
        <v>9.7402715460236191</v>
      </c>
      <c r="O97" s="11">
        <f>9694.66578639438/(10^3)</f>
        <v>9.6946657863943795</v>
      </c>
      <c r="P97" s="11">
        <f>9515.53309921901/(10^3)</f>
        <v>9.5155330992190095</v>
      </c>
      <c r="Q97" s="11">
        <f>94.0646959878752/(10^3)</f>
        <v>9.4064695987875202E-2</v>
      </c>
      <c r="R97" s="11">
        <f>9835.35511910253/(10^3)</f>
        <v>9.8353551191025304</v>
      </c>
      <c r="S97" s="11">
        <f>10208.3736287714/(10^3)</f>
        <v>10.208373628771399</v>
      </c>
      <c r="T97" s="11">
        <f>10490.006525638/(10^3)</f>
        <v>10.490006525638</v>
      </c>
      <c r="U97" s="11">
        <f>10368.2288195963/(10^3)</f>
        <v>10.368228819596299</v>
      </c>
      <c r="V97" s="11">
        <f>10188.2229583122/(10^3)</f>
        <v>10.188222958312201</v>
      </c>
      <c r="W97" s="11">
        <f>1016836.48503175/(10^3)</f>
        <v>1016.83648503175</v>
      </c>
      <c r="X97" s="11">
        <f>10159.0428556499/(10^3)</f>
        <v>10.159042855649899</v>
      </c>
      <c r="Y97" s="11">
        <f>10458.6202066788/(10^3)</f>
        <v>10.458620206678798</v>
      </c>
      <c r="Z97" s="11">
        <f>10260.8966040126/(10^3)</f>
        <v>10.260896604012599</v>
      </c>
      <c r="AA97" s="11">
        <f>10665.421809941/(10^3)</f>
        <v>10.665421809941002</v>
      </c>
      <c r="AB97" s="11">
        <f>10926.5062367338/(10^3)</f>
        <v>10.9265062367338</v>
      </c>
      <c r="AC97" s="11">
        <f>109.998635613454/(10^3)</f>
        <v>0.10999863561345399</v>
      </c>
      <c r="AD97" s="11">
        <f>10942.1539195725/(10^3)</f>
        <v>10.942153919572499</v>
      </c>
      <c r="AE97" s="11">
        <f>10925.310040513/(10^3)</f>
        <v>10.925310040513001</v>
      </c>
      <c r="AF97" s="11">
        <f>11082.4163101237/(10^3)</f>
        <v>11.082416310123701</v>
      </c>
      <c r="AG97" s="11">
        <f>11043.9888856037/(10^3)</f>
        <v>11.043988885603699</v>
      </c>
      <c r="AH97" s="11">
        <f>11544.36599243/(10^3)</f>
        <v>11.544365992429999</v>
      </c>
      <c r="AI97" s="11">
        <f>1171518.00746176/(10^3)</f>
        <v>1171.5180074617599</v>
      </c>
      <c r="AJ97" s="11">
        <f>11685.3925675372/(10^3)</f>
        <v>11.6853925675372</v>
      </c>
      <c r="AK97" s="11">
        <f>11529.4518105735/(10^3)</f>
        <v>11.5294518105735</v>
      </c>
      <c r="AL97" s="11">
        <f>11312.2233493369/(10^3)</f>
        <v>11.3122233493369</v>
      </c>
      <c r="AM97" s="11">
        <f>11290.7903901428/(10^3)</f>
        <v>11.290790390142799</v>
      </c>
      <c r="AN97" s="11">
        <f>11193.7138121674/(10^3)</f>
        <v>11.193713812167399</v>
      </c>
      <c r="AO97" s="11">
        <f>110.928954856116/(10^3)</f>
        <v>0.11092895485611599</v>
      </c>
      <c r="AP97" s="11">
        <f>11288.9819662968/(10^3)</f>
        <v>11.288981966296801</v>
      </c>
      <c r="AQ97" s="11">
        <f>11592.4688990142/(10^3)</f>
        <v>11.5924688990142</v>
      </c>
      <c r="AR97" s="11">
        <f>11397.8577408745/(10^3)</f>
        <v>11.3978577408745</v>
      </c>
      <c r="AS97" s="11">
        <f>11194.6672972655/(10^3)</f>
        <v>11.1946672972655</v>
      </c>
      <c r="AT97" s="11">
        <f>11180.6238026182/(10^3)</f>
        <v>11.1806238026182</v>
      </c>
      <c r="AU97" s="11">
        <f>1115160.44930079/(10^3)</f>
        <v>1115.1604493007899</v>
      </c>
      <c r="AV97" s="11">
        <f>10974.9060301615/(10^3)</f>
        <v>10.974906030161501</v>
      </c>
      <c r="AW97" s="11">
        <f>10918.7598815534/(10^3)</f>
        <v>10.918759881553401</v>
      </c>
      <c r="AX97" s="11">
        <f>11088.1119915312/(10^3)</f>
        <v>11.0881119915312</v>
      </c>
      <c r="AY97" s="11">
        <f>10956.3158362324/(10^3)</f>
        <v>10.956315836232399</v>
      </c>
      <c r="AZ97" s="11">
        <f>10979.7849389882/(10^3)</f>
        <v>10.9797849389882</v>
      </c>
      <c r="BA97" s="11">
        <f>114.273106622082/(10^3)</f>
        <v>0.114273106622082</v>
      </c>
      <c r="BB97" s="11">
        <f>11209.2518571158/(10^3)</f>
        <v>11.209251857115801</v>
      </c>
      <c r="BC97" s="11">
        <f>11658.097349242/(10^3)</f>
        <v>11.658097349242</v>
      </c>
      <c r="BD97" s="11">
        <f>12148.92763433/(10^3)</f>
        <v>12.148927634330001</v>
      </c>
      <c r="BE97" s="11">
        <f>12025.4028393011/(10^3)</f>
        <v>12.025402839301099</v>
      </c>
      <c r="BF97" s="11">
        <f>12385.7066113467/(10^3)</f>
        <v>12.3857066113467</v>
      </c>
      <c r="BG97" s="11">
        <f>1290634.29504903/(10^3)</f>
        <v>1290.63429504903</v>
      </c>
      <c r="BH97" s="11">
        <f>13193.0104260478/(10^3)</f>
        <v>13.193010426047801</v>
      </c>
      <c r="BI97" s="11">
        <f>13510.470994727/(10^3)</f>
        <v>13.510470994727001</v>
      </c>
      <c r="BJ97" s="11">
        <f>13968.8996781228/(10^3)</f>
        <v>13.968899678122799</v>
      </c>
      <c r="BK97" s="11">
        <f>14482.4936283924/(10^3)</f>
        <v>14.482493628392399</v>
      </c>
      <c r="BL97" s="11">
        <f>14823.9816784299/(10^3)</f>
        <v>14.823981678429901</v>
      </c>
      <c r="BM97" s="11">
        <f>146.496689044746/(10^3)</f>
        <v>0.146496689044746</v>
      </c>
      <c r="BN97" s="11">
        <f>15277.5076603612/(10^3)</f>
        <v>15.2775076603612</v>
      </c>
      <c r="BO97" s="11">
        <f>15225.032059406/(10^3)</f>
        <v>15.225032059405999</v>
      </c>
      <c r="BP97" s="11">
        <f>15916.1871596958/(10^3)</f>
        <v>15.9161871596958</v>
      </c>
      <c r="BQ97" s="11">
        <f>15888.1486335077/(10^3)</f>
        <v>15.888148633507701</v>
      </c>
      <c r="BR97" s="11">
        <f>16506.5827890539/(10^3)</f>
        <v>16.506582789053901</v>
      </c>
      <c r="BS97" s="11">
        <f>1705559.79463208/(10^3)</f>
        <v>1705.55979463208</v>
      </c>
      <c r="BT97" s="11">
        <f>17717.2496433178/(10^3)</f>
        <v>17.7172496433178</v>
      </c>
      <c r="BU97" s="11">
        <f>17513.6368660129/(10^3)</f>
        <v>17.513636866012902</v>
      </c>
      <c r="BV97" s="11">
        <f>17253.2255660639/(10^3)</f>
        <v>17.253225566063897</v>
      </c>
      <c r="BW97" s="11">
        <f>17871.1084291728/(10^3)</f>
        <v>17.8711084291728</v>
      </c>
      <c r="BX97" s="11">
        <f>18180.8647820194/(10^3)</f>
        <v>18.180864782019398</v>
      </c>
      <c r="BY97" s="11">
        <f>185.985889488746/(10^3)</f>
        <v>0.185985889488746</v>
      </c>
      <c r="BZ97" s="11">
        <f>18598.5889488746/(10^3)</f>
        <v>18.5985889488746</v>
      </c>
      <c r="CA97" s="11">
        <f>19006.1392383119/(10^3)</f>
        <v>19.006139238311899</v>
      </c>
      <c r="CB97" s="11">
        <f>18815.2698468724/(10^3)</f>
        <v>18.8152698468724</v>
      </c>
      <c r="CC97" s="12"/>
      <c r="CZ97" s="11">
        <v>9.4064695987875204</v>
      </c>
      <c r="DA97" s="11">
        <v>10.999863561345377</v>
      </c>
      <c r="DB97" s="11">
        <v>11.092895485611624</v>
      </c>
      <c r="DC97" s="11">
        <v>11.427310662208214</v>
      </c>
      <c r="DD97" s="11">
        <v>14.649668904474636</v>
      </c>
      <c r="DE97" s="11">
        <v>18.598588948874614</v>
      </c>
      <c r="DG97" s="11">
        <v>9.3998173614103688</v>
      </c>
      <c r="DH97" s="11">
        <v>10.168364850317451</v>
      </c>
      <c r="DI97" s="11">
        <v>11.715180074617647</v>
      </c>
      <c r="DJ97" s="11">
        <v>11.151604493007872</v>
      </c>
      <c r="DK97" s="11">
        <v>12.906342950490343</v>
      </c>
      <c r="DL97" s="11">
        <v>17.055597946320805</v>
      </c>
    </row>
    <row r="98" spans="4:116" ht="15.6" x14ac:dyDescent="0.25">
      <c r="D98" s="10" t="s">
        <v>74</v>
      </c>
      <c r="E98" s="10" t="s">
        <v>51</v>
      </c>
      <c r="F98" s="10" t="s">
        <v>149</v>
      </c>
      <c r="G98" s="10" t="s">
        <v>182</v>
      </c>
      <c r="H98" s="62"/>
      <c r="I98" s="11">
        <f>10524.4496055219/(10^3)</f>
        <v>10.5244496055219</v>
      </c>
      <c r="J98" s="11">
        <f>10421.0285415127/(10^3)</f>
        <v>10.421028541512699</v>
      </c>
      <c r="K98" s="11">
        <f>1030051.02268686/(10^3)</f>
        <v>1030.0510226868601</v>
      </c>
      <c r="L98" s="11">
        <f>10800.6615544062/(10^3)</f>
        <v>10.800661554406201</v>
      </c>
      <c r="M98" s="11">
        <f>10999.4904890828/(10^3)</f>
        <v>10.999490489082801</v>
      </c>
      <c r="N98" s="11">
        <f>10876.6203243093/(10^3)</f>
        <v>10.8766203243093</v>
      </c>
      <c r="O98" s="11">
        <f>11218.6239198425/(10^3)</f>
        <v>11.2186239198425</v>
      </c>
      <c r="P98" s="11">
        <f>11714.990100499/(10^3)</f>
        <v>11.714990100499001</v>
      </c>
      <c r="Q98" s="11">
        <f>117.755123382265/(10^3)</f>
        <v>0.117755123382265</v>
      </c>
      <c r="R98" s="11">
        <f>11678.5819514853/(10^3)</f>
        <v>11.678581951485299</v>
      </c>
      <c r="S98" s="11">
        <f>11761.0540251224/(10^3)</f>
        <v>11.7610540251224</v>
      </c>
      <c r="T98" s="11">
        <f>11729.5374773553/(10^3)</f>
        <v>11.729537477355299</v>
      </c>
      <c r="U98" s="11">
        <f>11590.9528872912/(10^3)</f>
        <v>11.5909528872912</v>
      </c>
      <c r="V98" s="11">
        <f>11789.2507913111/(10^3)</f>
        <v>11.789250791311101</v>
      </c>
      <c r="W98" s="11">
        <f>1205347.22497754/(10^3)</f>
        <v>1205.34722497754</v>
      </c>
      <c r="X98" s="11">
        <f>11901.1206239427/(10^3)</f>
        <v>11.901120623942699</v>
      </c>
      <c r="Y98" s="11">
        <f>11741.8930625595/(10^3)</f>
        <v>11.7418930625595</v>
      </c>
      <c r="Z98" s="11">
        <f>11590.0196629995/(10^3)</f>
        <v>11.5900196629995</v>
      </c>
      <c r="AA98" s="11">
        <f>11992.2036572061/(10^3)</f>
        <v>11.992203657206101</v>
      </c>
      <c r="AB98" s="11">
        <f>11866.6001234269/(10^3)</f>
        <v>11.866600123426901</v>
      </c>
      <c r="AC98" s="11">
        <f>118.529367414803/(10^3)</f>
        <v>0.11852936741480301</v>
      </c>
      <c r="AD98" s="11">
        <f>11694.4830165325/(10^3)</f>
        <v>11.6944830165325</v>
      </c>
      <c r="AE98" s="11">
        <f>11624.8994716265/(10^3)</f>
        <v>11.624899471626501</v>
      </c>
      <c r="AF98" s="11">
        <f>11831.8980677206/(10^3)</f>
        <v>11.8318980677206</v>
      </c>
      <c r="AG98" s="11">
        <f>12000.7543223409/(10^3)</f>
        <v>12.000754322340899</v>
      </c>
      <c r="AH98" s="11">
        <f>12352.760362509/(10^3)</f>
        <v>12.352760362508999</v>
      </c>
      <c r="AI98" s="11">
        <f>1212326.24276333/(10^3)</f>
        <v>1212.3262427633299</v>
      </c>
      <c r="AJ98" s="11">
        <f>12624.3342464296/(10^3)</f>
        <v>12.6243342464296</v>
      </c>
      <c r="AK98" s="11">
        <f>12530.7055045576/(10^3)</f>
        <v>12.5307055045576</v>
      </c>
      <c r="AL98" s="11">
        <f>12476.9707838606/(10^3)</f>
        <v>12.476970783860599</v>
      </c>
      <c r="AM98" s="11">
        <f>12279.3505593374/(10^3)</f>
        <v>12.279350559337399</v>
      </c>
      <c r="AN98" s="11">
        <f>12062.6890861986/(10^3)</f>
        <v>12.062689086198599</v>
      </c>
      <c r="AO98" s="11">
        <f>123.100774835804/(10^3)</f>
        <v>0.12310077483580401</v>
      </c>
      <c r="AP98" s="11">
        <f>12171.2856827295/(10^3)</f>
        <v>12.171285682729501</v>
      </c>
      <c r="AQ98" s="11">
        <f>12143.0661218949/(10^3)</f>
        <v>12.143066121894901</v>
      </c>
      <c r="AR98" s="11">
        <f>12088.3471302959/(10^3)</f>
        <v>12.088347130295901</v>
      </c>
      <c r="AS98" s="11">
        <f>12544.5125562701/(10^3)</f>
        <v>12.544512556270099</v>
      </c>
      <c r="AT98" s="11">
        <f>12601.7641319921/(10^3)</f>
        <v>12.6017641319921</v>
      </c>
      <c r="AU98" s="11">
        <f>1236628.49256694/(10^3)</f>
        <v>1236.6284925669399</v>
      </c>
      <c r="AV98" s="11">
        <f>12398.8269327136/(10^3)</f>
        <v>12.3988269327136</v>
      </c>
      <c r="AW98" s="11">
        <f>12909.7861614777/(10^3)</f>
        <v>12.909786161477699</v>
      </c>
      <c r="AX98" s="11">
        <f>13141.7937654752/(10^3)</f>
        <v>13.141793765475201</v>
      </c>
      <c r="AY98" s="11">
        <f>13066.4628305265/(10^3)</f>
        <v>13.0664628305265</v>
      </c>
      <c r="AZ98" s="11">
        <f>13073.1850097224/(10^3)</f>
        <v>13.073185009722399</v>
      </c>
      <c r="BA98" s="11">
        <f>137.016415360488/(10^3)</f>
        <v>0.137016415360488</v>
      </c>
      <c r="BB98" s="11">
        <f>13847.7069205024/(10^3)</f>
        <v>13.8477069205024</v>
      </c>
      <c r="BC98" s="11">
        <f>13788.6264997499/(10^3)</f>
        <v>13.788626499749901</v>
      </c>
      <c r="BD98" s="11">
        <f>13702.6897332531/(10^3)</f>
        <v>13.7026897332531</v>
      </c>
      <c r="BE98" s="11">
        <f>13915.8380141628/(10^3)</f>
        <v>13.9158380141628</v>
      </c>
      <c r="BF98" s="11">
        <f>14245.0733184174/(10^3)</f>
        <v>14.245073318417401</v>
      </c>
      <c r="BG98" s="11">
        <f>1406332.43406647/(10^3)</f>
        <v>1406.3324340664701</v>
      </c>
      <c r="BH98" s="11">
        <f>14706.4813480703/(10^3)</f>
        <v>14.7064813480703</v>
      </c>
      <c r="BI98" s="11">
        <f>14574.7914644977/(10^3)</f>
        <v>14.5747914644977</v>
      </c>
      <c r="BJ98" s="11">
        <f>14719.4426398654/(10^3)</f>
        <v>14.719442639865399</v>
      </c>
      <c r="BK98" s="11">
        <f>14749.4193259491/(10^3)</f>
        <v>14.7494193259491</v>
      </c>
      <c r="BL98" s="11">
        <f>14579.3047393934/(10^3)</f>
        <v>14.579304739393399</v>
      </c>
      <c r="BM98" s="11">
        <f>149.612327491903/(10^3)</f>
        <v>0.14961232749190298</v>
      </c>
      <c r="BN98" s="11">
        <f>14728.060491657/(10^3)</f>
        <v>14.728060491656999</v>
      </c>
      <c r="BO98" s="11">
        <f>15218.7598913301/(10^3)</f>
        <v>15.218759891330102</v>
      </c>
      <c r="BP98" s="11">
        <f>15754.1812321908/(10^3)</f>
        <v>15.754181232190801</v>
      </c>
      <c r="BQ98" s="11">
        <f>15471.5731765578/(10^3)</f>
        <v>15.471573176557801</v>
      </c>
      <c r="BR98" s="11">
        <f>15232.642542699/(10^3)</f>
        <v>15.232642542699001</v>
      </c>
      <c r="BS98" s="11">
        <f>1565243.15952146/(10^3)</f>
        <v>1565.24315952146</v>
      </c>
      <c r="BT98" s="11">
        <f>15884.6031085491/(10^3)</f>
        <v>15.884603108549099</v>
      </c>
      <c r="BU98" s="11">
        <f>16351.8006044733/(10^3)</f>
        <v>16.351800604473301</v>
      </c>
      <c r="BV98" s="11">
        <f>16106.7102859018/(10^3)</f>
        <v>16.106710285901798</v>
      </c>
      <c r="BW98" s="11">
        <f>16111.9965531136/(10^3)</f>
        <v>16.111996553113599</v>
      </c>
      <c r="BX98" s="11">
        <f>16791.0449169443/(10^3)</f>
        <v>16.791044916944301</v>
      </c>
      <c r="BY98" s="11">
        <f>166.260172082346/(10^3)</f>
        <v>0.166260172082346</v>
      </c>
      <c r="BZ98" s="11">
        <f>16626.0172082346/(10^3)</f>
        <v>16.6260172082346</v>
      </c>
      <c r="CA98" s="11">
        <f>16980.0038746454/(10^3)</f>
        <v>16.980003874645401</v>
      </c>
      <c r="CB98" s="11">
        <f>16910.7966516551/(10^3)</f>
        <v>16.910796651655097</v>
      </c>
      <c r="CC98" s="12"/>
      <c r="CZ98" s="11">
        <v>11.775512338226475</v>
      </c>
      <c r="DA98" s="11">
        <v>11.852936741480313</v>
      </c>
      <c r="DB98" s="11">
        <v>12.310077483580365</v>
      </c>
      <c r="DC98" s="11">
        <v>13.701641536048768</v>
      </c>
      <c r="DD98" s="11">
        <v>14.961232749190341</v>
      </c>
      <c r="DE98" s="11">
        <v>16.626017208234597</v>
      </c>
      <c r="DG98" s="11">
        <v>10.300510226868608</v>
      </c>
      <c r="DH98" s="11">
        <v>12.053472249775352</v>
      </c>
      <c r="DI98" s="11">
        <v>12.123262427633302</v>
      </c>
      <c r="DJ98" s="11">
        <v>12.366284925669355</v>
      </c>
      <c r="DK98" s="11">
        <v>14.063324340664691</v>
      </c>
      <c r="DL98" s="11">
        <v>15.652431595214598</v>
      </c>
    </row>
    <row r="99" spans="4:116" ht="15.6" x14ac:dyDescent="0.25">
      <c r="D99" s="10" t="s">
        <v>75</v>
      </c>
      <c r="E99" s="10" t="s">
        <v>64</v>
      </c>
      <c r="F99" s="10" t="s">
        <v>150</v>
      </c>
      <c r="G99" s="10" t="s">
        <v>182</v>
      </c>
      <c r="H99" s="62"/>
      <c r="I99" s="11">
        <f>12740.1306101033/(10^3)</f>
        <v>12.7401306101033</v>
      </c>
      <c r="J99" s="11">
        <f>13211.0914240469/(10^3)</f>
        <v>13.211091424046899</v>
      </c>
      <c r="K99" s="11">
        <f>1383441.51406743/(10^3)</f>
        <v>1383.44151406743</v>
      </c>
      <c r="L99" s="11">
        <f>13863.6053377674/(10^3)</f>
        <v>13.8636053377674</v>
      </c>
      <c r="M99" s="11">
        <f>13923.7848207156/(10^3)</f>
        <v>13.9237848207156</v>
      </c>
      <c r="N99" s="11">
        <f>14378.5476290047/(10^3)</f>
        <v>14.3785476290047</v>
      </c>
      <c r="O99" s="11">
        <f>15006.9355732574/(10^3)</f>
        <v>15.006935573257401</v>
      </c>
      <c r="P99" s="11">
        <f>15234.9758233269/(10^3)</f>
        <v>15.2349758233269</v>
      </c>
      <c r="Q99" s="11">
        <f>152.830333325593/(10^3)</f>
        <v>0.15283033332559298</v>
      </c>
      <c r="R99" s="11">
        <f>15028.2093092594/(10^3)</f>
        <v>15.028209309259401</v>
      </c>
      <c r="S99" s="11">
        <f>15147.4172709658/(10^3)</f>
        <v>15.1474172709658</v>
      </c>
      <c r="T99" s="11">
        <f>15552.5221616251/(10^3)</f>
        <v>15.552522161625101</v>
      </c>
      <c r="U99" s="11">
        <f>15524.4411967103/(10^3)</f>
        <v>15.524441196710301</v>
      </c>
      <c r="V99" s="11">
        <f>15316.5626593437/(10^3)</f>
        <v>15.316562659343699</v>
      </c>
      <c r="W99" s="11">
        <f>1501708.35478486/(10^3)</f>
        <v>1501.7083547848601</v>
      </c>
      <c r="X99" s="11">
        <f>15137.9233020875/(10^3)</f>
        <v>15.137923302087501</v>
      </c>
      <c r="Y99" s="11">
        <f>15822.7243889652/(10^3)</f>
        <v>15.822724388965201</v>
      </c>
      <c r="Z99" s="11">
        <f>15664.462390518/(10^3)</f>
        <v>15.664462390518</v>
      </c>
      <c r="AA99" s="11">
        <f>15543.3743617127/(10^3)</f>
        <v>15.543374361712701</v>
      </c>
      <c r="AB99" s="11">
        <f>15664.9262005519/(10^3)</f>
        <v>15.6649262005519</v>
      </c>
      <c r="AC99" s="11">
        <f>155.337075868727/(10^3)</f>
        <v>0.155337075868727</v>
      </c>
      <c r="AD99" s="11">
        <f>16129.259372237/(10^3)</f>
        <v>16.129259372237001</v>
      </c>
      <c r="AE99" s="11">
        <f>16547.3110285606/(10^3)</f>
        <v>16.547311028560603</v>
      </c>
      <c r="AF99" s="11">
        <f>16301.7027495551/(10^3)</f>
        <v>16.301702749555098</v>
      </c>
      <c r="AG99" s="11">
        <f>16096.0886765805/(10^3)</f>
        <v>16.0960886765805</v>
      </c>
      <c r="AH99" s="11">
        <f>16629.0898189564/(10^3)</f>
        <v>16.629089818956398</v>
      </c>
      <c r="AI99" s="11">
        <f>1662536.57943544/(10^3)</f>
        <v>1662.53657943544</v>
      </c>
      <c r="AJ99" s="11">
        <f>16425.2812164493/(10^3)</f>
        <v>16.425281216449299</v>
      </c>
      <c r="AK99" s="11">
        <f>16282.0202703876/(10^3)</f>
        <v>16.282020270387601</v>
      </c>
      <c r="AL99" s="11">
        <f>16067.7789292655/(10^3)</f>
        <v>16.067778929265501</v>
      </c>
      <c r="AM99" s="11">
        <f>16014.7287694988/(10^3)</f>
        <v>16.014728769498802</v>
      </c>
      <c r="AN99" s="11">
        <f>16233.2793274897/(10^3)</f>
        <v>16.233279327489701</v>
      </c>
      <c r="AO99" s="11">
        <f>162.217241436114/(10^3)</f>
        <v>0.16221724143611399</v>
      </c>
      <c r="AP99" s="11">
        <f>16608.9636751436/(10^3)</f>
        <v>16.608963675143603</v>
      </c>
      <c r="AQ99" s="11">
        <f>16281.6627212523/(10^3)</f>
        <v>16.2816627212523</v>
      </c>
      <c r="AR99" s="11">
        <f>16226.4378683772/(10^3)</f>
        <v>16.2264378683772</v>
      </c>
      <c r="AS99" s="11">
        <f>16233.5499309728/(10^3)</f>
        <v>16.233549930972799</v>
      </c>
      <c r="AT99" s="11">
        <f>16222.4748617402/(10^3)</f>
        <v>16.222474861740199</v>
      </c>
      <c r="AU99" s="11">
        <f>1702897.30931963/(10^3)</f>
        <v>1702.89730931963</v>
      </c>
      <c r="AV99" s="11">
        <f>17086.9774741798/(10^3)</f>
        <v>17.0869774741798</v>
      </c>
      <c r="AW99" s="11">
        <f>16839.9567788688/(10^3)</f>
        <v>16.8399567788688</v>
      </c>
      <c r="AX99" s="11">
        <f>17056.7797806988/(10^3)</f>
        <v>17.056779780698797</v>
      </c>
      <c r="AY99" s="11">
        <f>17171.0286902099/(10^3)</f>
        <v>17.171028690209901</v>
      </c>
      <c r="AZ99" s="11">
        <f>17390.3694015692/(10^3)</f>
        <v>17.390369401569203</v>
      </c>
      <c r="BA99" s="11">
        <f>178.604375194711/(10^3)</f>
        <v>0.17860437519471101</v>
      </c>
      <c r="BB99" s="11">
        <f>17843.6907212116/(10^3)</f>
        <v>17.843690721211598</v>
      </c>
      <c r="BC99" s="11">
        <f>18690.9613746195/(10^3)</f>
        <v>18.690961374619498</v>
      </c>
      <c r="BD99" s="11">
        <f>18691.7670940311/(10^3)</f>
        <v>18.6917670940311</v>
      </c>
      <c r="BE99" s="11">
        <f>18549.0688610351/(10^3)</f>
        <v>18.549068861035099</v>
      </c>
      <c r="BF99" s="11">
        <f>18610.7681221973/(10^3)</f>
        <v>18.6107681221973</v>
      </c>
      <c r="BG99" s="11">
        <f>1927270.66354139/(10^3)</f>
        <v>1927.2706635413901</v>
      </c>
      <c r="BH99" s="11">
        <f>19999.9971518303/(10^3)</f>
        <v>19.9999971518303</v>
      </c>
      <c r="BI99" s="11">
        <f>19643.1667276899/(10^3)</f>
        <v>19.643166727689898</v>
      </c>
      <c r="BJ99" s="11">
        <f>19663.8311970034/(10^3)</f>
        <v>19.6638311970034</v>
      </c>
      <c r="BK99" s="11">
        <f>19420.115584748/(10^3)</f>
        <v>19.420115584748</v>
      </c>
      <c r="BL99" s="11">
        <f>20315.2157858749/(10^3)</f>
        <v>20.315215785874901</v>
      </c>
      <c r="BM99" s="11">
        <f>212.630610592705/(10^3)</f>
        <v>0.21263061059270502</v>
      </c>
      <c r="BN99" s="11">
        <f>22310.5030483669/(10^3)</f>
        <v>22.3105030483669</v>
      </c>
      <c r="BO99" s="11">
        <f>22460.9998804885/(10^3)</f>
        <v>22.460999880488501</v>
      </c>
      <c r="BP99" s="11">
        <f>22286.6962705473/(10^3)</f>
        <v>22.286696270547303</v>
      </c>
      <c r="BQ99" s="11">
        <f>22911.8281336624/(10^3)</f>
        <v>22.9118281336624</v>
      </c>
      <c r="BR99" s="11">
        <f>23581.4094826985/(10^3)</f>
        <v>23.581409482698497</v>
      </c>
      <c r="BS99" s="11">
        <f>2382098.92174439/(10^3)</f>
        <v>2382.0989217443898</v>
      </c>
      <c r="BT99" s="11">
        <f>23908.4347650443/(10^3)</f>
        <v>23.908434765044301</v>
      </c>
      <c r="BU99" s="11">
        <f>24394.0036921418/(10^3)</f>
        <v>24.394003692141801</v>
      </c>
      <c r="BV99" s="11">
        <f>25611.4699019662/(10^3)</f>
        <v>25.611469901966199</v>
      </c>
      <c r="BW99" s="11">
        <f>26053.363228642/(10^3)</f>
        <v>26.053363228641999</v>
      </c>
      <c r="BX99" s="11">
        <f>25868.985163799/(10^3)</f>
        <v>25.868985163799</v>
      </c>
      <c r="BY99" s="11">
        <f>263.072128728532/(10^3)</f>
        <v>0.26307212872853197</v>
      </c>
      <c r="BZ99" s="11">
        <f>26307.2128728532/(10^3)</f>
        <v>26.307212872853199</v>
      </c>
      <c r="CA99" s="11">
        <f>25797.5632799002/(10^3)</f>
        <v>25.797563279900203</v>
      </c>
      <c r="CB99" s="11">
        <f>26513.2646260593/(10^3)</f>
        <v>26.5132646260593</v>
      </c>
      <c r="CC99" s="12"/>
      <c r="CZ99" s="11">
        <v>15.283033332559315</v>
      </c>
      <c r="DA99" s="11">
        <v>15.533707586872668</v>
      </c>
      <c r="DB99" s="11">
        <v>16.221724143611361</v>
      </c>
      <c r="DC99" s="11">
        <v>17.860437519471088</v>
      </c>
      <c r="DD99" s="11">
        <v>21.263061059270498</v>
      </c>
      <c r="DE99" s="11">
        <v>26.307212872853171</v>
      </c>
      <c r="DG99" s="11">
        <v>13.834415140674267</v>
      </c>
      <c r="DH99" s="11">
        <v>15.01708354784865</v>
      </c>
      <c r="DI99" s="11">
        <v>16.625365794354366</v>
      </c>
      <c r="DJ99" s="11">
        <v>17.028973093196299</v>
      </c>
      <c r="DK99" s="11">
        <v>19.272706635413893</v>
      </c>
      <c r="DL99" s="11">
        <v>23.820989217443881</v>
      </c>
    </row>
    <row r="100" spans="4:116" ht="15.6" x14ac:dyDescent="0.25">
      <c r="D100" s="10" t="s">
        <v>76</v>
      </c>
      <c r="E100" s="10" t="s">
        <v>51</v>
      </c>
      <c r="F100" s="10" t="s">
        <v>149</v>
      </c>
      <c r="G100" s="10" t="s">
        <v>182</v>
      </c>
      <c r="H100" s="62"/>
      <c r="I100" s="11">
        <f>14246.614340886/(10^3)</f>
        <v>14.246614340886001</v>
      </c>
      <c r="J100" s="11">
        <f>14737.0066997465/(10^3)</f>
        <v>14.7370066997465</v>
      </c>
      <c r="K100" s="11">
        <f>1526990.58378558/(10^3)</f>
        <v>1526.9905837855799</v>
      </c>
      <c r="L100" s="11">
        <f>15181.5211737506/(10^3)</f>
        <v>15.1815211737506</v>
      </c>
      <c r="M100" s="11">
        <f>15058.6152275359/(10^3)</f>
        <v>15.058615227535899</v>
      </c>
      <c r="N100" s="11">
        <f>15595.2887067571/(10^3)</f>
        <v>15.595288706757099</v>
      </c>
      <c r="O100" s="11">
        <f>15956.6094225096/(10^3)</f>
        <v>15.956609422509601</v>
      </c>
      <c r="P100" s="11">
        <f>16012.0731229858/(10^3)</f>
        <v>16.0120731229858</v>
      </c>
      <c r="Q100" s="11">
        <f>164.388238600826/(10^3)</f>
        <v>0.16438823860082602</v>
      </c>
      <c r="R100" s="11">
        <f>16472.7922540953/(10^3)</f>
        <v>16.4727922540953</v>
      </c>
      <c r="S100" s="11">
        <f>16575.5734392343/(10^3)</f>
        <v>16.575573439234301</v>
      </c>
      <c r="T100" s="11">
        <f>17333.1372371502/(10^3)</f>
        <v>17.333137237150201</v>
      </c>
      <c r="U100" s="11">
        <f>17902.3721255116/(10^3)</f>
        <v>17.902372125511601</v>
      </c>
      <c r="V100" s="11">
        <f>17974.913418019/(10^3)</f>
        <v>17.974913418019</v>
      </c>
      <c r="W100" s="11">
        <f>1787736.59651687/(10^3)</f>
        <v>1787.7365965168699</v>
      </c>
      <c r="X100" s="11">
        <f>17749.0023950032/(10^3)</f>
        <v>17.749002395003203</v>
      </c>
      <c r="Y100" s="11">
        <f>17693.4446005718/(10^3)</f>
        <v>17.693444600571798</v>
      </c>
      <c r="Z100" s="11">
        <f>17766.1520235827/(10^3)</f>
        <v>17.766152023582702</v>
      </c>
      <c r="AA100" s="11">
        <f>17648.7387263738/(10^3)</f>
        <v>17.6487387263738</v>
      </c>
      <c r="AB100" s="11">
        <f>17668.6053604078/(10^3)</f>
        <v>17.668605360407799</v>
      </c>
      <c r="AC100" s="11">
        <f>175.991811983943/(10^3)</f>
        <v>0.17599181198394301</v>
      </c>
      <c r="AD100" s="11">
        <f>17753.5224683304/(10^3)</f>
        <v>17.753522468330399</v>
      </c>
      <c r="AE100" s="11">
        <f>17711.6965944459/(10^3)</f>
        <v>17.7116965944459</v>
      </c>
      <c r="AF100" s="11">
        <f>17882.6924520109/(10^3)</f>
        <v>17.8826924520109</v>
      </c>
      <c r="AG100" s="11">
        <f>17940.9217952085/(10^3)</f>
        <v>17.940921795208499</v>
      </c>
      <c r="AH100" s="11">
        <f>17673.7882718039/(10^3)</f>
        <v>17.6737882718039</v>
      </c>
      <c r="AI100" s="11">
        <f>1798826.04239783/(10^3)</f>
        <v>1798.82604239783</v>
      </c>
      <c r="AJ100" s="11">
        <f>18400.029786263/(10^3)</f>
        <v>18.400029786262998</v>
      </c>
      <c r="AK100" s="11">
        <f>19235.1676608631/(10^3)</f>
        <v>19.235167660863098</v>
      </c>
      <c r="AL100" s="11">
        <f>20149.5890610825/(10^3)</f>
        <v>20.149589061082501</v>
      </c>
      <c r="AM100" s="11">
        <f>20313.0525396326/(10^3)</f>
        <v>20.313052539632601</v>
      </c>
      <c r="AN100" s="11">
        <f>19936.0212368367/(10^3)</f>
        <v>19.936021236836698</v>
      </c>
      <c r="AO100" s="11">
        <f>202.996424957775/(10^3)</f>
        <v>0.20299642495777498</v>
      </c>
      <c r="AP100" s="11">
        <f>20075.8154112423/(10^3)</f>
        <v>20.075815411242299</v>
      </c>
      <c r="AQ100" s="11">
        <f>19682.5530038385/(10^3)</f>
        <v>19.6825530038385</v>
      </c>
      <c r="AR100" s="11">
        <f>19839.6038403616/(10^3)</f>
        <v>19.839603840361601</v>
      </c>
      <c r="AS100" s="11">
        <f>20787.2658600072/(10^3)</f>
        <v>20.787265860007199</v>
      </c>
      <c r="AT100" s="11">
        <f>20704.9434133976/(10^3)</f>
        <v>20.704943413397601</v>
      </c>
      <c r="AU100" s="11">
        <f>2056319.13515811/(10^3)</f>
        <v>2056.3191351581099</v>
      </c>
      <c r="AV100" s="11">
        <f>20166.3566146012/(10^3)</f>
        <v>20.166356614601202</v>
      </c>
      <c r="AW100" s="11">
        <f>19868.5167599765/(10^3)</f>
        <v>19.868516759976501</v>
      </c>
      <c r="AX100" s="11">
        <f>19963.7420608827/(10^3)</f>
        <v>19.963742060882701</v>
      </c>
      <c r="AY100" s="11">
        <f>20912.509838867/(10^3)</f>
        <v>20.912509838867003</v>
      </c>
      <c r="AZ100" s="11">
        <f>21528.0749009244/(10^3)</f>
        <v>21.528074900924398</v>
      </c>
      <c r="BA100" s="11">
        <f>217.392930855657/(10^3)</f>
        <v>0.217392930855657</v>
      </c>
      <c r="BB100" s="11">
        <f>21474.8104374624/(10^3)</f>
        <v>21.474810437462402</v>
      </c>
      <c r="BC100" s="11">
        <f>22524.9101409334/(10^3)</f>
        <v>22.5249101409334</v>
      </c>
      <c r="BD100" s="11">
        <f>22462.0949871687/(10^3)</f>
        <v>22.462094987168701</v>
      </c>
      <c r="BE100" s="11">
        <f>23569.9983125371/(10^3)</f>
        <v>23.569998312537098</v>
      </c>
      <c r="BF100" s="11">
        <f>23295.1393618545/(10^3)</f>
        <v>23.295139361854499</v>
      </c>
      <c r="BG100" s="11">
        <f>2420135.68722487/(10^3)</f>
        <v>2420.1356872248703</v>
      </c>
      <c r="BH100" s="11">
        <f>25160.145428076/(10^3)</f>
        <v>25.160145428076</v>
      </c>
      <c r="BI100" s="11">
        <f>24698.7783943222/(10^3)</f>
        <v>24.698778394322197</v>
      </c>
      <c r="BJ100" s="11">
        <f>25603.780199393/(10^3)</f>
        <v>25.603780199393</v>
      </c>
      <c r="BK100" s="11">
        <f>25416.3923080726/(10^3)</f>
        <v>25.416392308072602</v>
      </c>
      <c r="BL100" s="11">
        <f>25375.9039258912/(10^3)</f>
        <v>25.375903925891201</v>
      </c>
      <c r="BM100" s="11">
        <f>259.860777488822/(10^3)</f>
        <v>0.25986077748882203</v>
      </c>
      <c r="BN100" s="11">
        <f>27097.7124533716/(10^3)</f>
        <v>27.097712453371603</v>
      </c>
      <c r="BO100" s="11">
        <f>27360.7299819715/(10^3)</f>
        <v>27.360729981971502</v>
      </c>
      <c r="BP100" s="11">
        <f>28507.862335906/(10^3)</f>
        <v>28.507862335906001</v>
      </c>
      <c r="BQ100" s="11">
        <f>28430.4457716954/(10^3)</f>
        <v>28.4304457716954</v>
      </c>
      <c r="BR100" s="11">
        <f>27893.1587653881/(10^3)</f>
        <v>27.893158765388101</v>
      </c>
      <c r="BS100" s="11">
        <f>2894502.73556824/(10^3)</f>
        <v>2894.50273556824</v>
      </c>
      <c r="BT100" s="11">
        <f>29555.9544172705/(10^3)</f>
        <v>29.555954417270499</v>
      </c>
      <c r="BU100" s="11">
        <f>30201.0040939331/(10^3)</f>
        <v>30.201004093933101</v>
      </c>
      <c r="BV100" s="11">
        <f>30400.9502548616/(10^3)</f>
        <v>30.400950254861598</v>
      </c>
      <c r="BW100" s="11">
        <f>30755.9855386441/(10^3)</f>
        <v>30.755985538644101</v>
      </c>
      <c r="BX100" s="11">
        <f>32052.8016483422/(10^3)</f>
        <v>32.052801648342196</v>
      </c>
      <c r="BY100" s="11">
        <f>327.318347937939/(10^3)</f>
        <v>0.32731834793793901</v>
      </c>
      <c r="BZ100" s="11">
        <f>32731.8347937939/(10^3)</f>
        <v>32.731834793793901</v>
      </c>
      <c r="CA100" s="11">
        <f>32516.0663308112/(10^3)</f>
        <v>32.516066330811199</v>
      </c>
      <c r="CB100" s="11">
        <f>32097.9524747106/(10^3)</f>
        <v>32.097952474710603</v>
      </c>
      <c r="CC100" s="12"/>
      <c r="CZ100" s="11">
        <v>16.43882386008265</v>
      </c>
      <c r="DA100" s="11">
        <v>17.599181198394255</v>
      </c>
      <c r="DB100" s="11">
        <v>20.299642495777515</v>
      </c>
      <c r="DC100" s="11">
        <v>21.739293085565652</v>
      </c>
      <c r="DD100" s="11">
        <v>25.986077748882231</v>
      </c>
      <c r="DE100" s="11">
        <v>32.731834793793894</v>
      </c>
      <c r="DG100" s="11">
        <v>15.269905837855816</v>
      </c>
      <c r="DH100" s="11">
        <v>17.877365965168746</v>
      </c>
      <c r="DI100" s="11">
        <v>17.988260423978328</v>
      </c>
      <c r="DJ100" s="11">
        <v>20.563191351581107</v>
      </c>
      <c r="DK100" s="11">
        <v>24.20135687224866</v>
      </c>
      <c r="DL100" s="11">
        <v>28.945027355682381</v>
      </c>
    </row>
    <row r="101" spans="4:116" ht="14.4" x14ac:dyDescent="0.3">
      <c r="I101" s="11"/>
      <c r="J101" s="15"/>
    </row>
    <row r="102" spans="4:116" ht="14.4" x14ac:dyDescent="0.3">
      <c r="I102" s="11"/>
      <c r="J102" s="15"/>
    </row>
    <row r="103" spans="4:116" ht="14.4" x14ac:dyDescent="0.3">
      <c r="D103" s="16" t="s">
        <v>152</v>
      </c>
      <c r="E103" s="17"/>
      <c r="F103" s="17"/>
      <c r="G103" s="17"/>
      <c r="H103" s="17"/>
      <c r="I103" s="18"/>
      <c r="J103" s="19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</row>
    <row r="104" spans="4:116" ht="14.4" x14ac:dyDescent="0.3">
      <c r="D104" s="4"/>
      <c r="I104" s="11"/>
      <c r="J104" s="15"/>
    </row>
    <row r="105" spans="4:116" x14ac:dyDescent="0.25">
      <c r="D105" s="20">
        <f>+CC105</f>
        <v>0</v>
      </c>
    </row>
    <row r="106" spans="4:116" x14ac:dyDescent="0.25">
      <c r="D106" s="4"/>
      <c r="H106" s="9"/>
      <c r="I106" s="9">
        <v>42035</v>
      </c>
      <c r="J106" s="9">
        <v>42063</v>
      </c>
      <c r="K106" s="9">
        <v>42094</v>
      </c>
      <c r="L106" s="9">
        <v>42124</v>
      </c>
      <c r="M106" s="9">
        <v>42155</v>
      </c>
      <c r="N106" s="9">
        <v>42185</v>
      </c>
      <c r="O106" s="9">
        <v>42216</v>
      </c>
      <c r="P106" s="9">
        <v>42247</v>
      </c>
      <c r="Q106" s="9">
        <v>42277</v>
      </c>
      <c r="R106" s="9">
        <v>42308</v>
      </c>
      <c r="S106" s="9">
        <v>42338</v>
      </c>
      <c r="T106" s="9">
        <v>42369</v>
      </c>
      <c r="U106" s="9">
        <v>42400</v>
      </c>
      <c r="V106" s="9">
        <v>42429</v>
      </c>
      <c r="W106" s="9">
        <v>42460</v>
      </c>
      <c r="X106" s="9">
        <v>42490</v>
      </c>
      <c r="Y106" s="9">
        <v>42521</v>
      </c>
      <c r="Z106" s="9">
        <v>42551</v>
      </c>
      <c r="AA106" s="9">
        <v>42582</v>
      </c>
      <c r="AB106" s="9">
        <v>42613</v>
      </c>
      <c r="AC106" s="9">
        <v>42643</v>
      </c>
      <c r="AD106" s="9">
        <v>42674</v>
      </c>
      <c r="AE106" s="9">
        <v>42704</v>
      </c>
      <c r="AF106" s="9">
        <v>42735</v>
      </c>
      <c r="AG106" s="9">
        <v>42766</v>
      </c>
      <c r="AH106" s="9">
        <v>42794</v>
      </c>
      <c r="AI106" s="9">
        <v>42825</v>
      </c>
      <c r="AJ106" s="9">
        <v>42855</v>
      </c>
      <c r="AK106" s="9">
        <v>42886</v>
      </c>
      <c r="AL106" s="9">
        <v>42916</v>
      </c>
      <c r="AM106" s="9">
        <v>42947</v>
      </c>
      <c r="AN106" s="9">
        <v>42978</v>
      </c>
      <c r="AO106" s="9">
        <v>43008</v>
      </c>
      <c r="AP106" s="9">
        <v>43039</v>
      </c>
      <c r="AQ106" s="9">
        <v>43069</v>
      </c>
      <c r="AR106" s="9">
        <v>43100</v>
      </c>
      <c r="AS106" s="9">
        <v>43131</v>
      </c>
      <c r="AT106" s="9">
        <v>43159</v>
      </c>
      <c r="AU106" s="9">
        <v>43190</v>
      </c>
      <c r="AV106" s="9">
        <v>43220</v>
      </c>
      <c r="AW106" s="9">
        <v>43251</v>
      </c>
      <c r="AX106" s="9">
        <v>43281</v>
      </c>
      <c r="AY106" s="9">
        <v>43312</v>
      </c>
      <c r="AZ106" s="9">
        <v>43343</v>
      </c>
      <c r="BA106" s="9">
        <v>43373</v>
      </c>
      <c r="BB106" s="9">
        <v>43404</v>
      </c>
      <c r="BC106" s="9">
        <v>43434</v>
      </c>
      <c r="BD106" s="9">
        <v>43465</v>
      </c>
      <c r="BE106" s="9">
        <v>43496</v>
      </c>
      <c r="BF106" s="9">
        <v>43524</v>
      </c>
      <c r="BG106" s="9">
        <v>43555</v>
      </c>
      <c r="BH106" s="9">
        <v>43585</v>
      </c>
      <c r="BI106" s="9">
        <v>43616</v>
      </c>
      <c r="BJ106" s="9">
        <v>43646</v>
      </c>
      <c r="BK106" s="9">
        <v>43677</v>
      </c>
      <c r="BL106" s="9">
        <v>43708</v>
      </c>
      <c r="BM106" s="9">
        <v>43738</v>
      </c>
      <c r="BN106" s="9">
        <v>43769</v>
      </c>
      <c r="BO106" s="9">
        <v>43799</v>
      </c>
      <c r="BP106" s="9">
        <v>43830</v>
      </c>
      <c r="BQ106" s="9">
        <v>43861</v>
      </c>
      <c r="BR106" s="9">
        <v>43890</v>
      </c>
      <c r="BS106" s="9">
        <v>43921</v>
      </c>
      <c r="BT106" s="9">
        <v>43951</v>
      </c>
      <c r="BU106" s="9">
        <v>43982</v>
      </c>
      <c r="BV106" s="9">
        <v>44012</v>
      </c>
      <c r="BW106" s="9">
        <v>44043</v>
      </c>
      <c r="BX106" s="9">
        <v>44074</v>
      </c>
      <c r="BY106" s="9">
        <v>44104</v>
      </c>
      <c r="BZ106" s="9">
        <v>44135</v>
      </c>
      <c r="CA106" s="9">
        <v>44165</v>
      </c>
      <c r="CB106" s="9">
        <v>44196</v>
      </c>
    </row>
    <row r="107" spans="4:116" outlineLevel="1" x14ac:dyDescent="0.25">
      <c r="D107" s="6" t="s">
        <v>153</v>
      </c>
      <c r="H107" s="10" t="s">
        <v>153</v>
      </c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</row>
    <row r="108" spans="4:116" outlineLevel="1" x14ac:dyDescent="0.25">
      <c r="D108" s="6"/>
      <c r="G108" s="11"/>
      <c r="H108" s="6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</row>
    <row r="109" spans="4:116" outlineLevel="1" x14ac:dyDescent="0.25">
      <c r="D109" s="6"/>
      <c r="G109" s="11"/>
      <c r="H109" s="6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</row>
    <row r="110" spans="4:116" outlineLevel="1" x14ac:dyDescent="0.25">
      <c r="G110" s="11"/>
      <c r="H110" s="6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</row>
    <row r="111" spans="4:116" outlineLevel="1" x14ac:dyDescent="0.25">
      <c r="D111" s="6"/>
      <c r="G111" s="11"/>
      <c r="H111" s="6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</row>
    <row r="112" spans="4:116" outlineLevel="1" x14ac:dyDescent="0.25">
      <c r="D112" s="6"/>
      <c r="G112" s="11"/>
      <c r="H112" s="6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</row>
    <row r="113" spans="4:80" outlineLevel="1" x14ac:dyDescent="0.25">
      <c r="D113" s="6"/>
      <c r="G113" s="11"/>
      <c r="H113" s="6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</row>
    <row r="114" spans="4:80" outlineLevel="1" x14ac:dyDescent="0.25">
      <c r="D114" s="6"/>
      <c r="G114" s="11"/>
      <c r="H114" s="6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</row>
    <row r="115" spans="4:80" outlineLevel="1" x14ac:dyDescent="0.25">
      <c r="D115" s="6"/>
      <c r="G115" s="11"/>
      <c r="H115" s="6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</row>
    <row r="116" spans="4:80" outlineLevel="1" x14ac:dyDescent="0.25">
      <c r="D116" s="6"/>
      <c r="G116" s="11"/>
      <c r="H116" s="6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</row>
    <row r="117" spans="4:80" outlineLevel="1" x14ac:dyDescent="0.25">
      <c r="D117" s="6"/>
      <c r="G117" s="11"/>
      <c r="H117" s="6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</row>
    <row r="118" spans="4:80" outlineLevel="1" x14ac:dyDescent="0.25">
      <c r="D118" s="6"/>
      <c r="G118" s="11"/>
      <c r="H118" s="6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</row>
    <row r="119" spans="4:80" outlineLevel="1" x14ac:dyDescent="0.25">
      <c r="D119" s="6"/>
      <c r="G119" s="11"/>
      <c r="H119" s="6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</row>
    <row r="120" spans="4:80" outlineLevel="1" x14ac:dyDescent="0.25">
      <c r="D120" s="6"/>
      <c r="G120" s="11"/>
      <c r="H120" s="6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</row>
    <row r="121" spans="4:80" outlineLevel="1" x14ac:dyDescent="0.25">
      <c r="D121" s="6"/>
      <c r="G121" s="11"/>
      <c r="H121" s="6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</row>
    <row r="122" spans="4:80" outlineLevel="1" x14ac:dyDescent="0.25">
      <c r="D122" s="6"/>
      <c r="G122" s="11"/>
      <c r="H122" s="6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</row>
    <row r="123" spans="4:80" outlineLevel="1" x14ac:dyDescent="0.25">
      <c r="D123" s="6"/>
      <c r="G123" s="11"/>
      <c r="H123" s="6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</row>
    <row r="124" spans="4:80" outlineLevel="1" x14ac:dyDescent="0.25">
      <c r="D124" s="6"/>
      <c r="G124" s="11"/>
      <c r="H124" s="6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</row>
    <row r="125" spans="4:80" outlineLevel="1" x14ac:dyDescent="0.25">
      <c r="G125" s="11"/>
      <c r="H125" s="5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</row>
    <row r="126" spans="4:80" outlineLevel="1" collapsed="1" x14ac:dyDescent="0.25">
      <c r="D126" s="6" t="s">
        <v>154</v>
      </c>
      <c r="G126" s="11"/>
      <c r="H126" s="10" t="s">
        <v>164</v>
      </c>
      <c r="I126" s="63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</row>
    <row r="127" spans="4:80" outlineLevel="1" x14ac:dyDescent="0.25">
      <c r="D127" s="6"/>
      <c r="G127" s="11"/>
      <c r="H127" s="10"/>
      <c r="I127" s="11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</row>
    <row r="128" spans="4:80" x14ac:dyDescent="0.25">
      <c r="D128" s="6" t="s">
        <v>3</v>
      </c>
      <c r="G128" s="11"/>
      <c r="H128" s="6" t="s">
        <v>201</v>
      </c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11"/>
    </row>
    <row r="129" spans="4:79" outlineLevel="1" x14ac:dyDescent="0.25">
      <c r="D129" s="6"/>
      <c r="G129" s="11"/>
      <c r="H129" s="6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</row>
    <row r="130" spans="4:79" outlineLevel="1" x14ac:dyDescent="0.25">
      <c r="D130" s="6"/>
      <c r="G130" s="11"/>
      <c r="H130" s="6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</row>
    <row r="131" spans="4:79" outlineLevel="1" x14ac:dyDescent="0.25">
      <c r="D131" s="6"/>
      <c r="G131" s="11"/>
      <c r="H131" s="6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</row>
    <row r="132" spans="4:79" outlineLevel="1" x14ac:dyDescent="0.25">
      <c r="D132" s="6"/>
      <c r="G132" s="11"/>
      <c r="H132" s="6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</row>
    <row r="133" spans="4:79" outlineLevel="1" x14ac:dyDescent="0.25">
      <c r="D133" s="6"/>
      <c r="G133" s="11"/>
      <c r="H133" s="6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</row>
    <row r="134" spans="4:79" outlineLevel="1" x14ac:dyDescent="0.25">
      <c r="D134" s="6"/>
      <c r="G134" s="11"/>
      <c r="H134" s="6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</row>
    <row r="135" spans="4:79" outlineLevel="1" x14ac:dyDescent="0.25">
      <c r="D135" s="6"/>
      <c r="G135" s="11"/>
      <c r="H135" s="6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</row>
    <row r="136" spans="4:79" outlineLevel="1" x14ac:dyDescent="0.25">
      <c r="D136" s="6"/>
      <c r="G136" s="11"/>
      <c r="H136" s="6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</row>
    <row r="137" spans="4:79" outlineLevel="1" x14ac:dyDescent="0.25">
      <c r="D137" s="6"/>
      <c r="G137" s="11"/>
      <c r="H137" s="6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</row>
    <row r="138" spans="4:79" outlineLevel="1" x14ac:dyDescent="0.25">
      <c r="D138" s="6"/>
      <c r="G138" s="11"/>
      <c r="H138" s="6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</row>
    <row r="139" spans="4:79" outlineLevel="1" x14ac:dyDescent="0.25">
      <c r="D139" s="6"/>
      <c r="G139" s="11"/>
      <c r="H139" s="6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</row>
    <row r="140" spans="4:79" outlineLevel="1" x14ac:dyDescent="0.25">
      <c r="D140" s="6"/>
      <c r="G140" s="11"/>
      <c r="H140" s="6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</row>
    <row r="141" spans="4:79" outlineLevel="1" x14ac:dyDescent="0.25">
      <c r="D141" s="6"/>
      <c r="G141" s="11"/>
      <c r="H141" s="6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</row>
    <row r="142" spans="4:79" outlineLevel="1" x14ac:dyDescent="0.25">
      <c r="D142" s="6"/>
      <c r="G142" s="11"/>
      <c r="H142" s="6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</row>
    <row r="143" spans="4:79" outlineLevel="1" x14ac:dyDescent="0.25">
      <c r="D143" s="6"/>
      <c r="G143" s="11"/>
      <c r="H143" s="6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</row>
    <row r="144" spans="4:79" outlineLevel="1" x14ac:dyDescent="0.25">
      <c r="D144" s="6"/>
      <c r="G144" s="11"/>
      <c r="H144" s="6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</row>
    <row r="145" spans="4:79" outlineLevel="1" x14ac:dyDescent="0.25">
      <c r="D145" s="6"/>
      <c r="G145" s="11"/>
      <c r="H145" s="6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</row>
    <row r="146" spans="4:79" outlineLevel="1" x14ac:dyDescent="0.25">
      <c r="D146" s="6"/>
      <c r="G146" s="11"/>
      <c r="H146" s="6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</row>
    <row r="147" spans="4:79" outlineLevel="1" x14ac:dyDescent="0.25">
      <c r="D147" s="6"/>
      <c r="G147" s="11"/>
      <c r="H147" s="6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</row>
    <row r="148" spans="4:79" x14ac:dyDescent="0.25">
      <c r="D148" s="6" t="s">
        <v>155</v>
      </c>
      <c r="G148" s="11"/>
      <c r="H148" s="10" t="s">
        <v>165</v>
      </c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</row>
    <row r="149" spans="4:79" x14ac:dyDescent="0.25">
      <c r="D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</row>
    <row r="150" spans="4:79" x14ac:dyDescent="0.25">
      <c r="D150" s="6" t="s">
        <v>156</v>
      </c>
      <c r="H150" s="10" t="s">
        <v>166</v>
      </c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</row>
    <row r="151" spans="4:79" x14ac:dyDescent="0.25">
      <c r="G151" s="11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4553-782A-4780-A568-24A6537F3812}">
  <sheetPr>
    <tabColor rgb="FFFF0000"/>
    <pageSetUpPr autoPageBreaks="0"/>
  </sheetPr>
  <dimension ref="A1:DN150"/>
  <sheetViews>
    <sheetView topLeftCell="A188" zoomScale="85" zoomScaleNormal="85" workbookViewId="0">
      <selection activeCell="A188" sqref="A188"/>
    </sheetView>
  </sheetViews>
  <sheetFormatPr defaultColWidth="11.69921875" defaultRowHeight="13.8" outlineLevelRow="1" x14ac:dyDescent="0.25"/>
  <cols>
    <col min="1" max="3" width="1.69921875" style="3" customWidth="1"/>
    <col min="4" max="4" width="25.69921875" style="3" customWidth="1"/>
    <col min="5" max="5" width="5.69921875" style="3" customWidth="1"/>
    <col min="6" max="6" width="8.59765625" style="3" bestFit="1" customWidth="1"/>
    <col min="7" max="7" width="10.69921875" style="3" customWidth="1"/>
    <col min="8" max="8" width="15.69921875" style="3" customWidth="1"/>
    <col min="9" max="9" width="13.09765625" style="3" bestFit="1" customWidth="1"/>
    <col min="10" max="10" width="12.796875" style="3" bestFit="1" customWidth="1"/>
    <col min="11" max="11" width="13.19921875" style="3" bestFit="1" customWidth="1"/>
    <col min="12" max="12" width="12.69921875" style="3" bestFit="1" customWidth="1"/>
    <col min="13" max="19" width="11.69921875" style="3"/>
    <col min="20" max="75" width="11.69921875" style="3" customWidth="1"/>
    <col min="76" max="16384" width="11.69921875" style="3"/>
  </cols>
  <sheetData>
    <row r="1" spans="1:118" s="41" customFormat="1" ht="28.2" x14ac:dyDescent="0.6">
      <c r="A1" s="42" t="s">
        <v>215</v>
      </c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3" spans="1:118" ht="14.4" x14ac:dyDescent="0.3">
      <c r="D3" s="38" t="s">
        <v>186</v>
      </c>
    </row>
    <row r="5" spans="1:118" x14ac:dyDescent="0.25">
      <c r="D5" s="6" t="s">
        <v>141</v>
      </c>
      <c r="I5" s="3">
        <f t="shared" ref="I5:BT5" si="0">YEAR(I6)</f>
        <v>2015</v>
      </c>
      <c r="J5" s="3">
        <f t="shared" si="0"/>
        <v>2015</v>
      </c>
      <c r="K5" s="3">
        <f t="shared" si="0"/>
        <v>2015</v>
      </c>
      <c r="L5" s="3">
        <f t="shared" si="0"/>
        <v>2015</v>
      </c>
      <c r="M5" s="3">
        <f t="shared" si="0"/>
        <v>2015</v>
      </c>
      <c r="N5" s="3">
        <f t="shared" si="0"/>
        <v>2015</v>
      </c>
      <c r="O5" s="3">
        <f t="shared" si="0"/>
        <v>2015</v>
      </c>
      <c r="P5" s="3">
        <f t="shared" si="0"/>
        <v>2015</v>
      </c>
      <c r="Q5" s="3">
        <f t="shared" si="0"/>
        <v>2015</v>
      </c>
      <c r="R5" s="3">
        <f t="shared" si="0"/>
        <v>2015</v>
      </c>
      <c r="S5" s="3">
        <f t="shared" si="0"/>
        <v>2015</v>
      </c>
      <c r="T5" s="3">
        <f t="shared" si="0"/>
        <v>2015</v>
      </c>
      <c r="U5" s="3">
        <f t="shared" si="0"/>
        <v>2016</v>
      </c>
      <c r="V5" s="3">
        <f t="shared" si="0"/>
        <v>2016</v>
      </c>
      <c r="W5" s="3">
        <f t="shared" si="0"/>
        <v>2016</v>
      </c>
      <c r="X5" s="3">
        <f t="shared" si="0"/>
        <v>2016</v>
      </c>
      <c r="Y5" s="3">
        <f t="shared" si="0"/>
        <v>2016</v>
      </c>
      <c r="Z5" s="3">
        <f t="shared" si="0"/>
        <v>2016</v>
      </c>
      <c r="AA5" s="3">
        <f t="shared" si="0"/>
        <v>2016</v>
      </c>
      <c r="AB5" s="3">
        <f t="shared" si="0"/>
        <v>2016</v>
      </c>
      <c r="AC5" s="3">
        <f t="shared" si="0"/>
        <v>2016</v>
      </c>
      <c r="AD5" s="3">
        <f t="shared" si="0"/>
        <v>2016</v>
      </c>
      <c r="AE5" s="3">
        <f t="shared" si="0"/>
        <v>2016</v>
      </c>
      <c r="AF5" s="3">
        <f t="shared" si="0"/>
        <v>2016</v>
      </c>
      <c r="AG5" s="3">
        <f t="shared" si="0"/>
        <v>2017</v>
      </c>
      <c r="AH5" s="3">
        <f t="shared" si="0"/>
        <v>2017</v>
      </c>
      <c r="AI5" s="3">
        <f t="shared" si="0"/>
        <v>2017</v>
      </c>
      <c r="AJ5" s="3">
        <f t="shared" si="0"/>
        <v>2017</v>
      </c>
      <c r="AK5" s="3">
        <f t="shared" si="0"/>
        <v>2017</v>
      </c>
      <c r="AL5" s="3">
        <f t="shared" si="0"/>
        <v>2017</v>
      </c>
      <c r="AM5" s="3">
        <f t="shared" si="0"/>
        <v>2017</v>
      </c>
      <c r="AN5" s="3">
        <f t="shared" si="0"/>
        <v>2017</v>
      </c>
      <c r="AO5" s="3">
        <f t="shared" si="0"/>
        <v>2017</v>
      </c>
      <c r="AP5" s="3">
        <f t="shared" si="0"/>
        <v>2017</v>
      </c>
      <c r="AQ5" s="3">
        <f t="shared" si="0"/>
        <v>2017</v>
      </c>
      <c r="AR5" s="3">
        <f t="shared" si="0"/>
        <v>2017</v>
      </c>
      <c r="AS5" s="3">
        <f t="shared" si="0"/>
        <v>2018</v>
      </c>
      <c r="AT5" s="3">
        <f t="shared" si="0"/>
        <v>2018</v>
      </c>
      <c r="AU5" s="3">
        <f t="shared" si="0"/>
        <v>2018</v>
      </c>
      <c r="AV5" s="3">
        <f t="shared" si="0"/>
        <v>2018</v>
      </c>
      <c r="AW5" s="3">
        <f t="shared" si="0"/>
        <v>2018</v>
      </c>
      <c r="AX5" s="3">
        <f t="shared" si="0"/>
        <v>2018</v>
      </c>
      <c r="AY5" s="3">
        <f t="shared" si="0"/>
        <v>2018</v>
      </c>
      <c r="AZ5" s="3">
        <f t="shared" si="0"/>
        <v>2018</v>
      </c>
      <c r="BA5" s="3">
        <f t="shared" si="0"/>
        <v>2018</v>
      </c>
      <c r="BB5" s="3">
        <f t="shared" si="0"/>
        <v>2018</v>
      </c>
      <c r="BC5" s="3">
        <f t="shared" si="0"/>
        <v>2018</v>
      </c>
      <c r="BD5" s="3">
        <f t="shared" si="0"/>
        <v>2018</v>
      </c>
      <c r="BE5" s="3">
        <f t="shared" si="0"/>
        <v>2019</v>
      </c>
      <c r="BF5" s="3">
        <f t="shared" si="0"/>
        <v>2019</v>
      </c>
      <c r="BG5" s="3">
        <f t="shared" si="0"/>
        <v>2019</v>
      </c>
      <c r="BH5" s="3">
        <f t="shared" si="0"/>
        <v>2019</v>
      </c>
      <c r="BI5" s="3">
        <f t="shared" si="0"/>
        <v>2019</v>
      </c>
      <c r="BJ5" s="3">
        <f t="shared" si="0"/>
        <v>2019</v>
      </c>
      <c r="BK5" s="3">
        <f t="shared" si="0"/>
        <v>2019</v>
      </c>
      <c r="BL5" s="3">
        <f t="shared" si="0"/>
        <v>2019</v>
      </c>
      <c r="BM5" s="3">
        <f t="shared" si="0"/>
        <v>2019</v>
      </c>
      <c r="BN5" s="3">
        <f t="shared" si="0"/>
        <v>2019</v>
      </c>
      <c r="BO5" s="3">
        <f t="shared" si="0"/>
        <v>2019</v>
      </c>
      <c r="BP5" s="3">
        <f t="shared" si="0"/>
        <v>2019</v>
      </c>
      <c r="BQ5" s="3">
        <f t="shared" si="0"/>
        <v>2020</v>
      </c>
      <c r="BR5" s="3">
        <f t="shared" si="0"/>
        <v>2020</v>
      </c>
      <c r="BS5" s="3">
        <f t="shared" si="0"/>
        <v>2020</v>
      </c>
      <c r="BT5" s="3">
        <f t="shared" si="0"/>
        <v>2020</v>
      </c>
      <c r="BU5" s="3">
        <f t="shared" ref="BU5:CB5" si="1">YEAR(BU6)</f>
        <v>2020</v>
      </c>
      <c r="BV5" s="3">
        <f t="shared" si="1"/>
        <v>2020</v>
      </c>
      <c r="BW5" s="3">
        <f t="shared" si="1"/>
        <v>2020</v>
      </c>
      <c r="BX5" s="3">
        <f t="shared" si="1"/>
        <v>2020</v>
      </c>
      <c r="BY5" s="3">
        <f t="shared" si="1"/>
        <v>2020</v>
      </c>
      <c r="BZ5" s="3">
        <f t="shared" si="1"/>
        <v>2020</v>
      </c>
      <c r="CA5" s="3">
        <f t="shared" si="1"/>
        <v>2020</v>
      </c>
      <c r="CB5" s="3">
        <f t="shared" si="1"/>
        <v>2020</v>
      </c>
      <c r="CZ5" s="4" t="s">
        <v>158</v>
      </c>
      <c r="DG5" s="4" t="s">
        <v>159</v>
      </c>
    </row>
    <row r="6" spans="1:118" ht="15.6" x14ac:dyDescent="0.35">
      <c r="D6" s="7" t="s">
        <v>0</v>
      </c>
      <c r="E6" s="7" t="s">
        <v>1</v>
      </c>
      <c r="F6" s="8" t="s">
        <v>140</v>
      </c>
      <c r="G6" s="7" t="s">
        <v>170</v>
      </c>
      <c r="H6" s="7" t="s">
        <v>171</v>
      </c>
      <c r="I6" s="9">
        <v>42035</v>
      </c>
      <c r="J6" s="9">
        <v>42063</v>
      </c>
      <c r="K6" s="9">
        <v>42094</v>
      </c>
      <c r="L6" s="9">
        <v>42124</v>
      </c>
      <c r="M6" s="9">
        <v>42155</v>
      </c>
      <c r="N6" s="9">
        <v>42185</v>
      </c>
      <c r="O6" s="9">
        <v>42216</v>
      </c>
      <c r="P6" s="9">
        <v>42247</v>
      </c>
      <c r="Q6" s="9">
        <v>42277</v>
      </c>
      <c r="R6" s="9">
        <v>42308</v>
      </c>
      <c r="S6" s="9">
        <v>42338</v>
      </c>
      <c r="T6" s="9">
        <v>42369</v>
      </c>
      <c r="U6" s="9">
        <v>42400</v>
      </c>
      <c r="V6" s="9">
        <v>42429</v>
      </c>
      <c r="W6" s="9">
        <v>42460</v>
      </c>
      <c r="X6" s="9">
        <v>42490</v>
      </c>
      <c r="Y6" s="9">
        <v>42521</v>
      </c>
      <c r="Z6" s="9">
        <v>42551</v>
      </c>
      <c r="AA6" s="9">
        <v>42582</v>
      </c>
      <c r="AB6" s="9">
        <v>42613</v>
      </c>
      <c r="AC6" s="9">
        <v>42643</v>
      </c>
      <c r="AD6" s="9">
        <v>42674</v>
      </c>
      <c r="AE6" s="9">
        <v>42704</v>
      </c>
      <c r="AF6" s="9">
        <v>42735</v>
      </c>
      <c r="AG6" s="9">
        <v>42766</v>
      </c>
      <c r="AH6" s="9">
        <v>42794</v>
      </c>
      <c r="AI6" s="9">
        <v>42825</v>
      </c>
      <c r="AJ6" s="9">
        <v>42855</v>
      </c>
      <c r="AK6" s="9">
        <v>42886</v>
      </c>
      <c r="AL6" s="9">
        <v>42916</v>
      </c>
      <c r="AM6" s="9">
        <v>42947</v>
      </c>
      <c r="AN6" s="9">
        <v>42978</v>
      </c>
      <c r="AO6" s="9">
        <v>43008</v>
      </c>
      <c r="AP6" s="9">
        <v>43039</v>
      </c>
      <c r="AQ6" s="9">
        <v>43069</v>
      </c>
      <c r="AR6" s="9">
        <v>43100</v>
      </c>
      <c r="AS6" s="9">
        <v>43131</v>
      </c>
      <c r="AT6" s="9">
        <v>43159</v>
      </c>
      <c r="AU6" s="9">
        <v>43190</v>
      </c>
      <c r="AV6" s="9">
        <v>43220</v>
      </c>
      <c r="AW6" s="9">
        <v>43251</v>
      </c>
      <c r="AX6" s="9">
        <v>43281</v>
      </c>
      <c r="AY6" s="9">
        <v>43312</v>
      </c>
      <c r="AZ6" s="9">
        <v>43343</v>
      </c>
      <c r="BA6" s="9">
        <v>43373</v>
      </c>
      <c r="BB6" s="9">
        <v>43404</v>
      </c>
      <c r="BC6" s="9">
        <v>43434</v>
      </c>
      <c r="BD6" s="9">
        <v>43465</v>
      </c>
      <c r="BE6" s="9">
        <v>43496</v>
      </c>
      <c r="BF6" s="9">
        <v>43524</v>
      </c>
      <c r="BG6" s="9">
        <v>43555</v>
      </c>
      <c r="BH6" s="9">
        <v>43585</v>
      </c>
      <c r="BI6" s="9">
        <v>43616</v>
      </c>
      <c r="BJ6" s="9">
        <v>43646</v>
      </c>
      <c r="BK6" s="9">
        <v>43677</v>
      </c>
      <c r="BL6" s="9">
        <v>43708</v>
      </c>
      <c r="BM6" s="9">
        <v>43738</v>
      </c>
      <c r="BN6" s="9">
        <v>43769</v>
      </c>
      <c r="BO6" s="9">
        <v>43799</v>
      </c>
      <c r="BP6" s="9">
        <v>43830</v>
      </c>
      <c r="BQ6" s="9">
        <v>43861</v>
      </c>
      <c r="BR6" s="9">
        <v>43890</v>
      </c>
      <c r="BS6" s="9">
        <v>43921</v>
      </c>
      <c r="BT6" s="9">
        <v>43951</v>
      </c>
      <c r="BU6" s="9">
        <v>43982</v>
      </c>
      <c r="BV6" s="9">
        <v>44012</v>
      </c>
      <c r="BW6" s="9">
        <v>44043</v>
      </c>
      <c r="BX6" s="9">
        <v>44074</v>
      </c>
      <c r="BY6" s="9">
        <v>44104</v>
      </c>
      <c r="BZ6" s="9">
        <v>44135</v>
      </c>
      <c r="CA6" s="9">
        <v>44165</v>
      </c>
      <c r="CB6" s="9">
        <v>44196</v>
      </c>
      <c r="CZ6" s="9">
        <f>+Q6</f>
        <v>42277</v>
      </c>
      <c r="DA6" s="9">
        <f>+AC6</f>
        <v>42643</v>
      </c>
      <c r="DB6" s="9">
        <f>+AO6</f>
        <v>43008</v>
      </c>
      <c r="DC6" s="9">
        <f>+BA6</f>
        <v>43373</v>
      </c>
      <c r="DD6" s="9">
        <f>+BM6</f>
        <v>43738</v>
      </c>
      <c r="DE6" s="9">
        <f>+BY6</f>
        <v>44104</v>
      </c>
      <c r="DG6" s="9">
        <f>+K6</f>
        <v>42094</v>
      </c>
      <c r="DH6" s="9">
        <f>+W6</f>
        <v>42460</v>
      </c>
      <c r="DI6" s="9">
        <f>+AI6</f>
        <v>42825</v>
      </c>
      <c r="DJ6" s="9">
        <f>+AU6</f>
        <v>43190</v>
      </c>
      <c r="DK6" s="9">
        <f>+BG6</f>
        <v>43555</v>
      </c>
      <c r="DL6" s="9">
        <f>+BS6</f>
        <v>43921</v>
      </c>
    </row>
    <row r="7" spans="1:118" x14ac:dyDescent="0.25">
      <c r="D7" s="10" t="s">
        <v>78</v>
      </c>
      <c r="E7" s="10" t="s">
        <v>48</v>
      </c>
      <c r="F7" s="10" t="s">
        <v>180</v>
      </c>
      <c r="G7" s="10"/>
      <c r="H7" s="62" t="str">
        <f t="shared" ref="H7:H71" si="2">CONCATENATE(D7," ",G7)</f>
        <v xml:space="preserve">Hartford </v>
      </c>
      <c r="I7" s="11">
        <v>887.03200000000004</v>
      </c>
      <c r="J7" s="11">
        <v>878.70940491318822</v>
      </c>
      <c r="K7" s="11">
        <v>87176.166383322081</v>
      </c>
      <c r="L7" s="11">
        <v>883.88016885409286</v>
      </c>
      <c r="M7" s="11">
        <v>904.67516772847705</v>
      </c>
      <c r="N7" s="11">
        <v>939.18268383907673</v>
      </c>
      <c r="O7" s="11">
        <v>984.07937095964758</v>
      </c>
      <c r="P7" s="11">
        <v>1028.682715135933</v>
      </c>
      <c r="Q7" s="11">
        <v>10.480056670323103</v>
      </c>
      <c r="R7" s="11">
        <v>1058.819770830901</v>
      </c>
      <c r="S7" s="11">
        <v>1023.7753967050077</v>
      </c>
      <c r="T7" s="11">
        <v>1019.3133608156986</v>
      </c>
      <c r="U7" s="11">
        <v>997.40491783570747</v>
      </c>
      <c r="V7" s="11">
        <v>976.43509847851601</v>
      </c>
      <c r="W7" s="11">
        <v>98050.541233956828</v>
      </c>
      <c r="X7" s="11">
        <v>985.01033407098521</v>
      </c>
      <c r="Y7" s="11">
        <v>1014.8513012179661</v>
      </c>
      <c r="Z7" s="11">
        <v>1061.4081769738173</v>
      </c>
      <c r="AA7" s="11">
        <v>1077.361343276639</v>
      </c>
      <c r="AB7" s="11">
        <v>1112.9529540654405</v>
      </c>
      <c r="AC7" s="11">
        <v>11.356782738439833</v>
      </c>
      <c r="AD7" s="11">
        <v>1109.2608822692869</v>
      </c>
      <c r="AE7" s="11">
        <v>1044.7170247478161</v>
      </c>
      <c r="AF7" s="11">
        <v>1005.2723922228846</v>
      </c>
      <c r="AG7" s="11">
        <v>981.62518298714133</v>
      </c>
      <c r="AH7" s="11">
        <v>995.71402121523693</v>
      </c>
      <c r="AI7" s="11">
        <v>99025.358732038949</v>
      </c>
      <c r="AJ7" s="11">
        <v>1003.159618219987</v>
      </c>
      <c r="AK7" s="11">
        <v>1020.3814983884947</v>
      </c>
      <c r="AL7" s="11">
        <v>1049.1596133595131</v>
      </c>
      <c r="AM7" s="11">
        <v>1080.4714711030094</v>
      </c>
      <c r="AN7" s="11">
        <v>1088.5165526229093</v>
      </c>
      <c r="AO7" s="11">
        <v>10.92060157007216</v>
      </c>
      <c r="AP7" s="11">
        <v>1125.646051666824</v>
      </c>
      <c r="AQ7" s="11">
        <v>1080.4835853842721</v>
      </c>
      <c r="AR7" s="11">
        <v>1042.2613590087687</v>
      </c>
      <c r="AS7" s="11">
        <v>1032.7010468071785</v>
      </c>
      <c r="AT7" s="11">
        <v>1043.3857573639507</v>
      </c>
      <c r="AU7" s="11">
        <v>107342.79339592322</v>
      </c>
      <c r="AV7" s="11">
        <v>1082.2783000966635</v>
      </c>
      <c r="AW7" s="11">
        <v>1094.0162551860587</v>
      </c>
      <c r="AX7" s="11">
        <v>1153.3239775602608</v>
      </c>
      <c r="AY7" s="11">
        <v>1171.0214804544839</v>
      </c>
      <c r="AZ7" s="11">
        <v>1199.5868320211605</v>
      </c>
      <c r="BA7" s="11">
        <v>12.457538620999372</v>
      </c>
      <c r="BB7" s="11">
        <v>1301.9947305628425</v>
      </c>
      <c r="BC7" s="11">
        <v>1211.1646727697446</v>
      </c>
      <c r="BD7" s="11">
        <v>1199.1804790986068</v>
      </c>
      <c r="BE7" s="11">
        <v>1163.3856291354305</v>
      </c>
      <c r="BF7" s="11">
        <v>1202.0071246864793</v>
      </c>
      <c r="BG7" s="11">
        <v>116766.2449215356</v>
      </c>
      <c r="BH7" s="11">
        <v>1155.325634382084</v>
      </c>
      <c r="BI7" s="11">
        <v>1208.8496961502763</v>
      </c>
      <c r="BJ7" s="11">
        <v>1295.8807794258444</v>
      </c>
      <c r="BK7" s="11">
        <v>1352.0101636913139</v>
      </c>
      <c r="BL7" s="11">
        <v>1394.5391220013992</v>
      </c>
      <c r="BM7" s="11">
        <v>14.316574613262661</v>
      </c>
      <c r="BN7" s="11">
        <v>1470.6327487512838</v>
      </c>
      <c r="BO7" s="11">
        <v>1375.9228894061926</v>
      </c>
      <c r="BP7" s="11">
        <v>1314.4977918313923</v>
      </c>
      <c r="BQ7" s="11">
        <v>1279.242417231025</v>
      </c>
      <c r="BR7" s="11">
        <v>1278.0249457440759</v>
      </c>
      <c r="BS7" s="11">
        <v>132683.08029531728</v>
      </c>
      <c r="BT7" s="11">
        <v>1367.0883353184656</v>
      </c>
      <c r="BU7" s="11">
        <v>1426.3456579735609</v>
      </c>
      <c r="BV7" s="11">
        <v>1556.6233656948332</v>
      </c>
      <c r="BW7" s="11">
        <v>1614.6508993415143</v>
      </c>
      <c r="BX7" s="11">
        <v>1622.8999333654237</v>
      </c>
      <c r="BY7" s="11">
        <v>16.707707436534452</v>
      </c>
      <c r="BZ7" s="11">
        <v>1669.1190943792665</v>
      </c>
      <c r="CA7" s="11">
        <v>1542.4057697099609</v>
      </c>
      <c r="CB7" s="11">
        <v>1519.5643953143763</v>
      </c>
      <c r="CC7" s="12"/>
      <c r="CZ7" s="11">
        <v>1048.0056670323104</v>
      </c>
      <c r="DA7" s="11">
        <v>1135.6782738439833</v>
      </c>
      <c r="DB7" s="11">
        <v>1092.060157007216</v>
      </c>
      <c r="DC7" s="11">
        <v>1245.7538620999371</v>
      </c>
      <c r="DD7" s="11">
        <v>1431.6574613262662</v>
      </c>
      <c r="DE7" s="11">
        <v>1670.7707436534454</v>
      </c>
      <c r="DG7" s="11">
        <v>871.76166383322072</v>
      </c>
      <c r="DH7" s="11">
        <v>980.50541233956824</v>
      </c>
      <c r="DI7" s="11">
        <v>990.25358732038944</v>
      </c>
      <c r="DJ7" s="11">
        <v>1073.4279339592322</v>
      </c>
      <c r="DK7" s="11">
        <v>1167.662449215356</v>
      </c>
      <c r="DL7" s="11">
        <v>1326.8308029531729</v>
      </c>
      <c r="DN7" s="11"/>
    </row>
    <row r="8" spans="1:118" x14ac:dyDescent="0.25">
      <c r="D8" s="10" t="s">
        <v>79</v>
      </c>
      <c r="E8" s="10" t="s">
        <v>48</v>
      </c>
      <c r="F8" s="10" t="s">
        <v>180</v>
      </c>
      <c r="G8" s="10"/>
      <c r="H8" s="62" t="str">
        <f t="shared" si="2"/>
        <v xml:space="preserve">Bridgeport </v>
      </c>
      <c r="I8" s="11">
        <f>746917/(10^3)</f>
        <v>746.91700000000003</v>
      </c>
      <c r="J8" s="11">
        <f>779956.183377035/(10^3)</f>
        <v>779.95618337703502</v>
      </c>
      <c r="K8" s="11">
        <f>75683152.7011917/(10^3)</f>
        <v>75683.152701191691</v>
      </c>
      <c r="L8" s="11">
        <f>781529.516462763/(10^3)</f>
        <v>781.52951646276301</v>
      </c>
      <c r="M8" s="11">
        <f>764907.519071423/(10^3)</f>
        <v>764.90751907142294</v>
      </c>
      <c r="N8" s="11">
        <f>800695.117439494/(10^3)</f>
        <v>800.69511743949397</v>
      </c>
      <c r="O8" s="11">
        <f>816497.365209805/(10^3)</f>
        <v>816.49736520980491</v>
      </c>
      <c r="P8" s="11">
        <f>846794.329567683/(10^3)</f>
        <v>846.79432956768301</v>
      </c>
      <c r="Q8" s="11">
        <f>8751.88328621656/(10^3)</f>
        <v>8.7518832862165592</v>
      </c>
      <c r="R8" s="11">
        <f>871240.217552805/(10^3)</f>
        <v>871.24021755280501</v>
      </c>
      <c r="S8" s="11">
        <f>850080.283107634/(10^3)</f>
        <v>850.08028310763405</v>
      </c>
      <c r="T8" s="11">
        <f>826284.971749687/(10^3)</f>
        <v>826.28497174968697</v>
      </c>
      <c r="U8" s="11">
        <f>809959.641978705/(10^3)</f>
        <v>809.95964197870501</v>
      </c>
      <c r="V8" s="11">
        <f>797052.328998936/(10^3)</f>
        <v>797.05232899893599</v>
      </c>
      <c r="W8" s="11">
        <f>77598226.6795822/(10^3)</f>
        <v>77598.226679582192</v>
      </c>
      <c r="X8" s="11">
        <f>768653.082624127/(10^3)</f>
        <v>768.65308262412702</v>
      </c>
      <c r="Y8" s="11">
        <f>781519.724206368/(10^3)</f>
        <v>781.51972420636798</v>
      </c>
      <c r="Z8" s="11">
        <f>811763.572260812/(10^3)</f>
        <v>811.763572260812</v>
      </c>
      <c r="AA8" s="11">
        <f>819657.973070503/(10^3)</f>
        <v>819.65797307050298</v>
      </c>
      <c r="AB8" s="11">
        <f>842553.40597956/(10^3)</f>
        <v>842.55340597956001</v>
      </c>
      <c r="AC8" s="11">
        <f>8463.8504753644/(10^3)</f>
        <v>8.4638504753643993</v>
      </c>
      <c r="AD8" s="11">
        <f>880223.551111981/(10^3)</f>
        <v>880.22355111198101</v>
      </c>
      <c r="AE8" s="11">
        <f>819512.179998056/(10^3)</f>
        <v>819.51217999805601</v>
      </c>
      <c r="AF8" s="11">
        <f>786640.212283744/(10^3)</f>
        <v>786.64021228374406</v>
      </c>
      <c r="AG8" s="11">
        <f>775216.00811935/(10^3)</f>
        <v>775.21600811934991</v>
      </c>
      <c r="AH8" s="11">
        <f>796093.052056162/(10^3)</f>
        <v>796.09305205616204</v>
      </c>
      <c r="AI8" s="11">
        <f>81152555.2634561/(10^3)</f>
        <v>81152.555263456103</v>
      </c>
      <c r="AJ8" s="11">
        <f>789382.926812032/(10^3)</f>
        <v>789.382926812032</v>
      </c>
      <c r="AK8" s="11">
        <f>798352.590372488/(10^3)</f>
        <v>798.35259037248807</v>
      </c>
      <c r="AL8" s="11">
        <f>844768.327946392/(10^3)</f>
        <v>844.76832794639199</v>
      </c>
      <c r="AM8" s="11">
        <f>854072.472425844/(10^3)</f>
        <v>854.07247242584401</v>
      </c>
      <c r="AN8" s="11">
        <f>881688.742628926/(10^3)</f>
        <v>881.68874262892598</v>
      </c>
      <c r="AO8" s="11">
        <f>9026.53147197079/(10^3)</f>
        <v>9.0265314719707899</v>
      </c>
      <c r="AP8" s="11">
        <f>931799.24316735/(10^3)</f>
        <v>931.79924316734991</v>
      </c>
      <c r="AQ8" s="11">
        <f>929602.250398509/(10^3)</f>
        <v>929.602250398509</v>
      </c>
      <c r="AR8" s="11">
        <f>901132.465573448/(10^3)</f>
        <v>901.13246557344803</v>
      </c>
      <c r="AS8" s="11">
        <f>882093.976469425/(10^3)</f>
        <v>882.093976469425</v>
      </c>
      <c r="AT8" s="11">
        <f>876388.873095143/(10^3)</f>
        <v>876.38887309514303</v>
      </c>
      <c r="AU8" s="11">
        <f>85490308.8322505/(10^3)</f>
        <v>85490.308832250506</v>
      </c>
      <c r="AV8" s="11">
        <f>830215.727759921/(10^3)</f>
        <v>830.21572775992104</v>
      </c>
      <c r="AW8" s="11">
        <f>813238.948089163/(10^3)</f>
        <v>813.23894808916305</v>
      </c>
      <c r="AX8" s="11">
        <f>856640.400329862/(10^3)</f>
        <v>856.64040032986202</v>
      </c>
      <c r="AY8" s="11">
        <f>876471.126036195/(10^3)</f>
        <v>876.47112603619496</v>
      </c>
      <c r="AZ8" s="11">
        <f>912822.070948397/(10^3)</f>
        <v>912.82207094839703</v>
      </c>
      <c r="BA8" s="11">
        <f>9444.51620511459/(10^3)</f>
        <v>9.4445162051145903</v>
      </c>
      <c r="BB8" s="11">
        <f>946044.878006471/(10^3)</f>
        <v>946.04487800647098</v>
      </c>
      <c r="BC8" s="11">
        <f>928302.868498682/(10^3)</f>
        <v>928.30286849868207</v>
      </c>
      <c r="BD8" s="11">
        <f>902427.616758259/(10^3)</f>
        <v>902.42761675825898</v>
      </c>
      <c r="BE8" s="11">
        <f>892467.846673363/(10^3)</f>
        <v>892.46784667336306</v>
      </c>
      <c r="BF8" s="11">
        <f>898846.125402617/(10^3)</f>
        <v>898.84612540261708</v>
      </c>
      <c r="BG8" s="11">
        <f>92770397.3365149/(10^3)</f>
        <v>92770.3973365149</v>
      </c>
      <c r="BH8" s="11">
        <f>917368.203901459/(10^3)</f>
        <v>917.36820390145897</v>
      </c>
      <c r="BI8" s="11">
        <f>895655.389064729/(10^3)</f>
        <v>895.65538906472898</v>
      </c>
      <c r="BJ8" s="11">
        <f>966939.134556671/(10^3)</f>
        <v>966.93913455667098</v>
      </c>
      <c r="BK8" s="11">
        <f>1004927.08764261/(10^3)</f>
        <v>1004.92708764261</v>
      </c>
      <c r="BL8" s="11">
        <f>1048813.2642191/(10^3)</f>
        <v>1048.8132642190999</v>
      </c>
      <c r="BM8" s="11">
        <f>10959.6850688536/(10^3)</f>
        <v>10.9596850688536</v>
      </c>
      <c r="BN8" s="11">
        <f>1110761.77278425/(10^3)</f>
        <v>1110.7617727842501</v>
      </c>
      <c r="BO8" s="11">
        <f>1058794.56639316/(10^3)</f>
        <v>1058.79456639316</v>
      </c>
      <c r="BP8" s="11">
        <f>1010215.09782201/(10^3)</f>
        <v>1010.2150978220101</v>
      </c>
      <c r="BQ8" s="11">
        <f>1006281.92389592/(10^3)</f>
        <v>1006.28192389592</v>
      </c>
      <c r="BR8" s="11">
        <f>1002706.19049374/(10^3)</f>
        <v>1002.70619049374</v>
      </c>
      <c r="BS8" s="11">
        <f>98686542.1369609/(10^3)</f>
        <v>98686.542136960896</v>
      </c>
      <c r="BT8" s="11">
        <f>1005752.10416556/(10^3)</f>
        <v>1005.75210416556</v>
      </c>
      <c r="BU8" s="11">
        <f>1008373.00154166/(10^3)</f>
        <v>1008.3730015416601</v>
      </c>
      <c r="BV8" s="11">
        <f>1009496.09555676/(10^3)</f>
        <v>1009.49609555676</v>
      </c>
      <c r="BW8" s="11">
        <f>1053359.77838239/(10^3)</f>
        <v>1053.35977838239</v>
      </c>
      <c r="BX8" s="11">
        <f>1094202.70444028/(10^3)</f>
        <v>1094.2027044402801</v>
      </c>
      <c r="BY8" s="11">
        <f>11266.4401591993/(10^3)</f>
        <v>11.266440159199298</v>
      </c>
      <c r="BZ8" s="11">
        <f>1130259.37605451/(10^3)</f>
        <v>1130.2593760545101</v>
      </c>
      <c r="CA8" s="11">
        <f>1102036.7190536/(10^3)</f>
        <v>1102.0367190535999</v>
      </c>
      <c r="CB8" s="11">
        <f>1047601.81515437/(10^3)</f>
        <v>1047.6018151543701</v>
      </c>
      <c r="CC8" s="12"/>
      <c r="CZ8" s="11">
        <v>875.18832862165641</v>
      </c>
      <c r="DA8" s="11">
        <v>846.38504753643974</v>
      </c>
      <c r="DB8" s="11">
        <v>902.65314719707851</v>
      </c>
      <c r="DC8" s="11">
        <v>944.45162051145917</v>
      </c>
      <c r="DD8" s="11">
        <v>1095.9685068853562</v>
      </c>
      <c r="DE8" s="11">
        <v>1126.6440159199335</v>
      </c>
      <c r="DG8" s="11">
        <v>756.83152701191682</v>
      </c>
      <c r="DH8" s="11">
        <v>775.98226679582217</v>
      </c>
      <c r="DI8" s="11">
        <v>811.52555263456111</v>
      </c>
      <c r="DJ8" s="11">
        <v>854.90308832250537</v>
      </c>
      <c r="DK8" s="11">
        <v>927.70397336514873</v>
      </c>
      <c r="DL8" s="11">
        <v>986.86542136960929</v>
      </c>
      <c r="DN8" s="11"/>
    </row>
    <row r="9" spans="1:118" x14ac:dyDescent="0.25">
      <c r="D9" s="10" t="s">
        <v>80</v>
      </c>
      <c r="E9" s="10" t="s">
        <v>49</v>
      </c>
      <c r="F9" s="10" t="s">
        <v>150</v>
      </c>
      <c r="G9" s="10"/>
      <c r="H9" s="62" t="str">
        <f t="shared" si="2"/>
        <v xml:space="preserve">Dover </v>
      </c>
      <c r="I9" s="11">
        <f>202698/(10^3)</f>
        <v>202.69800000000001</v>
      </c>
      <c r="J9" s="11">
        <f>211926.126832518/(10^3)</f>
        <v>211.92612683251801</v>
      </c>
      <c r="K9" s="11">
        <f>21174834.3024461/(10^3)</f>
        <v>21174.834302446099</v>
      </c>
      <c r="L9" s="11">
        <f>207209.621153056/(10^3)</f>
        <v>207.20962115305602</v>
      </c>
      <c r="M9" s="11">
        <f>217163.409309506/(10^3)</f>
        <v>217.16340930950602</v>
      </c>
      <c r="N9" s="11">
        <f>233922.752967273/(10^3)</f>
        <v>233.922752967273</v>
      </c>
      <c r="O9" s="11">
        <f>235161.563624815/(10^3)</f>
        <v>235.16156362481499</v>
      </c>
      <c r="P9" s="11">
        <f>243921.652657094/(10^3)</f>
        <v>243.921652657094</v>
      </c>
      <c r="Q9" s="11">
        <f>2440.74087739525/(10^3)</f>
        <v>2.4407408773952501</v>
      </c>
      <c r="R9" s="11">
        <f>240797.093229431/(10^3)</f>
        <v>240.797093229431</v>
      </c>
      <c r="S9" s="11">
        <f>236836.688596219/(10^3)</f>
        <v>236.83668859621901</v>
      </c>
      <c r="T9" s="11">
        <f>226886.595163733/(10^3)</f>
        <v>226.88659516373301</v>
      </c>
      <c r="U9" s="11">
        <f>224438.966153926/(10^3)</f>
        <v>224.438966153926</v>
      </c>
      <c r="V9" s="11">
        <f>220342.048975794/(10^3)</f>
        <v>220.342048975794</v>
      </c>
      <c r="W9" s="11">
        <f>22526376.3534776/(10^3)</f>
        <v>22526.376353477601</v>
      </c>
      <c r="X9" s="11">
        <f>227604.580632046/(10^3)</f>
        <v>227.60458063204601</v>
      </c>
      <c r="Y9" s="11">
        <f>224306.27561978/(10^3)</f>
        <v>224.30627561978</v>
      </c>
      <c r="Z9" s="11">
        <f>232053.15409708/(10^3)</f>
        <v>232.05315409708001</v>
      </c>
      <c r="AA9" s="11">
        <f>235617.153075786/(10^3)</f>
        <v>235.61715307578598</v>
      </c>
      <c r="AB9" s="11">
        <f>237109.443679799/(10^3)</f>
        <v>237.109443679799</v>
      </c>
      <c r="AC9" s="11">
        <f>2375.32404760709/(10^3)</f>
        <v>2.3753240476070903</v>
      </c>
      <c r="AD9" s="11">
        <f>246469.904404663/(10^3)</f>
        <v>246.469904404663</v>
      </c>
      <c r="AE9" s="11">
        <f>241718.481288072/(10^3)</f>
        <v>241.71848128807201</v>
      </c>
      <c r="AF9" s="11">
        <f>241663.29375256/(10^3)</f>
        <v>241.66329375256001</v>
      </c>
      <c r="AG9" s="11">
        <f>240968.273398008/(10^3)</f>
        <v>240.96827339800799</v>
      </c>
      <c r="AH9" s="11">
        <f>249464.88180969/(10^3)</f>
        <v>249.46488180969001</v>
      </c>
      <c r="AI9" s="11">
        <f>25728854.7290341/(10^3)</f>
        <v>25728.854729034101</v>
      </c>
      <c r="AJ9" s="11">
        <f>250962.360510597/(10^3)</f>
        <v>250.96236051059699</v>
      </c>
      <c r="AK9" s="11">
        <f>258417.249172678/(10^3)</f>
        <v>258.417249172678</v>
      </c>
      <c r="AL9" s="11">
        <f>269642.084077056/(10^3)</f>
        <v>269.64208407705598</v>
      </c>
      <c r="AM9" s="11">
        <f>281303.160415308/(10^3)</f>
        <v>281.30316041530801</v>
      </c>
      <c r="AN9" s="11">
        <f>291953.567561711/(10^3)</f>
        <v>291.953567561711</v>
      </c>
      <c r="AO9" s="11">
        <f>2988.22279251755/(10^3)</f>
        <v>2.9882227925175497</v>
      </c>
      <c r="AP9" s="11">
        <f>307300.540214099/(10^3)</f>
        <v>307.30054021409899</v>
      </c>
      <c r="AQ9" s="11">
        <f>303872.243669193/(10^3)</f>
        <v>303.87224366919298</v>
      </c>
      <c r="AR9" s="11">
        <f>299744.115465117/(10^3)</f>
        <v>299.74411546511698</v>
      </c>
      <c r="AS9" s="11">
        <f>291149.384268906/(10^3)</f>
        <v>291.14938426890603</v>
      </c>
      <c r="AT9" s="11">
        <f>296855.10398889/(10^3)</f>
        <v>296.85510398888999</v>
      </c>
      <c r="AU9" s="11">
        <f>30995463.0818313/(10^3)</f>
        <v>30995.463081831298</v>
      </c>
      <c r="AV9" s="11">
        <f>323804.198746531/(10^3)</f>
        <v>323.80419874653097</v>
      </c>
      <c r="AW9" s="11">
        <f>326496.212559367/(10^3)</f>
        <v>326.496212559367</v>
      </c>
      <c r="AX9" s="11">
        <f>338247.259220362/(10^3)</f>
        <v>338.24725922036203</v>
      </c>
      <c r="AY9" s="11">
        <f>348311.982369033/(10^3)</f>
        <v>348.31198236903299</v>
      </c>
      <c r="AZ9" s="11">
        <f>349773.922382644/(10^3)</f>
        <v>349.773922382644</v>
      </c>
      <c r="BA9" s="11">
        <f>3643.20774631969/(10^3)</f>
        <v>3.6432077463196904</v>
      </c>
      <c r="BB9" s="11">
        <f>366297.660394133/(10^3)</f>
        <v>366.297660394133</v>
      </c>
      <c r="BC9" s="11">
        <f>365047.170261542/(10^3)</f>
        <v>365.04717026154202</v>
      </c>
      <c r="BD9" s="11">
        <f>353003.291349564/(10^3)</f>
        <v>353.00329134956399</v>
      </c>
      <c r="BE9" s="11">
        <f>345299.656052641/(10^3)</f>
        <v>345.29965605264101</v>
      </c>
      <c r="BF9" s="11">
        <f>345515.933191686/(10^3)</f>
        <v>345.51593319168597</v>
      </c>
      <c r="BG9" s="11">
        <f>36197721.957928/(10^3)</f>
        <v>36197.721957927999</v>
      </c>
      <c r="BH9" s="11">
        <f>351466.724448306/(10^3)</f>
        <v>351.46672444830602</v>
      </c>
      <c r="BI9" s="11">
        <f>352050.137358848/(10^3)</f>
        <v>352.05013735884802</v>
      </c>
      <c r="BJ9" s="11">
        <f>357822.167287486/(10^3)</f>
        <v>357.82216728748602</v>
      </c>
      <c r="BK9" s="11">
        <f>370489.26154545/(10^3)</f>
        <v>370.48926154545001</v>
      </c>
      <c r="BL9" s="11">
        <f>374461.248154484/(10^3)</f>
        <v>374.46124815448405</v>
      </c>
      <c r="BM9" s="11">
        <f>3899.83115792372/(10^3)</f>
        <v>3.8998311579237201</v>
      </c>
      <c r="BN9" s="11">
        <f>393426.065045406/(10^3)</f>
        <v>393.42606504540601</v>
      </c>
      <c r="BO9" s="11">
        <f>376367.700792477/(10^3)</f>
        <v>376.36770079247702</v>
      </c>
      <c r="BP9" s="11">
        <f>373372.959662042/(10^3)</f>
        <v>373.37295966204198</v>
      </c>
      <c r="BQ9" s="11">
        <f>366788.412572907/(10^3)</f>
        <v>366.78841257290702</v>
      </c>
      <c r="BR9" s="11">
        <f>358812.993159145/(10^3)</f>
        <v>358.81299315914498</v>
      </c>
      <c r="BS9" s="11">
        <f>36740092.4771536/(10^3)</f>
        <v>36740.092477153601</v>
      </c>
      <c r="BT9" s="11">
        <f>369796.803652205/(10^3)</f>
        <v>369.79680365220497</v>
      </c>
      <c r="BU9" s="11">
        <f>372979.270038048/(10^3)</f>
        <v>372.97927003804796</v>
      </c>
      <c r="BV9" s="11">
        <f>383320.687084103/(10^3)</f>
        <v>383.32068708410299</v>
      </c>
      <c r="BW9" s="11">
        <f>401217.647211031/(10^3)</f>
        <v>401.21764721103102</v>
      </c>
      <c r="BX9" s="11">
        <f>404779.005730774/(10^3)</f>
        <v>404.77900573077403</v>
      </c>
      <c r="BY9" s="11">
        <f>4179.30559412058/(10^3)</f>
        <v>4.1793055941205806</v>
      </c>
      <c r="BZ9" s="11">
        <f>406152.680108267/(10^3)</f>
        <v>406.15268010826702</v>
      </c>
      <c r="CA9" s="11">
        <f>401767.575726734/(10^3)</f>
        <v>401.76757572673398</v>
      </c>
      <c r="CB9" s="11">
        <f>382663.796758516/(10^3)</f>
        <v>382.66379675851601</v>
      </c>
      <c r="CC9" s="12"/>
      <c r="CZ9" s="11">
        <v>244.07408773952537</v>
      </c>
      <c r="DA9" s="11">
        <v>237.5324047607092</v>
      </c>
      <c r="DB9" s="11">
        <v>298.82227925175533</v>
      </c>
      <c r="DC9" s="11">
        <v>364.32077463196941</v>
      </c>
      <c r="DD9" s="11">
        <v>389.9831157923719</v>
      </c>
      <c r="DE9" s="11">
        <v>417.93055941205824</v>
      </c>
      <c r="DG9" s="11">
        <v>211.74834302446132</v>
      </c>
      <c r="DH9" s="11">
        <v>225.26376353477596</v>
      </c>
      <c r="DI9" s="11">
        <v>257.28854729034123</v>
      </c>
      <c r="DJ9" s="11">
        <v>309.95463081831338</v>
      </c>
      <c r="DK9" s="11">
        <v>361.97721957928047</v>
      </c>
      <c r="DL9" s="11">
        <v>367.40092477153598</v>
      </c>
      <c r="DN9" s="11"/>
    </row>
    <row r="10" spans="1:118" outlineLevel="1" x14ac:dyDescent="0.25">
      <c r="D10" s="10" t="s">
        <v>81</v>
      </c>
      <c r="E10" s="10" t="s">
        <v>49</v>
      </c>
      <c r="F10" s="10" t="s">
        <v>150</v>
      </c>
      <c r="G10" s="10"/>
      <c r="H10" s="62" t="str">
        <f t="shared" si="2"/>
        <v xml:space="preserve">Wilmington </v>
      </c>
      <c r="I10" s="11">
        <f>250444/(10^3)</f>
        <v>250.44399999999999</v>
      </c>
      <c r="J10" s="11">
        <f>243355.528412885/(10^3)</f>
        <v>243.35552841288501</v>
      </c>
      <c r="K10" s="11">
        <f>23660491.1374313/(10^3)</f>
        <v>23660.491137431301</v>
      </c>
      <c r="L10" s="11">
        <f>232962.741104965/(10^3)</f>
        <v>232.962741104965</v>
      </c>
      <c r="M10" s="11">
        <f>231590.441495484/(10^3)</f>
        <v>231.59044149548401</v>
      </c>
      <c r="N10" s="11">
        <f>253974.125766348/(10^3)</f>
        <v>253.97412576634801</v>
      </c>
      <c r="O10" s="11">
        <f>258262.346617669/(10^3)</f>
        <v>258.26234661766904</v>
      </c>
      <c r="P10" s="11">
        <f>264155.286507392/(10^3)</f>
        <v>264.15528650739202</v>
      </c>
      <c r="Q10" s="11">
        <f>2706.08217599044/(10^3)</f>
        <v>2.7060821759904403</v>
      </c>
      <c r="R10" s="11">
        <f>268533.956036393/(10^3)</f>
        <v>268.53395603639302</v>
      </c>
      <c r="S10" s="11">
        <f>264082.559482729/(10^3)</f>
        <v>264.08255948272898</v>
      </c>
      <c r="T10" s="11">
        <f>253364.212648643/(10^3)</f>
        <v>253.36421264864302</v>
      </c>
      <c r="U10" s="11">
        <f>251212.480481271/(10^3)</f>
        <v>251.212480481271</v>
      </c>
      <c r="V10" s="11">
        <f>252479.938553098/(10^3)</f>
        <v>252.47993855309801</v>
      </c>
      <c r="W10" s="11">
        <f>24592525.0645534/(10^3)</f>
        <v>24592.5250645534</v>
      </c>
      <c r="X10" s="11">
        <f>243247.323330501/(10^3)</f>
        <v>243.24732333050102</v>
      </c>
      <c r="Y10" s="11">
        <f>238839.663539552/(10^3)</f>
        <v>238.83966353955202</v>
      </c>
      <c r="Z10" s="11">
        <f>238731.961841388/(10^3)</f>
        <v>238.731961841388</v>
      </c>
      <c r="AA10" s="11">
        <f>241984.944197371/(10^3)</f>
        <v>241.98494419737099</v>
      </c>
      <c r="AB10" s="11">
        <f>246143.342282805/(10^3)</f>
        <v>246.14334228280501</v>
      </c>
      <c r="AC10" s="11">
        <f>2485.69197231684/(10^3)</f>
        <v>2.48569197231684</v>
      </c>
      <c r="AD10" s="11">
        <f>243890.629199843/(10^3)</f>
        <v>243.890629199843</v>
      </c>
      <c r="AE10" s="11">
        <f>233036.554045469/(10^3)</f>
        <v>233.03655404546902</v>
      </c>
      <c r="AF10" s="11">
        <f>227948.683031837/(10^3)</f>
        <v>227.94868303183699</v>
      </c>
      <c r="AG10" s="11">
        <f>222307.363344608/(10^3)</f>
        <v>222.30736334460798</v>
      </c>
      <c r="AH10" s="11">
        <f>228065.544483439/(10^3)</f>
        <v>228.065544483439</v>
      </c>
      <c r="AI10" s="11">
        <f>22641126.8255112/(10^3)</f>
        <v>22641.126825511197</v>
      </c>
      <c r="AJ10" s="11">
        <f>227367.945574567/(10^3)</f>
        <v>227.36794557456702</v>
      </c>
      <c r="AK10" s="11">
        <f>233534.812072967/(10^3)</f>
        <v>233.53481207296701</v>
      </c>
      <c r="AL10" s="11">
        <f>242341.219101849/(10^3)</f>
        <v>242.34121910184902</v>
      </c>
      <c r="AM10" s="11">
        <f>249810.225283338/(10^3)</f>
        <v>249.81022528333799</v>
      </c>
      <c r="AN10" s="11">
        <f>255261.233329988/(10^3)</f>
        <v>255.26123332998799</v>
      </c>
      <c r="AO10" s="11">
        <f>2619.26160153552/(10^3)</f>
        <v>2.6192616015355203</v>
      </c>
      <c r="AP10" s="11">
        <f>260046.931842467/(10^3)</f>
        <v>260.04693184246702</v>
      </c>
      <c r="AQ10" s="11">
        <f>255720.679362197/(10^3)</f>
        <v>255.72067936219699</v>
      </c>
      <c r="AR10" s="11">
        <f>248053.249149786/(10^3)</f>
        <v>248.05324914978598</v>
      </c>
      <c r="AS10" s="11">
        <f>242880.449189763/(10^3)</f>
        <v>242.880449189763</v>
      </c>
      <c r="AT10" s="11">
        <f>245473.698539261/(10^3)</f>
        <v>245.47369853926099</v>
      </c>
      <c r="AU10" s="11">
        <f>25362392.4190643/(10^3)</f>
        <v>25362.392419064297</v>
      </c>
      <c r="AV10" s="11">
        <f>263059.003945424/(10^3)</f>
        <v>263.05900394542397</v>
      </c>
      <c r="AW10" s="11">
        <f>268729.501227408/(10^3)</f>
        <v>268.72950122740798</v>
      </c>
      <c r="AX10" s="11">
        <f>282833.503460634/(10^3)</f>
        <v>282.83350346063395</v>
      </c>
      <c r="AY10" s="11">
        <f>294818.608814624/(10^3)</f>
        <v>294.81860881462404</v>
      </c>
      <c r="AZ10" s="11">
        <f>301816.131371101/(10^3)</f>
        <v>301.81613137110099</v>
      </c>
      <c r="BA10" s="11">
        <f>3055.88010359419/(10^3)</f>
        <v>3.0558801035941903</v>
      </c>
      <c r="BB10" s="11">
        <f>315613.120794162/(10^3)</f>
        <v>315.613120794162</v>
      </c>
      <c r="BC10" s="11">
        <f>297915.068596369/(10^3)</f>
        <v>297.915068596369</v>
      </c>
      <c r="BD10" s="11">
        <f>295244.542309337/(10^3)</f>
        <v>295.24454230933702</v>
      </c>
      <c r="BE10" s="11">
        <f>286582.857462722/(10^3)</f>
        <v>286.58285746272202</v>
      </c>
      <c r="BF10" s="11">
        <f>283279.025736984/(10^3)</f>
        <v>283.27902573698395</v>
      </c>
      <c r="BG10" s="11">
        <f>29112312.7143633/(10^3)</f>
        <v>29112.312714363299</v>
      </c>
      <c r="BH10" s="11">
        <f>285958.076953613/(10^3)</f>
        <v>285.95807695361304</v>
      </c>
      <c r="BI10" s="11">
        <f>279002.74314665/(10^3)</f>
        <v>279.00274314665</v>
      </c>
      <c r="BJ10" s="11">
        <f>287616.3548703/(10^3)</f>
        <v>287.61635487029997</v>
      </c>
      <c r="BK10" s="11">
        <f>284512.954239632/(10^3)</f>
        <v>284.51295423963199</v>
      </c>
      <c r="BL10" s="11">
        <f>283182.936131644/(10^3)</f>
        <v>283.182936131644</v>
      </c>
      <c r="BM10" s="11">
        <f>2747.06426113342/(10^3)</f>
        <v>2.7470642611334202</v>
      </c>
      <c r="BN10" s="11">
        <f>280099.828254112/(10^3)</f>
        <v>280.09982825411197</v>
      </c>
      <c r="BO10" s="11">
        <f>257884.661005789/(10^3)</f>
        <v>257.88466100578898</v>
      </c>
      <c r="BP10" s="11">
        <f>245176.592061483/(10^3)</f>
        <v>245.17659206148301</v>
      </c>
      <c r="BQ10" s="11">
        <f>239912.719434428/(10^3)</f>
        <v>239.912719434428</v>
      </c>
      <c r="BR10" s="11">
        <f>244894.326009134/(10^3)</f>
        <v>244.89432600913401</v>
      </c>
      <c r="BS10" s="11">
        <f>24589387.2511576/(10^3)</f>
        <v>24589.387251157601</v>
      </c>
      <c r="BT10" s="11">
        <f>246502.15085431/(10^3)</f>
        <v>246.50215085431</v>
      </c>
      <c r="BU10" s="11">
        <f>246664.302751546/(10^3)</f>
        <v>246.66430275154599</v>
      </c>
      <c r="BV10" s="11">
        <f>260996.999474072/(10^3)</f>
        <v>260.99699947407203</v>
      </c>
      <c r="BW10" s="11">
        <f>263540.926365246/(10^3)</f>
        <v>263.54092636524598</v>
      </c>
      <c r="BX10" s="11">
        <f>273459.706361377/(10^3)</f>
        <v>273.45970636137696</v>
      </c>
      <c r="BY10" s="11">
        <f>2739.09936092978/(10^3)</f>
        <v>2.7390993609297798</v>
      </c>
      <c r="BZ10" s="11">
        <f>279729.558518527/(10^3)</f>
        <v>279.72955851852703</v>
      </c>
      <c r="CA10" s="11">
        <f>253751.408241729/(10^3)</f>
        <v>253.751408241729</v>
      </c>
      <c r="CB10" s="11">
        <f>251816.886847934/(10^3)</f>
        <v>251.816886847934</v>
      </c>
      <c r="CC10" s="12"/>
      <c r="CZ10" s="11">
        <v>270.60821759904422</v>
      </c>
      <c r="DA10" s="11">
        <v>248.56919723168426</v>
      </c>
      <c r="DB10" s="11">
        <v>261.92616015355202</v>
      </c>
      <c r="DC10" s="11">
        <v>305.5880103594186</v>
      </c>
      <c r="DD10" s="11">
        <v>274.70642611334222</v>
      </c>
      <c r="DE10" s="11">
        <v>273.90993609297777</v>
      </c>
      <c r="DG10" s="11">
        <v>236.60491137431293</v>
      </c>
      <c r="DH10" s="11">
        <v>245.92525064553374</v>
      </c>
      <c r="DI10" s="11">
        <v>226.41126825511193</v>
      </c>
      <c r="DJ10" s="11">
        <v>253.62392419064315</v>
      </c>
      <c r="DK10" s="11">
        <v>291.12312714363264</v>
      </c>
      <c r="DL10" s="11">
        <v>245.89387251157609</v>
      </c>
      <c r="DN10" s="11"/>
    </row>
    <row r="11" spans="1:118" outlineLevel="1" x14ac:dyDescent="0.25">
      <c r="D11" s="10" t="s">
        <v>82</v>
      </c>
      <c r="E11" s="10" t="s">
        <v>52</v>
      </c>
      <c r="F11" s="10" t="s">
        <v>180</v>
      </c>
      <c r="G11" s="10"/>
      <c r="H11" s="62" t="str">
        <f t="shared" si="2"/>
        <v xml:space="preserve">Boston </v>
      </c>
      <c r="I11" s="11">
        <f>418862/(10^3)</f>
        <v>418.86200000000002</v>
      </c>
      <c r="J11" s="11">
        <f>434017.149806292/(10^3)</f>
        <v>434.01714980629203</v>
      </c>
      <c r="K11" s="11">
        <f>42311152.5763687/(10^3)</f>
        <v>42311.152576368695</v>
      </c>
      <c r="L11" s="11">
        <f>431993.189131992/(10^3)</f>
        <v>431.99318913199198</v>
      </c>
      <c r="M11" s="11">
        <f>439238.101927608/(10^3)</f>
        <v>439.238101927608</v>
      </c>
      <c r="N11" s="11">
        <f>457087.752862882/(10^3)</f>
        <v>457.08775286288198</v>
      </c>
      <c r="O11" s="11">
        <f>476853.323807506/(10^3)</f>
        <v>476.853323807506</v>
      </c>
      <c r="P11" s="11">
        <f>482045.005112134/(10^3)</f>
        <v>482.04500511213399</v>
      </c>
      <c r="Q11" s="11">
        <f>4986.96027664647/(10^3)</f>
        <v>4.98696027664647</v>
      </c>
      <c r="R11" s="11">
        <f>520230.964492718/(10^3)</f>
        <v>520.23096449271804</v>
      </c>
      <c r="S11" s="11">
        <f>514707.667424795/(10^3)</f>
        <v>514.70766742479498</v>
      </c>
      <c r="T11" s="11">
        <f>508484.101108304/(10^3)</f>
        <v>508.484101108304</v>
      </c>
      <c r="U11" s="11">
        <f>496647.454767075/(10^3)</f>
        <v>496.64745476707503</v>
      </c>
      <c r="V11" s="11">
        <f>493889.124892549/(10^3)</f>
        <v>493.88912489254903</v>
      </c>
      <c r="W11" s="11">
        <f>50825225.0259152/(10^3)</f>
        <v>50825.225025915199</v>
      </c>
      <c r="X11" s="11">
        <f>509893.278510875/(10^3)</f>
        <v>509.89327851087501</v>
      </c>
      <c r="Y11" s="11">
        <f>506776.556420315/(10^3)</f>
        <v>506.77655642031499</v>
      </c>
      <c r="Z11" s="11">
        <f>494343.240047122/(10^3)</f>
        <v>494.34324004712198</v>
      </c>
      <c r="AA11" s="11">
        <f>512420.450466506/(10^3)</f>
        <v>512.42045046650605</v>
      </c>
      <c r="AB11" s="11">
        <f>535845.177870748/(10^3)</f>
        <v>535.84517787074799</v>
      </c>
      <c r="AC11" s="11">
        <f>5377.90760074651/(10^3)</f>
        <v>5.3779076007465099</v>
      </c>
      <c r="AD11" s="11">
        <f>541132.389616972/(10^3)</f>
        <v>541.13238961697198</v>
      </c>
      <c r="AE11" s="11">
        <f>505655.997446667/(10^3)</f>
        <v>505.65599744666702</v>
      </c>
      <c r="AF11" s="11">
        <f>485581.566722143/(10^3)</f>
        <v>485.58156672214295</v>
      </c>
      <c r="AG11" s="11">
        <f>481265.872077806/(10^3)</f>
        <v>481.26587207780597</v>
      </c>
      <c r="AH11" s="11">
        <f>488410.273891496/(10^3)</f>
        <v>488.41027389149599</v>
      </c>
      <c r="AI11" s="11">
        <f>47789450.9584991/(10^3)</f>
        <v>47789.450958499096</v>
      </c>
      <c r="AJ11" s="11">
        <f>484399.23675448/(10^3)</f>
        <v>484.39923675448</v>
      </c>
      <c r="AK11" s="11">
        <f>506784.983288336/(10^3)</f>
        <v>506.78498328833604</v>
      </c>
      <c r="AL11" s="11">
        <f>546242.328274318/(10^3)</f>
        <v>546.24232827431797</v>
      </c>
      <c r="AM11" s="11">
        <f>568117.572894887/(10^3)</f>
        <v>568.11757289488696</v>
      </c>
      <c r="AN11" s="11">
        <f>583693.662339845/(10^3)</f>
        <v>583.69366233984499</v>
      </c>
      <c r="AO11" s="11">
        <f>5967.9912362806/(10^3)</f>
        <v>5.9679912362806</v>
      </c>
      <c r="AP11" s="11">
        <f>583096.930683837/(10^3)</f>
        <v>583.09693068383706</v>
      </c>
      <c r="AQ11" s="11">
        <f>566175.851201804/(10^3)</f>
        <v>566.17585120180399</v>
      </c>
      <c r="AR11" s="11">
        <f>549342.669559702/(10^3)</f>
        <v>549.34266955970202</v>
      </c>
      <c r="AS11" s="11">
        <f>543035.118150022/(10^3)</f>
        <v>543.03511815002196</v>
      </c>
      <c r="AT11" s="11">
        <f>556492.151023258/(10^3)</f>
        <v>556.49215102325797</v>
      </c>
      <c r="AU11" s="11">
        <f>57913261.3968748/(10^3)</f>
        <v>57913.261396874797</v>
      </c>
      <c r="AV11" s="11">
        <f>577041.565196905/(10^3)</f>
        <v>577.04156519690503</v>
      </c>
      <c r="AW11" s="11">
        <f>591144.464176026/(10^3)</f>
        <v>591.14446417602608</v>
      </c>
      <c r="AX11" s="11">
        <f>637167.257527713/(10^3)</f>
        <v>637.16725752771299</v>
      </c>
      <c r="AY11" s="11">
        <f>666166.922188627/(10^3)</f>
        <v>666.16692218862693</v>
      </c>
      <c r="AZ11" s="11">
        <f>673006.076261089/(10^3)</f>
        <v>673.00607626108899</v>
      </c>
      <c r="BA11" s="11">
        <f>6865.71688061028/(10^3)</f>
        <v>6.8657168806102797</v>
      </c>
      <c r="BB11" s="11">
        <f>719318.496091906/(10^3)</f>
        <v>719.31849609190601</v>
      </c>
      <c r="BC11" s="11">
        <f>655337.6761811/(10^3)</f>
        <v>655.33767618109994</v>
      </c>
      <c r="BD11" s="11">
        <f>635322.134893468/(10^3)</f>
        <v>635.32213489346805</v>
      </c>
      <c r="BE11" s="11">
        <f>626258.090296824/(10^3)</f>
        <v>626.25809029682398</v>
      </c>
      <c r="BF11" s="11">
        <f>643091.962200436/(10^3)</f>
        <v>643.091962200436</v>
      </c>
      <c r="BG11" s="11">
        <f>64061296.2550426/(10^3)</f>
        <v>64061.296255042595</v>
      </c>
      <c r="BH11" s="11">
        <f>661557.599026919/(10^3)</f>
        <v>661.55759902691898</v>
      </c>
      <c r="BI11" s="11">
        <f>680862.799861718/(10^3)</f>
        <v>680.86279986171792</v>
      </c>
      <c r="BJ11" s="11">
        <f>704085.333358943/(10^3)</f>
        <v>704.08533335894299</v>
      </c>
      <c r="BK11" s="11">
        <f>696225.163171438/(10^3)</f>
        <v>696.225163171438</v>
      </c>
      <c r="BL11" s="11">
        <f>725690.6013695/(10^3)</f>
        <v>725.69060136950009</v>
      </c>
      <c r="BM11" s="11">
        <f>7203.9235298908/(10^3)</f>
        <v>7.2039235298907993</v>
      </c>
      <c r="BN11" s="11">
        <f>718479.351844481/(10^3)</f>
        <v>718.47935184448102</v>
      </c>
      <c r="BO11" s="11">
        <f>672553.374552538/(10^3)</f>
        <v>672.553374552538</v>
      </c>
      <c r="BP11" s="11">
        <f>669081.840616465/(10^3)</f>
        <v>669.081840616465</v>
      </c>
      <c r="BQ11" s="11">
        <f>663691.646912497/(10^3)</f>
        <v>663.69164691249705</v>
      </c>
      <c r="BR11" s="11">
        <f>694244.00993735/(10^3)</f>
        <v>694.24400993735003</v>
      </c>
      <c r="BS11" s="11">
        <f>72601816.8244077/(10^3)</f>
        <v>72601.816824407695</v>
      </c>
      <c r="BT11" s="11">
        <f>715824.715439572/(10^3)</f>
        <v>715.82471543957195</v>
      </c>
      <c r="BU11" s="11">
        <f>736904.731538992/(10^3)</f>
        <v>736.904731538992</v>
      </c>
      <c r="BV11" s="11">
        <f>778012.415010361/(10^3)</f>
        <v>778.012415010361</v>
      </c>
      <c r="BW11" s="11">
        <f>803185.525023921/(10^3)</f>
        <v>803.18552502392106</v>
      </c>
      <c r="BX11" s="11">
        <f>805012.762912815/(10^3)</f>
        <v>805.01276291281499</v>
      </c>
      <c r="BY11" s="11">
        <f>8333.38549225339/(10^3)</f>
        <v>8.3333854922533899</v>
      </c>
      <c r="BZ11" s="11">
        <f>822440.290361275/(10^3)</f>
        <v>822.44029036127495</v>
      </c>
      <c r="CA11" s="11">
        <f>800388.435006347/(10^3)</f>
        <v>800.38843500634698</v>
      </c>
      <c r="CB11" s="11">
        <f>787892.203635249/(10^3)</f>
        <v>787.89220363524907</v>
      </c>
      <c r="CC11" s="12"/>
      <c r="CZ11" s="11">
        <v>498.69602766464703</v>
      </c>
      <c r="DA11" s="11">
        <v>537.79076007465073</v>
      </c>
      <c r="DB11" s="11">
        <v>596.79912362806022</v>
      </c>
      <c r="DC11" s="11">
        <v>686.57168806102788</v>
      </c>
      <c r="DD11" s="11">
        <v>720.39235298907954</v>
      </c>
      <c r="DE11" s="11">
        <v>833.33854922533874</v>
      </c>
      <c r="DG11" s="11">
        <v>423.11152576368698</v>
      </c>
      <c r="DH11" s="11">
        <v>508.25225025915233</v>
      </c>
      <c r="DI11" s="11">
        <v>477.89450958499123</v>
      </c>
      <c r="DJ11" s="11">
        <v>579.13261396874816</v>
      </c>
      <c r="DK11" s="11">
        <v>640.61296255042635</v>
      </c>
      <c r="DL11" s="11">
        <v>726.01816824407661</v>
      </c>
      <c r="DN11" s="11"/>
    </row>
    <row r="12" spans="1:118" outlineLevel="1" x14ac:dyDescent="0.25">
      <c r="D12" s="10" t="s">
        <v>84</v>
      </c>
      <c r="E12" s="10" t="s">
        <v>53</v>
      </c>
      <c r="F12" s="10" t="s">
        <v>150</v>
      </c>
      <c r="G12" s="10"/>
      <c r="H12" s="62" t="str">
        <f t="shared" si="2"/>
        <v xml:space="preserve">Annapolis </v>
      </c>
      <c r="I12" s="11">
        <f>1037699/(10^3)</f>
        <v>1037.6990000000001</v>
      </c>
      <c r="J12" s="11">
        <f>1067288.78727128/(10^3)</f>
        <v>1067.2887872712802</v>
      </c>
      <c r="K12" s="11">
        <f>103842824.156081/(10^3)</f>
        <v>103842.82415608101</v>
      </c>
      <c r="L12" s="11">
        <f>1020083.74013691/(10^3)</f>
        <v>1020.08374013691</v>
      </c>
      <c r="M12" s="11">
        <f>1007235.28690848/(10^3)</f>
        <v>1007.23528690848</v>
      </c>
      <c r="N12" s="11">
        <f>1024976.32414874/(10^3)</f>
        <v>1024.9763241487401</v>
      </c>
      <c r="O12" s="11">
        <f>1060362.52723919/(10^3)</f>
        <v>1060.3625272391901</v>
      </c>
      <c r="P12" s="11">
        <f>1086452.25970161/(10^3)</f>
        <v>1086.45225970161</v>
      </c>
      <c r="Q12" s="11">
        <f>11310.6875416374/(10^3)</f>
        <v>11.310687541637401</v>
      </c>
      <c r="R12" s="11">
        <f>1182699.03711572/(10^3)</f>
        <v>1182.6990371157201</v>
      </c>
      <c r="S12" s="11">
        <f>1137294.7293361/(10^3)</f>
        <v>1137.2947293360999</v>
      </c>
      <c r="T12" s="11">
        <f>1107595.27782085/(10^3)</f>
        <v>1107.59527782085</v>
      </c>
      <c r="U12" s="11">
        <f>1097044.21294669/(10^3)</f>
        <v>1097.0442129466899</v>
      </c>
      <c r="V12" s="11">
        <f>1090075.32190266/(10^3)</f>
        <v>1090.0753219026599</v>
      </c>
      <c r="W12" s="11">
        <f>106045155.762964/(10^3)</f>
        <v>106045.155762964</v>
      </c>
      <c r="X12" s="11">
        <f>1113163.64644996/(10^3)</f>
        <v>1113.16364644996</v>
      </c>
      <c r="Y12" s="11">
        <f>1086439.71781153/(10^3)</f>
        <v>1086.43971781153</v>
      </c>
      <c r="Z12" s="11">
        <f>1089439.60067833/(10^3)</f>
        <v>1089.43960067833</v>
      </c>
      <c r="AA12" s="11">
        <f>1108904.91872391/(10^3)</f>
        <v>1108.9049187239102</v>
      </c>
      <c r="AB12" s="11">
        <f>1126583.13748724/(10^3)</f>
        <v>1126.5831374872398</v>
      </c>
      <c r="AC12" s="11">
        <f>11765.695084947/(10^3)</f>
        <v>11.765695084947</v>
      </c>
      <c r="AD12" s="11">
        <f>1222171.91880882/(10^3)</f>
        <v>1222.17191880882</v>
      </c>
      <c r="AE12" s="11">
        <f>1175741.87472116/(10^3)</f>
        <v>1175.74187472116</v>
      </c>
      <c r="AF12" s="11">
        <f>1113286.94946036/(10^3)</f>
        <v>1113.2869494603599</v>
      </c>
      <c r="AG12" s="11">
        <f>1090120.98224412/(10^3)</f>
        <v>1090.1209822441199</v>
      </c>
      <c r="AH12" s="11">
        <f>1144214.46887788/(10^3)</f>
        <v>1144.2144688778799</v>
      </c>
      <c r="AI12" s="11">
        <f>117954404.286573/(10^3)</f>
        <v>117954.40428657299</v>
      </c>
      <c r="AJ12" s="11">
        <f>1214987.0499577/(10^3)</f>
        <v>1214.9870499577</v>
      </c>
      <c r="AK12" s="11">
        <f>1188293.59224791/(10^3)</f>
        <v>1188.2935922479101</v>
      </c>
      <c r="AL12" s="11">
        <f>1197190.57949443/(10^3)</f>
        <v>1197.19057949443</v>
      </c>
      <c r="AM12" s="11">
        <f>1249742.07535895/(10^3)</f>
        <v>1249.7420753589502</v>
      </c>
      <c r="AN12" s="11">
        <f>1277456.2650017/(10^3)</f>
        <v>1277.4562650017001</v>
      </c>
      <c r="AO12" s="11">
        <f>12966.1665155359/(10^3)</f>
        <v>12.966166515535901</v>
      </c>
      <c r="AP12" s="11">
        <f>1329516.96751683/(10^3)</f>
        <v>1329.5169675168299</v>
      </c>
      <c r="AQ12" s="11">
        <f>1291881.94063252/(10^3)</f>
        <v>1291.8819406325199</v>
      </c>
      <c r="AR12" s="11">
        <f>1232539.040792/(10^3)</f>
        <v>1232.5390407919999</v>
      </c>
      <c r="AS12" s="11">
        <f>1198765.30041421/(10^3)</f>
        <v>1198.7653004142101</v>
      </c>
      <c r="AT12" s="11">
        <f>1227523.65621341/(10^3)</f>
        <v>1227.52365621341</v>
      </c>
      <c r="AU12" s="11">
        <f>125830856.783906/(10^3)</f>
        <v>125830.856783906</v>
      </c>
      <c r="AV12" s="11">
        <f>1277703.76450858/(10^3)</f>
        <v>1277.70376450858</v>
      </c>
      <c r="AW12" s="11">
        <f>1310183.8288567/(10^3)</f>
        <v>1310.1838288567001</v>
      </c>
      <c r="AX12" s="11">
        <f>1393055.27924096/(10^3)</f>
        <v>1393.0552792409601</v>
      </c>
      <c r="AY12" s="11">
        <f>1431649.48373977/(10^3)</f>
        <v>1431.6494837397699</v>
      </c>
      <c r="AZ12" s="11">
        <f>1444069.9708818/(10^3)</f>
        <v>1444.0699708817999</v>
      </c>
      <c r="BA12" s="11">
        <f>15080.5004454275/(10^3)</f>
        <v>15.0805004454275</v>
      </c>
      <c r="BB12" s="11">
        <f>1567706.54280048/(10^3)</f>
        <v>1567.7065428004801</v>
      </c>
      <c r="BC12" s="11">
        <f>1447276.1596975/(10^3)</f>
        <v>1447.2761596975001</v>
      </c>
      <c r="BD12" s="11">
        <f>1408349.48803951/(10^3)</f>
        <v>1408.3494880395101</v>
      </c>
      <c r="BE12" s="11">
        <f>1402643.19032762/(10^3)</f>
        <v>1402.64319032762</v>
      </c>
      <c r="BF12" s="11">
        <f>1387704.45404233/(10^3)</f>
        <v>1387.7044540423299</v>
      </c>
      <c r="BG12" s="11">
        <f>145487710.70568/(10^3)</f>
        <v>145487.71070568002</v>
      </c>
      <c r="BH12" s="11">
        <f>1497154.25582315/(10^3)</f>
        <v>1497.1542558231502</v>
      </c>
      <c r="BI12" s="11">
        <f>1480352.20102187/(10^3)</f>
        <v>1480.3522010218699</v>
      </c>
      <c r="BJ12" s="11">
        <f>1444669.84290402/(10^3)</f>
        <v>1444.66984290402</v>
      </c>
      <c r="BK12" s="11">
        <f>1504239.13589207/(10^3)</f>
        <v>1504.23913589207</v>
      </c>
      <c r="BL12" s="11">
        <f>1543336.25969364/(10^3)</f>
        <v>1543.3362596936402</v>
      </c>
      <c r="BM12" s="11">
        <f>15979.966147325/(10^3)</f>
        <v>15.979966147324999</v>
      </c>
      <c r="BN12" s="11">
        <f>1654032.87068425/(10^3)</f>
        <v>1654.0328706842499</v>
      </c>
      <c r="BO12" s="11">
        <f>1503833.0152624/(10^3)</f>
        <v>1503.8330152624001</v>
      </c>
      <c r="BP12" s="11">
        <f>1466858.01809382/(10^3)</f>
        <v>1466.85801809382</v>
      </c>
      <c r="BQ12" s="11">
        <f>1440542.46147065/(10^3)</f>
        <v>1440.5424614706501</v>
      </c>
      <c r="BR12" s="11">
        <f>1419535.62321514/(10^3)</f>
        <v>1419.53562321514</v>
      </c>
      <c r="BS12" s="11">
        <f>144376516.423702/(10^3)</f>
        <v>144376.51642370201</v>
      </c>
      <c r="BT12" s="11">
        <f>1438453.31996591/(10^3)</f>
        <v>1438.4533199659099</v>
      </c>
      <c r="BU12" s="11">
        <f>1467358.18576406/(10^3)</f>
        <v>1467.35818576406</v>
      </c>
      <c r="BV12" s="11">
        <f>1605072.09557432/(10^3)</f>
        <v>1605.07209557432</v>
      </c>
      <c r="BW12" s="11">
        <f>1637582.14388631/(10^3)</f>
        <v>1637.58214388631</v>
      </c>
      <c r="BX12" s="11">
        <f>1662401.9141473/(10^3)</f>
        <v>1662.4019141473</v>
      </c>
      <c r="BY12" s="11">
        <f>17381.3313818769/(10^3)</f>
        <v>17.381331381876898</v>
      </c>
      <c r="BZ12" s="11">
        <f>1740148.83699447/(10^3)</f>
        <v>1740.14883699447</v>
      </c>
      <c r="CA12" s="11">
        <f>1623136.04269568/(10^3)</f>
        <v>1623.1360426956799</v>
      </c>
      <c r="CB12" s="11">
        <f>1587829.43700163/(10^3)</f>
        <v>1587.8294370016299</v>
      </c>
      <c r="CC12" s="12"/>
      <c r="CZ12" s="11">
        <v>1131.0687541637378</v>
      </c>
      <c r="DA12" s="11">
        <v>1176.5695084947022</v>
      </c>
      <c r="DB12" s="11">
        <v>1296.6166515535915</v>
      </c>
      <c r="DC12" s="11">
        <v>1508.0500445427515</v>
      </c>
      <c r="DD12" s="11">
        <v>1597.9966147325022</v>
      </c>
      <c r="DE12" s="11">
        <v>1738.1331381876894</v>
      </c>
      <c r="DG12" s="11">
        <v>1038.4282415608138</v>
      </c>
      <c r="DH12" s="11">
        <v>1060.4515576296444</v>
      </c>
      <c r="DI12" s="11">
        <v>1179.5440428657346</v>
      </c>
      <c r="DJ12" s="11">
        <v>1258.3085678390601</v>
      </c>
      <c r="DK12" s="11">
        <v>1454.8771070568039</v>
      </c>
      <c r="DL12" s="11">
        <v>1443.765164237024</v>
      </c>
      <c r="DN12" s="11"/>
    </row>
    <row r="13" spans="1:118" outlineLevel="1" x14ac:dyDescent="0.25">
      <c r="D13" s="10" t="s">
        <v>85</v>
      </c>
      <c r="E13" s="10" t="s">
        <v>53</v>
      </c>
      <c r="F13" s="10" t="s">
        <v>150</v>
      </c>
      <c r="G13" s="10"/>
      <c r="H13" s="62" t="str">
        <f t="shared" si="2"/>
        <v xml:space="preserve">Baltimore </v>
      </c>
      <c r="I13" s="11">
        <f>1203964/(10^3)</f>
        <v>1203.9639999999999</v>
      </c>
      <c r="J13" s="11">
        <f>1245168.65129479/(10^3)</f>
        <v>1245.1686512947899</v>
      </c>
      <c r="K13" s="11">
        <f>123766216.269189/(10^3)</f>
        <v>123766.216269189</v>
      </c>
      <c r="L13" s="11">
        <f>1227360.21479529/(10^3)</f>
        <v>1227.3602147952899</v>
      </c>
      <c r="M13" s="11">
        <f>1284189.29222322/(10^3)</f>
        <v>1284.18929222322</v>
      </c>
      <c r="N13" s="11">
        <f>1334447.36209835/(10^3)</f>
        <v>1334.4473620983499</v>
      </c>
      <c r="O13" s="11">
        <f>1343253.07182241/(10^3)</f>
        <v>1343.25307182241</v>
      </c>
      <c r="P13" s="11">
        <f>1347765.61918033/(10^3)</f>
        <v>1347.7656191803301</v>
      </c>
      <c r="Q13" s="11">
        <f>14045.6985930117/(10^3)</f>
        <v>14.0456985930117</v>
      </c>
      <c r="R13" s="11">
        <f>1367081.67816842/(10^3)</f>
        <v>1367.08167816842</v>
      </c>
      <c r="S13" s="11">
        <f>1351815.27653578/(10^3)</f>
        <v>1351.81527653578</v>
      </c>
      <c r="T13" s="11">
        <f>1297769.05982769/(10^3)</f>
        <v>1297.7690598276899</v>
      </c>
      <c r="U13" s="11">
        <f>1272407.34552039/(10^3)</f>
        <v>1272.40734552039</v>
      </c>
      <c r="V13" s="11">
        <f>1250065.80711511/(10^3)</f>
        <v>1250.0658071151101</v>
      </c>
      <c r="W13" s="11">
        <f>127373279.564583/(10^3)</f>
        <v>127373.279564583</v>
      </c>
      <c r="X13" s="11">
        <f>1308965.53966105/(10^3)</f>
        <v>1308.9655396610501</v>
      </c>
      <c r="Y13" s="11">
        <f>1354043.97638047/(10^3)</f>
        <v>1354.04397638047</v>
      </c>
      <c r="Z13" s="11">
        <f>1342535.46840312/(10^3)</f>
        <v>1342.5354684031201</v>
      </c>
      <c r="AA13" s="11">
        <f>1353051.98004166/(10^3)</f>
        <v>1353.0519800416598</v>
      </c>
      <c r="AB13" s="11">
        <f>1404177.65478954/(10^3)</f>
        <v>1404.1776547895399</v>
      </c>
      <c r="AC13" s="11">
        <f>14564.1910377903/(10^3)</f>
        <v>14.5641910377903</v>
      </c>
      <c r="AD13" s="11">
        <f>1481329.15362493/(10^3)</f>
        <v>1481.3291536249299</v>
      </c>
      <c r="AE13" s="11">
        <f>1497029.49467177/(10^3)</f>
        <v>1497.02949467177</v>
      </c>
      <c r="AF13" s="11">
        <f>1498455.90186315/(10^3)</f>
        <v>1498.4559018631501</v>
      </c>
      <c r="AG13" s="11">
        <f>1524447.29317743/(10^3)</f>
        <v>1524.4472931774301</v>
      </c>
      <c r="AH13" s="11">
        <f>1552694.84998568/(10^3)</f>
        <v>1552.6948499856801</v>
      </c>
      <c r="AI13" s="11">
        <f>159261488.074621/(10^3)</f>
        <v>159261.48807462098</v>
      </c>
      <c r="AJ13" s="11">
        <f>1618391.6467044/(10^3)</f>
        <v>1618.3916467044</v>
      </c>
      <c r="AK13" s="11">
        <f>1609244.69139972/(10^3)</f>
        <v>1609.2446913997201</v>
      </c>
      <c r="AL13" s="11">
        <f>1711859.22936898/(10^3)</f>
        <v>1711.8592293689801</v>
      </c>
      <c r="AM13" s="11">
        <f>1720929.90816344/(10^3)</f>
        <v>1720.9299081634399</v>
      </c>
      <c r="AN13" s="11">
        <f>1775455.34893768/(10^3)</f>
        <v>1775.4553489376799</v>
      </c>
      <c r="AO13" s="11">
        <f>18455.0533088055/(10^3)</f>
        <v>18.455053308805503</v>
      </c>
      <c r="AP13" s="11">
        <f>1886961.56996153/(10^3)</f>
        <v>1886.9615699615299</v>
      </c>
      <c r="AQ13" s="11">
        <f>1837380.41546164/(10^3)</f>
        <v>1837.38041546164</v>
      </c>
      <c r="AR13" s="11">
        <f>1797538.39388045/(10^3)</f>
        <v>1797.53839388045</v>
      </c>
      <c r="AS13" s="11">
        <f>1762515.77434533/(10^3)</f>
        <v>1762.5157743453299</v>
      </c>
      <c r="AT13" s="11">
        <f>1710182.07383148/(10^3)</f>
        <v>1710.18207383148</v>
      </c>
      <c r="AU13" s="11">
        <f>167834932.98923/(10^3)</f>
        <v>167834.93298923</v>
      </c>
      <c r="AV13" s="11">
        <f>1733442.04977821/(10^3)</f>
        <v>1733.44204977821</v>
      </c>
      <c r="AW13" s="11">
        <f>1742843.45660091/(10^3)</f>
        <v>1742.84345660091</v>
      </c>
      <c r="AX13" s="11">
        <f>1801111.90594165/(10^3)</f>
        <v>1801.1119059416501</v>
      </c>
      <c r="AY13" s="11">
        <f>1814931.31460785/(10^3)</f>
        <v>1814.93131460785</v>
      </c>
      <c r="AZ13" s="11">
        <f>1879861.96773084/(10^3)</f>
        <v>1879.86196773084</v>
      </c>
      <c r="BA13" s="11">
        <f>18954.534553624/(10^3)</f>
        <v>18.954534553623997</v>
      </c>
      <c r="BB13" s="11">
        <f>1972275.01176655/(10^3)</f>
        <v>1972.2750117665498</v>
      </c>
      <c r="BC13" s="11">
        <f>1965541.85508936/(10^3)</f>
        <v>1965.5418550893598</v>
      </c>
      <c r="BD13" s="11">
        <f>1883789.10184674/(10^3)</f>
        <v>1883.7891018467401</v>
      </c>
      <c r="BE13" s="11">
        <f>1870820.1315072/(10^3)</f>
        <v>1870.8201315071999</v>
      </c>
      <c r="BF13" s="11">
        <f>1899430.68315103/(10^3)</f>
        <v>1899.4306831510301</v>
      </c>
      <c r="BG13" s="11">
        <f>190104026.073299/(10^3)</f>
        <v>190104.026073299</v>
      </c>
      <c r="BH13" s="11">
        <f>1971604.5354082/(10^3)</f>
        <v>1971.6045354082</v>
      </c>
      <c r="BI13" s="11">
        <f>2035932.77619007/(10^3)</f>
        <v>2035.9327761900699</v>
      </c>
      <c r="BJ13" s="11">
        <f>2238326.15235012/(10^3)</f>
        <v>2238.3261523501196</v>
      </c>
      <c r="BK13" s="11">
        <f>2238925.16970613/(10^3)</f>
        <v>2238.92516970613</v>
      </c>
      <c r="BL13" s="11">
        <f>2349124.58040029/(10^3)</f>
        <v>2349.1245804002901</v>
      </c>
      <c r="BM13" s="11">
        <f>24595.1795485713/(10^3)</f>
        <v>24.595179548571302</v>
      </c>
      <c r="BN13" s="11">
        <f>2537062.42331801/(10^3)</f>
        <v>2537.0624233180097</v>
      </c>
      <c r="BO13" s="11">
        <f>2444701.09661492/(10^3)</f>
        <v>2444.7010966149201</v>
      </c>
      <c r="BP13" s="11">
        <f>2435975.15082882/(10^3)</f>
        <v>2435.97515082882</v>
      </c>
      <c r="BQ13" s="11">
        <f>2411976.69494959/(10^3)</f>
        <v>2411.9766949495902</v>
      </c>
      <c r="BR13" s="11">
        <f>2429032.1044294/(10^3)</f>
        <v>2429.0321044294001</v>
      </c>
      <c r="BS13" s="11">
        <f>248833892.577123/(10^3)</f>
        <v>248833.89257712298</v>
      </c>
      <c r="BT13" s="11">
        <f>2573036.00498506/(10^3)</f>
        <v>2573.0360049850601</v>
      </c>
      <c r="BU13" s="11">
        <f>2616533.59505634/(10^3)</f>
        <v>2616.5335950563399</v>
      </c>
      <c r="BV13" s="11">
        <f>2629852.36790555/(10^3)</f>
        <v>2629.8523679055502</v>
      </c>
      <c r="BW13" s="11">
        <f>2632526.8028127/(10^3)</f>
        <v>2632.5268028127002</v>
      </c>
      <c r="BX13" s="11">
        <f>2633951.68938676/(10^3)</f>
        <v>2633.9516893867599</v>
      </c>
      <c r="BY13" s="11">
        <f>26646.1806711543/(10^3)</f>
        <v>26.646180671154301</v>
      </c>
      <c r="BZ13" s="11">
        <f>2615398.17736309/(10^3)</f>
        <v>2615.3981773630903</v>
      </c>
      <c r="CA13" s="11">
        <f>2460449.95198721/(10^3)</f>
        <v>2460.4499519872102</v>
      </c>
      <c r="CB13" s="11">
        <f>2388593.77655435/(10^3)</f>
        <v>2388.5937765543499</v>
      </c>
      <c r="CC13" s="12"/>
      <c r="CZ13" s="11">
        <v>1404.5698593011659</v>
      </c>
      <c r="DA13" s="11">
        <v>1456.4191037790292</v>
      </c>
      <c r="DB13" s="11">
        <v>1845.5053308805534</v>
      </c>
      <c r="DC13" s="11">
        <v>1895.4534553623994</v>
      </c>
      <c r="DD13" s="11">
        <v>2459.5179548571346</v>
      </c>
      <c r="DE13" s="11">
        <v>2664.6180671154279</v>
      </c>
      <c r="DG13" s="11">
        <v>1237.6621626918868</v>
      </c>
      <c r="DH13" s="11">
        <v>1273.7327956458289</v>
      </c>
      <c r="DI13" s="11">
        <v>1592.614880746215</v>
      </c>
      <c r="DJ13" s="11">
        <v>1678.3493298923036</v>
      </c>
      <c r="DK13" s="11">
        <v>1901.0402607329897</v>
      </c>
      <c r="DL13" s="11">
        <v>2488.338925771232</v>
      </c>
      <c r="DN13" s="11"/>
    </row>
    <row r="14" spans="1:118" outlineLevel="1" x14ac:dyDescent="0.25">
      <c r="D14" s="10" t="s">
        <v>87</v>
      </c>
      <c r="E14" s="10" t="s">
        <v>77</v>
      </c>
      <c r="F14" s="10" t="s">
        <v>180</v>
      </c>
      <c r="G14" s="10"/>
      <c r="H14" s="62" t="str">
        <f t="shared" si="2"/>
        <v xml:space="preserve">Augusta </v>
      </c>
      <c r="I14" s="11">
        <f>637760/(10^3)</f>
        <v>637.76</v>
      </c>
      <c r="J14" s="11">
        <f>663849.317822511/(10^3)</f>
        <v>663.84931782251101</v>
      </c>
      <c r="K14" s="11">
        <f>69670376.4060722/(10^3)</f>
        <v>69670.376406072202</v>
      </c>
      <c r="L14" s="11">
        <f>683512.070308572/(10^3)</f>
        <v>683.51207030857199</v>
      </c>
      <c r="M14" s="11">
        <f>700706.538725485/(10^3)</f>
        <v>700.70653872548496</v>
      </c>
      <c r="N14" s="11">
        <f>735474.233772277/(10^3)</f>
        <v>735.47423377227699</v>
      </c>
      <c r="O14" s="11">
        <f>759609.246546103/(10^3)</f>
        <v>759.60924654610301</v>
      </c>
      <c r="P14" s="11">
        <f>785496.531597389/(10^3)</f>
        <v>785.49653159738898</v>
      </c>
      <c r="Q14" s="11">
        <f>8008.06119887054/(10^3)</f>
        <v>8.0080611988705392</v>
      </c>
      <c r="R14" s="11">
        <f>783551.153286511/(10^3)</f>
        <v>783.55115328651095</v>
      </c>
      <c r="S14" s="11">
        <f>718453.031694986/(10^3)</f>
        <v>718.45303169498607</v>
      </c>
      <c r="T14" s="11">
        <f>698609.856559121/(10^3)</f>
        <v>698.609856559121</v>
      </c>
      <c r="U14" s="11">
        <f>695125.86725834/(10^3)</f>
        <v>695.12586725834001</v>
      </c>
      <c r="V14" s="11">
        <f>676698.083848351/(10^3)</f>
        <v>676.69808384835108</v>
      </c>
      <c r="W14" s="11">
        <f>67278872.6038097/(10^3)</f>
        <v>67278.872603809694</v>
      </c>
      <c r="X14" s="11">
        <f>681014.628139075/(10^3)</f>
        <v>681.01462813907506</v>
      </c>
      <c r="Y14" s="11">
        <f>668351.123647431/(10^3)</f>
        <v>668.351123647431</v>
      </c>
      <c r="Z14" s="11">
        <f>680143.427116123/(10^3)</f>
        <v>680.14342711612301</v>
      </c>
      <c r="AA14" s="11">
        <f>699533.386539157/(10^3)</f>
        <v>699.53338653915705</v>
      </c>
      <c r="AB14" s="11">
        <f>724461.483774047/(10^3)</f>
        <v>724.461483774047</v>
      </c>
      <c r="AC14" s="11">
        <f>7276.28730477712/(10^3)</f>
        <v>7.2762873047771199</v>
      </c>
      <c r="AD14" s="11">
        <f>740941.295600499/(10^3)</f>
        <v>740.94129560049907</v>
      </c>
      <c r="AE14" s="11">
        <f>748991.123454758/(10^3)</f>
        <v>748.99112345475794</v>
      </c>
      <c r="AF14" s="11">
        <f>766376.840310529/(10^3)</f>
        <v>766.37684031052902</v>
      </c>
      <c r="AG14" s="11">
        <f>796596.128991998/(10^3)</f>
        <v>796.59612899199806</v>
      </c>
      <c r="AH14" s="11">
        <f>829781.142485467/(10^3)</f>
        <v>829.78114248546706</v>
      </c>
      <c r="AI14" s="11">
        <f>86568633.0007891/(10^3)</f>
        <v>86568.633000789108</v>
      </c>
      <c r="AJ14" s="11">
        <f>895975.74220057/(10^3)</f>
        <v>895.97574220056993</v>
      </c>
      <c r="AK14" s="11">
        <f>892530.60924997/(10^3)</f>
        <v>892.53060924996998</v>
      </c>
      <c r="AL14" s="11">
        <f>936846.978652936/(10^3)</f>
        <v>936.84697865293606</v>
      </c>
      <c r="AM14" s="11">
        <f>942308.771608609/(10^3)</f>
        <v>942.30877160860905</v>
      </c>
      <c r="AN14" s="11">
        <f>978990.477703784/(10^3)</f>
        <v>978.99047770378399</v>
      </c>
      <c r="AO14" s="11">
        <f>10191.9870783037/(10^3)</f>
        <v>10.191987078303701</v>
      </c>
      <c r="AP14" s="11">
        <f>1040732.51396615/(10^3)</f>
        <v>1040.73251396615</v>
      </c>
      <c r="AQ14" s="11">
        <f>959971.162920011/(10^3)</f>
        <v>959.97116292001101</v>
      </c>
      <c r="AR14" s="11">
        <f>920283.592333081/(10^3)</f>
        <v>920.28359233308095</v>
      </c>
      <c r="AS14" s="11">
        <f>894847.642190033/(10^3)</f>
        <v>894.84764219003296</v>
      </c>
      <c r="AT14" s="11">
        <f>870742.69235197/(10^3)</f>
        <v>870.74269235197005</v>
      </c>
      <c r="AU14" s="11">
        <f>85799561.9956817/(10^3)</f>
        <v>85799.56199568171</v>
      </c>
      <c r="AV14" s="11">
        <f>845250.66548662/(10^3)</f>
        <v>845.25066548662005</v>
      </c>
      <c r="AW14" s="11">
        <f>880724.535023717/(10^3)</f>
        <v>880.72453502371695</v>
      </c>
      <c r="AX14" s="11">
        <f>944944.793349811/(10^3)</f>
        <v>944.94479334981099</v>
      </c>
      <c r="AY14" s="11">
        <f>956707.867882474/(10^3)</f>
        <v>956.70786788247392</v>
      </c>
      <c r="AZ14" s="11">
        <f>999341.099772985/(10^3)</f>
        <v>999.34109977298499</v>
      </c>
      <c r="BA14" s="11">
        <f>10352.7313326924/(10^3)</f>
        <v>10.3527313326924</v>
      </c>
      <c r="BB14" s="11">
        <f>1077676.01772529/(10^3)</f>
        <v>1077.67601772529</v>
      </c>
      <c r="BC14" s="11">
        <f>990871.802447302/(10^3)</f>
        <v>990.871802447302</v>
      </c>
      <c r="BD14" s="11">
        <f>959346.269713483/(10^3)</f>
        <v>959.34626971348303</v>
      </c>
      <c r="BE14" s="11">
        <f>935918.251437571/(10^3)</f>
        <v>935.91825143757103</v>
      </c>
      <c r="BF14" s="11">
        <f>971717.305169665/(10^3)</f>
        <v>971.717305169665</v>
      </c>
      <c r="BG14" s="11">
        <f>95800024.7192582/(10^3)</f>
        <v>95800.024719258203</v>
      </c>
      <c r="BH14" s="11">
        <f>982039.234689166/(10^3)</f>
        <v>982.03923468916594</v>
      </c>
      <c r="BI14" s="11">
        <f>1014452.12584998/(10^3)</f>
        <v>1014.45212584998</v>
      </c>
      <c r="BJ14" s="11">
        <f>1058123.05494347/(10^3)</f>
        <v>1058.1230549434702</v>
      </c>
      <c r="BK14" s="11">
        <f>1100192.02107946/(10^3)</f>
        <v>1100.1920210794599</v>
      </c>
      <c r="BL14" s="11">
        <f>1133350.16632358/(10^3)</f>
        <v>1133.35016632358</v>
      </c>
      <c r="BM14" s="11">
        <f>11685.2051625731/(10^3)</f>
        <v>11.6852051625731</v>
      </c>
      <c r="BN14" s="11">
        <f>1148475.10521039/(10^3)</f>
        <v>1148.47510521039</v>
      </c>
      <c r="BO14" s="11">
        <f>1089395.17591181/(10^3)</f>
        <v>1089.3951759118099</v>
      </c>
      <c r="BP14" s="11">
        <f>1064373.06324552/(10^3)</f>
        <v>1064.3730632455199</v>
      </c>
      <c r="BQ14" s="11">
        <f>1062952.48065165/(10^3)</f>
        <v>1062.9524806516501</v>
      </c>
      <c r="BR14" s="11">
        <f>1114954.52628429/(10^3)</f>
        <v>1114.9545262842901</v>
      </c>
      <c r="BS14" s="11">
        <f>113943018.077939/(10^3)</f>
        <v>113943.01807793901</v>
      </c>
      <c r="BT14" s="11">
        <f>1155092.71521596/(10^3)</f>
        <v>1155.09271521596</v>
      </c>
      <c r="BU14" s="11">
        <f>1208647.60582172/(10^3)</f>
        <v>1208.6476058217202</v>
      </c>
      <c r="BV14" s="11">
        <f>1228978.94729975/(10^3)</f>
        <v>1228.97894729975</v>
      </c>
      <c r="BW14" s="11">
        <f>1265571.4885542/(10^3)</f>
        <v>1265.5714885542</v>
      </c>
      <c r="BX14" s="11">
        <f>1287183.48356665/(10^3)</f>
        <v>1287.18348356665</v>
      </c>
      <c r="BY14" s="11">
        <f>13143.5348326206/(10^3)</f>
        <v>13.143534832620601</v>
      </c>
      <c r="BZ14" s="11">
        <f>1372229.72920815/(10^3)</f>
        <v>1372.22972920815</v>
      </c>
      <c r="CA14" s="11">
        <f>1278787.82198858/(10^3)</f>
        <v>1278.7878219885802</v>
      </c>
      <c r="CB14" s="11">
        <f>1240557.10675196/(10^3)</f>
        <v>1240.55710675196</v>
      </c>
      <c r="CC14" s="12"/>
      <c r="CZ14" s="11">
        <v>800.80611988705448</v>
      </c>
      <c r="DA14" s="11">
        <v>727.62873047771166</v>
      </c>
      <c r="DB14" s="11">
        <v>1019.1987078303745</v>
      </c>
      <c r="DC14" s="11">
        <v>1035.2731332692447</v>
      </c>
      <c r="DD14" s="11">
        <v>1168.5205162573088</v>
      </c>
      <c r="DE14" s="11">
        <v>1314.3534832620644</v>
      </c>
      <c r="DG14" s="11">
        <v>696.70376406072239</v>
      </c>
      <c r="DH14" s="11">
        <v>672.78872603809714</v>
      </c>
      <c r="DI14" s="11">
        <v>865.68633000789066</v>
      </c>
      <c r="DJ14" s="11">
        <v>857.99561995681654</v>
      </c>
      <c r="DK14" s="11">
        <v>958.00024719258192</v>
      </c>
      <c r="DL14" s="11">
        <v>1139.430180779387</v>
      </c>
      <c r="DN14" s="11"/>
    </row>
    <row r="15" spans="1:118" outlineLevel="1" x14ac:dyDescent="0.25">
      <c r="D15" s="10" t="s">
        <v>89</v>
      </c>
      <c r="E15" s="10" t="s">
        <v>77</v>
      </c>
      <c r="F15" s="10" t="s">
        <v>180</v>
      </c>
      <c r="G15" s="10"/>
      <c r="H15" s="62" t="str">
        <f t="shared" si="2"/>
        <v xml:space="preserve">Portland </v>
      </c>
      <c r="I15" s="11">
        <f>384458/(10^3)</f>
        <v>384.45800000000003</v>
      </c>
      <c r="J15" s="11">
        <f>395706.352499704/(10^3)</f>
        <v>395.706352499704</v>
      </c>
      <c r="K15" s="11">
        <f>38707459.4874305/(10^3)</f>
        <v>38707.459487430497</v>
      </c>
      <c r="L15" s="11">
        <f>406267.438221923/(10^3)</f>
        <v>406.26743822192304</v>
      </c>
      <c r="M15" s="11">
        <f>423653.802851817/(10^3)</f>
        <v>423.65380285181698</v>
      </c>
      <c r="N15" s="11">
        <f>459813.039939224/(10^3)</f>
        <v>459.81303993922404</v>
      </c>
      <c r="O15" s="11">
        <f>468385.725125248/(10^3)</f>
        <v>468.38572512524803</v>
      </c>
      <c r="P15" s="11">
        <f>485633.297437247/(10^3)</f>
        <v>485.63329743724699</v>
      </c>
      <c r="Q15" s="11">
        <f>4962.54064333634/(10^3)</f>
        <v>4.9625406433363395</v>
      </c>
      <c r="R15" s="11">
        <f>503171.1431075/(10^3)</f>
        <v>503.17114310749997</v>
      </c>
      <c r="S15" s="11">
        <f>464381.544967198/(10^3)</f>
        <v>464.38154496719801</v>
      </c>
      <c r="T15" s="11">
        <f>456925.030501693/(10^3)</f>
        <v>456.92503050169302</v>
      </c>
      <c r="U15" s="11">
        <f>447915.011996632/(10^3)</f>
        <v>447.91501199663196</v>
      </c>
      <c r="V15" s="11">
        <f>446395.796208526/(10^3)</f>
        <v>446.39579620852601</v>
      </c>
      <c r="W15" s="11">
        <f>45046824.5194668/(10^3)</f>
        <v>45046.824519466805</v>
      </c>
      <c r="X15" s="11">
        <f>461735.306484553/(10^3)</f>
        <v>461.73530648455295</v>
      </c>
      <c r="Y15" s="11">
        <f>468039.014698812/(10^3)</f>
        <v>468.03901469881197</v>
      </c>
      <c r="Z15" s="11">
        <f>513648.317884015/(10^3)</f>
        <v>513.648317884015</v>
      </c>
      <c r="AA15" s="11">
        <f>520019.496093535/(10^3)</f>
        <v>520.01949609353494</v>
      </c>
      <c r="AB15" s="11">
        <f>541972.628820589/(10^3)</f>
        <v>541.97262882058908</v>
      </c>
      <c r="AC15" s="11">
        <f>5462.06195736901/(10^3)</f>
        <v>5.4620619573690101</v>
      </c>
      <c r="AD15" s="11">
        <f>563162.430859263/(10^3)</f>
        <v>563.16243085926305</v>
      </c>
      <c r="AE15" s="11">
        <f>567664.832554573/(10^3)</f>
        <v>567.66483255457297</v>
      </c>
      <c r="AF15" s="11">
        <f>583667.226420917/(10^3)</f>
        <v>583.66722642091702</v>
      </c>
      <c r="AG15" s="11">
        <f>606632.237487947/(10^3)</f>
        <v>606.63223748794701</v>
      </c>
      <c r="AH15" s="11">
        <f>626737.434399199/(10^3)</f>
        <v>626.73743439919895</v>
      </c>
      <c r="AI15" s="11">
        <f>64064531.6417915/(10^3)</f>
        <v>64064.531641791502</v>
      </c>
      <c r="AJ15" s="11">
        <f>670364.717486484/(10^3)</f>
        <v>670.36471748648398</v>
      </c>
      <c r="AK15" s="11">
        <f>691703.683910361/(10^3)</f>
        <v>691.70368391036106</v>
      </c>
      <c r="AL15" s="11">
        <f>710815.243564971/(10^3)</f>
        <v>710.81524356497107</v>
      </c>
      <c r="AM15" s="11">
        <f>742214.682197302/(10^3)</f>
        <v>742.21468219730195</v>
      </c>
      <c r="AN15" s="11">
        <f>764047.372117407/(10^3)</f>
        <v>764.04737211740701</v>
      </c>
      <c r="AO15" s="11">
        <f>7831.58775315117/(10^3)</f>
        <v>7.8315877531511697</v>
      </c>
      <c r="AP15" s="11">
        <f>816808.949766176/(10^3)</f>
        <v>816.80894976617606</v>
      </c>
      <c r="AQ15" s="11">
        <f>759708.219260054/(10^3)</f>
        <v>759.70821926005397</v>
      </c>
      <c r="AR15" s="11">
        <f>726529.197378616/(10^3)</f>
        <v>726.529197378616</v>
      </c>
      <c r="AS15" s="11">
        <f>713738.074008832/(10^3)</f>
        <v>713.73807400883197</v>
      </c>
      <c r="AT15" s="11">
        <f>694519.711323421/(10^3)</f>
        <v>694.51971132342101</v>
      </c>
      <c r="AU15" s="11">
        <f>69075752.0580019/(10^3)</f>
        <v>69075.752058001905</v>
      </c>
      <c r="AV15" s="11">
        <f>686109.376090197/(10^3)</f>
        <v>686.10937609019697</v>
      </c>
      <c r="AW15" s="11">
        <f>677062.241401615/(10^3)</f>
        <v>677.06224140161498</v>
      </c>
      <c r="AX15" s="11">
        <f>663421.623816553/(10^3)</f>
        <v>663.42162381655305</v>
      </c>
      <c r="AY15" s="11">
        <f>662039.571877086/(10^3)</f>
        <v>662.0395718770859</v>
      </c>
      <c r="AZ15" s="11">
        <f>648537.192544959/(10^3)</f>
        <v>648.537192544959</v>
      </c>
      <c r="BA15" s="11">
        <f>6366.55234089897/(10^3)</f>
        <v>6.3665523408989699</v>
      </c>
      <c r="BB15" s="11">
        <f>627931.226962646/(10^3)</f>
        <v>627.93122696264595</v>
      </c>
      <c r="BC15" s="11">
        <f>610149.089993536/(10^3)</f>
        <v>610.14908999353599</v>
      </c>
      <c r="BD15" s="11">
        <f>607617.932357659/(10^3)</f>
        <v>607.61793235765901</v>
      </c>
      <c r="BE15" s="11">
        <f>597174.289967943/(10^3)</f>
        <v>597.17428996794297</v>
      </c>
      <c r="BF15" s="11">
        <f>603596.607021064/(10^3)</f>
        <v>603.59660702106407</v>
      </c>
      <c r="BG15" s="11">
        <f>60873911.9698807/(10^3)</f>
        <v>60873.911969880697</v>
      </c>
      <c r="BH15" s="11">
        <f>623509.11515422/(10^3)</f>
        <v>623.50911515422001</v>
      </c>
      <c r="BI15" s="11">
        <f>646579.2787435/(10^3)</f>
        <v>646.57927874350003</v>
      </c>
      <c r="BJ15" s="11">
        <f>697185.487930642/(10^3)</f>
        <v>697.18548793064201</v>
      </c>
      <c r="BK15" s="11">
        <f>725665.148673415/(10^3)</f>
        <v>725.66514867341493</v>
      </c>
      <c r="BL15" s="11">
        <f>760638.544994345/(10^3)</f>
        <v>760.63854499434501</v>
      </c>
      <c r="BM15" s="11">
        <f>7817.16825149682/(10^3)</f>
        <v>7.8171682514968195</v>
      </c>
      <c r="BN15" s="11">
        <f>772517.072286611/(10^3)</f>
        <v>772.51707228661098</v>
      </c>
      <c r="BO15" s="11">
        <f>737575.740394419/(10^3)</f>
        <v>737.57574039441897</v>
      </c>
      <c r="BP15" s="11">
        <f>708091.479042824/(10^3)</f>
        <v>708.09147904282406</v>
      </c>
      <c r="BQ15" s="11">
        <f>692436.204871725/(10^3)</f>
        <v>692.43620487172507</v>
      </c>
      <c r="BR15" s="11">
        <f>724834.541587895/(10^3)</f>
        <v>724.83454158789505</v>
      </c>
      <c r="BS15" s="11">
        <f>71462176.7080951/(10^3)</f>
        <v>71462.17670809511</v>
      </c>
      <c r="BT15" s="11">
        <f>705316.206513702/(10^3)</f>
        <v>705.31620651370201</v>
      </c>
      <c r="BU15" s="11">
        <f>712360.942593897/(10^3)</f>
        <v>712.36094259389699</v>
      </c>
      <c r="BV15" s="11">
        <f>744301.642236017/(10^3)</f>
        <v>744.30164223601707</v>
      </c>
      <c r="BW15" s="11">
        <f>770721.755511472/(10^3)</f>
        <v>770.721755511472</v>
      </c>
      <c r="BX15" s="11">
        <f>775562.569843755/(10^3)</f>
        <v>775.562569843755</v>
      </c>
      <c r="BY15" s="11">
        <f>7768.50637526752/(10^3)</f>
        <v>7.7685063752675196</v>
      </c>
      <c r="BZ15" s="11">
        <f>753627.40401967/(10^3)</f>
        <v>753.62740401966994</v>
      </c>
      <c r="CA15" s="11">
        <f>678887.996873248/(10^3)</f>
        <v>678.88799687324797</v>
      </c>
      <c r="CB15" s="11">
        <f>676591.847589276/(10^3)</f>
        <v>676.59184758927609</v>
      </c>
      <c r="CC15" s="12"/>
      <c r="CZ15" s="11">
        <v>496.25406433363446</v>
      </c>
      <c r="DA15" s="11">
        <v>546.20619573690101</v>
      </c>
      <c r="DB15" s="11">
        <v>783.15877531511694</v>
      </c>
      <c r="DC15" s="11">
        <v>636.65523408989702</v>
      </c>
      <c r="DD15" s="11">
        <v>781.71682514968245</v>
      </c>
      <c r="DE15" s="11">
        <v>776.85063752675183</v>
      </c>
      <c r="DG15" s="11">
        <v>387.07459487430492</v>
      </c>
      <c r="DH15" s="11">
        <v>450.46824519466799</v>
      </c>
      <c r="DI15" s="11">
        <v>640.64531641791518</v>
      </c>
      <c r="DJ15" s="11">
        <v>690.75752058001922</v>
      </c>
      <c r="DK15" s="11">
        <v>608.73911969880737</v>
      </c>
      <c r="DL15" s="11">
        <v>714.6217670809508</v>
      </c>
      <c r="DN15" s="11"/>
    </row>
    <row r="16" spans="1:118" outlineLevel="1" x14ac:dyDescent="0.25">
      <c r="D16" s="10" t="s">
        <v>90</v>
      </c>
      <c r="E16" s="10" t="s">
        <v>83</v>
      </c>
      <c r="F16" s="10" t="s">
        <v>150</v>
      </c>
      <c r="G16" s="10"/>
      <c r="H16" s="62" t="str">
        <f t="shared" si="2"/>
        <v xml:space="preserve">Raleigh </v>
      </c>
      <c r="I16" s="11">
        <f>1407836/(10^3)</f>
        <v>1407.836</v>
      </c>
      <c r="J16" s="11">
        <f>1438110.2138582/(10^3)</f>
        <v>1438.1102138582</v>
      </c>
      <c r="K16" s="11">
        <f>150542871.2356/(10^3)</f>
        <v>150542.8712356</v>
      </c>
      <c r="L16" s="11">
        <f>1525303.4013505/(10^3)</f>
        <v>1525.3034013505001</v>
      </c>
      <c r="M16" s="11">
        <f>1491000.81560781/(10^3)</f>
        <v>1491.00081560781</v>
      </c>
      <c r="N16" s="11">
        <f>1596227.050946/(10^3)</f>
        <v>1596.227050946</v>
      </c>
      <c r="O16" s="11">
        <f>1660678.00524949/(10^3)</f>
        <v>1660.6780052494901</v>
      </c>
      <c r="P16" s="11">
        <f>1716149.21890998/(10^3)</f>
        <v>1716.1492189099799</v>
      </c>
      <c r="Q16" s="11">
        <f>17463.0428568817/(10^3)</f>
        <v>17.4630428568817</v>
      </c>
      <c r="R16" s="11">
        <f>1760272.42292235/(10^3)</f>
        <v>1760.27242292235</v>
      </c>
      <c r="S16" s="11">
        <f>1743543.46780438/(10^3)</f>
        <v>1743.54346780438</v>
      </c>
      <c r="T16" s="11">
        <f>1698563.66224748/(10^3)</f>
        <v>1698.5636622474799</v>
      </c>
      <c r="U16" s="11">
        <f>1663130.46285107/(10^3)</f>
        <v>1663.1304628510702</v>
      </c>
      <c r="V16" s="11">
        <f>1727567.42604246/(10^3)</f>
        <v>1727.5674260424598</v>
      </c>
      <c r="W16" s="11">
        <f>167597693.318713/(10^3)</f>
        <v>167597.69331871302</v>
      </c>
      <c r="X16" s="11">
        <f>1704734.69777616/(10^3)</f>
        <v>1704.7346977761599</v>
      </c>
      <c r="Y16" s="11">
        <f>1687828.94269684/(10^3)</f>
        <v>1687.8289426968399</v>
      </c>
      <c r="Z16" s="11">
        <f>1835053.86462194/(10^3)</f>
        <v>1835.05386462194</v>
      </c>
      <c r="AA16" s="11">
        <f>1874474.27606765/(10^3)</f>
        <v>1874.47427606765</v>
      </c>
      <c r="AB16" s="11">
        <f>1886519.49598153/(10^3)</f>
        <v>1886.5194959815301</v>
      </c>
      <c r="AC16" s="11">
        <f>19291.0203187309/(10^3)</f>
        <v>19.291020318730901</v>
      </c>
      <c r="AD16" s="11">
        <f>2017196.32396248/(10^3)</f>
        <v>2017.1963239624802</v>
      </c>
      <c r="AE16" s="11">
        <f>2111239.20085829/(10^3)</f>
        <v>2111.2392008582897</v>
      </c>
      <c r="AF16" s="11">
        <f>2206089.84851604/(10^3)</f>
        <v>2206.0898485160401</v>
      </c>
      <c r="AG16" s="11">
        <f>2293294.15124069/(10^3)</f>
        <v>2293.2941512406901</v>
      </c>
      <c r="AH16" s="11">
        <f>2359203.16285473/(10^3)</f>
        <v>2359.2031628547302</v>
      </c>
      <c r="AI16" s="11">
        <f>241855114.786679/(10^3)</f>
        <v>241855.11478667901</v>
      </c>
      <c r="AJ16" s="11">
        <f>2473361.10580543/(10^3)</f>
        <v>2473.3611058054303</v>
      </c>
      <c r="AK16" s="11">
        <f>2534435.36984217/(10^3)</f>
        <v>2534.4353698421696</v>
      </c>
      <c r="AL16" s="11">
        <f>2617033.69787063/(10^3)</f>
        <v>2617.03369787063</v>
      </c>
      <c r="AM16" s="11">
        <f>2694044.21017829/(10^3)</f>
        <v>2694.0442101782901</v>
      </c>
      <c r="AN16" s="11">
        <f>2734628.95469528/(10^3)</f>
        <v>2734.6289546952803</v>
      </c>
      <c r="AO16" s="11">
        <f>27793.2255049545/(10^3)</f>
        <v>27.793225504954499</v>
      </c>
      <c r="AP16" s="11">
        <f>2789836.22498988/(10^3)</f>
        <v>2789.8362249898801</v>
      </c>
      <c r="AQ16" s="11">
        <f>2687775.68378424/(10^3)</f>
        <v>2687.7756837842398</v>
      </c>
      <c r="AR16" s="11">
        <f>2596648.25354611/(10^3)</f>
        <v>2596.64825354611</v>
      </c>
      <c r="AS16" s="11">
        <f>2566188.93164581/(10^3)</f>
        <v>2566.18893164581</v>
      </c>
      <c r="AT16" s="11">
        <f>2501592.07715135/(10^3)</f>
        <v>2501.5920771513502</v>
      </c>
      <c r="AU16" s="11">
        <f>244250766.070886/(10^3)</f>
        <v>244250.76607088599</v>
      </c>
      <c r="AV16" s="11">
        <f>2377518.24599395/(10^3)</f>
        <v>2377.5182459939501</v>
      </c>
      <c r="AW16" s="11">
        <f>2338114.88301155/(10^3)</f>
        <v>2338.1148830115503</v>
      </c>
      <c r="AX16" s="11">
        <f>2312516.73575871/(10^3)</f>
        <v>2312.5167357587102</v>
      </c>
      <c r="AY16" s="11">
        <f>2259877.40056119/(10^3)</f>
        <v>2259.8774005611904</v>
      </c>
      <c r="AZ16" s="11">
        <f>2244001.68814726/(10^3)</f>
        <v>2244.0016881472598</v>
      </c>
      <c r="BA16" s="11">
        <f>22176.2537575189/(10^3)</f>
        <v>22.1762537575189</v>
      </c>
      <c r="BB16" s="11">
        <f>2182626.6930461/(10^3)</f>
        <v>2182.6266930461002</v>
      </c>
      <c r="BC16" s="11">
        <f>2136679.8683807/(10^3)</f>
        <v>2136.6798683806996</v>
      </c>
      <c r="BD16" s="11">
        <f>2077391.61566174/(10^3)</f>
        <v>2077.3916156617402</v>
      </c>
      <c r="BE16" s="11">
        <f>2070409.48110858/(10^3)</f>
        <v>2070.4094811085802</v>
      </c>
      <c r="BF16" s="11">
        <f>2029399.27016684/(10^3)</f>
        <v>2029.3992701668399</v>
      </c>
      <c r="BG16" s="11">
        <f>204575987.839384/(10^3)</f>
        <v>204575.98783938398</v>
      </c>
      <c r="BH16" s="11">
        <f>2071263.46490194/(10^3)</f>
        <v>2071.2634649019401</v>
      </c>
      <c r="BI16" s="11">
        <f>2102089.8516808/(10^3)</f>
        <v>2102.0898516807997</v>
      </c>
      <c r="BJ16" s="11">
        <f>2192816.06487862/(10^3)</f>
        <v>2192.8160648786202</v>
      </c>
      <c r="BK16" s="11">
        <f>2224372.43543655/(10^3)</f>
        <v>2224.3724354365499</v>
      </c>
      <c r="BL16" s="11">
        <f>2299416.44944477/(10^3)</f>
        <v>2299.41644944477</v>
      </c>
      <c r="BM16" s="11">
        <f>23747.7236351565/(10^3)</f>
        <v>23.7477236351565</v>
      </c>
      <c r="BN16" s="11">
        <f>2439538.15142151/(10^3)</f>
        <v>2439.5381514215101</v>
      </c>
      <c r="BO16" s="11">
        <f>2338354.57448961/(10^3)</f>
        <v>2338.3545744896096</v>
      </c>
      <c r="BP16" s="11">
        <f>2303720.37246019/(10^3)</f>
        <v>2303.72037246019</v>
      </c>
      <c r="BQ16" s="11">
        <f>2291109.80390899/(10^3)</f>
        <v>2291.1098039089902</v>
      </c>
      <c r="BR16" s="11">
        <f>2394746.42876697/(10^3)</f>
        <v>2394.74642876697</v>
      </c>
      <c r="BS16" s="11">
        <f>236206533.667111/(10^3)</f>
        <v>236206.53366711101</v>
      </c>
      <c r="BT16" s="11">
        <f>2434713.71613345/(10^3)</f>
        <v>2434.7137161334504</v>
      </c>
      <c r="BU16" s="11">
        <f>2432602.98105257/(10^3)</f>
        <v>2432.6029810525702</v>
      </c>
      <c r="BV16" s="11">
        <f>2476643.15990694/(10^3)</f>
        <v>2476.6431599069401</v>
      </c>
      <c r="BW16" s="11">
        <f>2587856.20623318/(10^3)</f>
        <v>2587.8562062331803</v>
      </c>
      <c r="BX16" s="11">
        <f>2618608.01106354/(10^3)</f>
        <v>2618.6080110635398</v>
      </c>
      <c r="BY16" s="11">
        <f>26745.3105896865/(10^3)</f>
        <v>26.7453105896865</v>
      </c>
      <c r="BZ16" s="11">
        <f>2795241.60385568/(10^3)</f>
        <v>2795.2416038556803</v>
      </c>
      <c r="CA16" s="11">
        <f>2578923.97893469/(10^3)</f>
        <v>2578.9239789346898</v>
      </c>
      <c r="CB16" s="11">
        <f>2517593.28190603/(10^3)</f>
        <v>2517.5932819060299</v>
      </c>
      <c r="CC16" s="12"/>
      <c r="CZ16" s="11">
        <v>1746.3042856881682</v>
      </c>
      <c r="DA16" s="11">
        <v>1929.1020318730925</v>
      </c>
      <c r="DB16" s="11">
        <v>2779.3225504954489</v>
      </c>
      <c r="DC16" s="11">
        <v>2217.6253757518903</v>
      </c>
      <c r="DD16" s="11">
        <v>2374.7723635156485</v>
      </c>
      <c r="DE16" s="11">
        <v>2674.5310589686546</v>
      </c>
      <c r="DG16" s="11">
        <v>1505.4287123560014</v>
      </c>
      <c r="DH16" s="11">
        <v>1675.97693318713</v>
      </c>
      <c r="DI16" s="11">
        <v>2418.5511478667895</v>
      </c>
      <c r="DJ16" s="11">
        <v>2442.5076607088558</v>
      </c>
      <c r="DK16" s="11">
        <v>2045.759878393839</v>
      </c>
      <c r="DL16" s="11">
        <v>2362.0653366711072</v>
      </c>
      <c r="DN16" s="11"/>
    </row>
    <row r="17" spans="4:118" outlineLevel="1" x14ac:dyDescent="0.25">
      <c r="D17" s="10" t="s">
        <v>92</v>
      </c>
      <c r="E17" s="10" t="s">
        <v>83</v>
      </c>
      <c r="F17" s="10" t="s">
        <v>150</v>
      </c>
      <c r="G17" s="10"/>
      <c r="H17" s="62" t="str">
        <f t="shared" si="2"/>
        <v xml:space="preserve">Charlotte </v>
      </c>
      <c r="I17" s="11">
        <f>1147753/(10^3)</f>
        <v>1147.7529999999999</v>
      </c>
      <c r="J17" s="11">
        <f>1202895.26322354/(10^3)</f>
        <v>1202.89526322354</v>
      </c>
      <c r="K17" s="11">
        <f>118732101.702267/(10^3)</f>
        <v>118732.10170226701</v>
      </c>
      <c r="L17" s="11">
        <f>1239848.65593774/(10^3)</f>
        <v>1239.8486559377402</v>
      </c>
      <c r="M17" s="11">
        <f>1238930.6484937/(10^3)</f>
        <v>1238.9306484936999</v>
      </c>
      <c r="N17" s="11">
        <f>1335552.3843925/(10^3)</f>
        <v>1335.5523843925</v>
      </c>
      <c r="O17" s="11">
        <f>1368458.19440051/(10^3)</f>
        <v>1368.4581944005101</v>
      </c>
      <c r="P17" s="11">
        <f>1394705.08004615/(10^3)</f>
        <v>1394.70508004615</v>
      </c>
      <c r="Q17" s="11">
        <f>14401.5459481121/(10^3)</f>
        <v>14.4015459481121</v>
      </c>
      <c r="R17" s="11">
        <f>1434639.65347605/(10^3)</f>
        <v>1434.6396534760499</v>
      </c>
      <c r="S17" s="11">
        <f>1421663.28085975/(10^3)</f>
        <v>1421.6632808597501</v>
      </c>
      <c r="T17" s="11">
        <f>1357884.99351232/(10^3)</f>
        <v>1357.8849935123201</v>
      </c>
      <c r="U17" s="11">
        <f>1334497.32464353/(10^3)</f>
        <v>1334.49732464353</v>
      </c>
      <c r="V17" s="11">
        <f>1322180.03617297/(10^3)</f>
        <v>1322.1800361729699</v>
      </c>
      <c r="W17" s="11">
        <f>133328019.990749/(10^3)</f>
        <v>133328.01999074899</v>
      </c>
      <c r="X17" s="11">
        <f>1322746.35183156/(10^3)</f>
        <v>1322.7463518315601</v>
      </c>
      <c r="Y17" s="11">
        <f>1388270.99794727/(10^3)</f>
        <v>1388.27099794727</v>
      </c>
      <c r="Z17" s="11">
        <f>1466681.06835576/(10^3)</f>
        <v>1466.6810683557601</v>
      </c>
      <c r="AA17" s="11">
        <f>1526571.00713036/(10^3)</f>
        <v>1526.5710071303599</v>
      </c>
      <c r="AB17" s="11">
        <f>1539299.43634307/(10^3)</f>
        <v>1539.2994363430698</v>
      </c>
      <c r="AC17" s="11">
        <f>15991.7632585459/(10^3)</f>
        <v>15.9917632585459</v>
      </c>
      <c r="AD17" s="11">
        <f>1672852.32189522/(10^3)</f>
        <v>1672.85232189522</v>
      </c>
      <c r="AE17" s="11">
        <f>1719154.24273481/(10^3)</f>
        <v>1719.1542427348102</v>
      </c>
      <c r="AF17" s="11">
        <f>1791181.65966893/(10^3)</f>
        <v>1791.18165966893</v>
      </c>
      <c r="AG17" s="11">
        <f>1871910.09077418/(10^3)</f>
        <v>1871.9100907741799</v>
      </c>
      <c r="AH17" s="11">
        <f>1918908.3029192/(10^3)</f>
        <v>1918.9083029192</v>
      </c>
      <c r="AI17" s="11">
        <f>198454992.062516/(10^3)</f>
        <v>198454.99206251602</v>
      </c>
      <c r="AJ17" s="11">
        <f>2043279.99113263/(10^3)</f>
        <v>2043.2799911326301</v>
      </c>
      <c r="AK17" s="11">
        <f>2091893.56817743/(10^3)</f>
        <v>2091.8935681774301</v>
      </c>
      <c r="AL17" s="11">
        <f>2149562.442771/(10^3)</f>
        <v>2149.562442771</v>
      </c>
      <c r="AM17" s="11">
        <f>2202125.72490585/(10^3)</f>
        <v>2202.1257249058499</v>
      </c>
      <c r="AN17" s="11">
        <f>2285655.26013354/(10^3)</f>
        <v>2285.6552601335397</v>
      </c>
      <c r="AO17" s="11">
        <f>23711.878993875/(10^3)</f>
        <v>23.711878993875001</v>
      </c>
      <c r="AP17" s="11">
        <f>2308766.23062741/(10^3)</f>
        <v>2308.7662306274101</v>
      </c>
      <c r="AQ17" s="11">
        <f>2246067.06045077/(10^3)</f>
        <v>2246.06706045077</v>
      </c>
      <c r="AR17" s="11">
        <f>2194864.26297882/(10^3)</f>
        <v>2194.8642629788201</v>
      </c>
      <c r="AS17" s="11">
        <f>2160501.01412177/(10^3)</f>
        <v>2160.5010141217699</v>
      </c>
      <c r="AT17" s="11">
        <f>2106976.02200596/(10^3)</f>
        <v>2106.9760220059597</v>
      </c>
      <c r="AU17" s="11">
        <f>207962615.352696/(10^3)</f>
        <v>207962.61535269601</v>
      </c>
      <c r="AV17" s="11">
        <f>2031031.2734737/(10^3)</f>
        <v>2031.0312734737001</v>
      </c>
      <c r="AW17" s="11">
        <f>2021184.68387151/(10^3)</f>
        <v>2021.1846838715101</v>
      </c>
      <c r="AX17" s="11">
        <f>1993059.3494641/(10^3)</f>
        <v>1993.0593494641</v>
      </c>
      <c r="AY17" s="11">
        <f>1936711.84590864/(10^3)</f>
        <v>1936.71184590864</v>
      </c>
      <c r="AZ17" s="11">
        <f>1898175.43290096/(10^3)</f>
        <v>1898.17543290096</v>
      </c>
      <c r="BA17" s="11">
        <f>18729.9814347335/(10^3)</f>
        <v>18.729981434733503</v>
      </c>
      <c r="BB17" s="11">
        <f>1865950.95721888/(10^3)</f>
        <v>1865.9509572188801</v>
      </c>
      <c r="BC17" s="11">
        <f>1846393.90689228/(10^3)</f>
        <v>1846.39390689228</v>
      </c>
      <c r="BD17" s="11">
        <f>1842407.03708231/(10^3)</f>
        <v>1842.4070370823101</v>
      </c>
      <c r="BE17" s="11">
        <f>1793807.66766634/(10^3)</f>
        <v>1793.80766766634</v>
      </c>
      <c r="BF17" s="11">
        <f>1806045.54974209/(10^3)</f>
        <v>1806.0455497420901</v>
      </c>
      <c r="BG17" s="11">
        <f>177898189.628825/(10^3)</f>
        <v>177898.189628825</v>
      </c>
      <c r="BH17" s="11">
        <f>1854010.65434561/(10^3)</f>
        <v>1854.01065434561</v>
      </c>
      <c r="BI17" s="11">
        <f>1929960.59900505/(10^3)</f>
        <v>1929.96059900505</v>
      </c>
      <c r="BJ17" s="11">
        <f>2046611.49667862/(10^3)</f>
        <v>2046.6114966786201</v>
      </c>
      <c r="BK17" s="11">
        <f>2085577.6302389/(10^3)</f>
        <v>2085.5776302388999</v>
      </c>
      <c r="BL17" s="11">
        <f>2134223.54082196/(10^3)</f>
        <v>2134.2235408219603</v>
      </c>
      <c r="BM17" s="11">
        <f>22280.3884179327/(10^3)</f>
        <v>22.280388417932699</v>
      </c>
      <c r="BN17" s="11">
        <f>2326946.15156197/(10^3)</f>
        <v>2326.9461515619701</v>
      </c>
      <c r="BO17" s="11">
        <f>2103798.92635272/(10^3)</f>
        <v>2103.7989263527197</v>
      </c>
      <c r="BP17" s="11">
        <f>2071064.23352131/(10^3)</f>
        <v>2071.0642335213097</v>
      </c>
      <c r="BQ17" s="11">
        <f>2030048.3225436/(10^3)</f>
        <v>2030.0483225436001</v>
      </c>
      <c r="BR17" s="11">
        <f>2124236.91756013/(10^3)</f>
        <v>2124.2369175601298</v>
      </c>
      <c r="BS17" s="11">
        <f>213234269.373594/(10^3)</f>
        <v>213234.269373594</v>
      </c>
      <c r="BT17" s="11">
        <f>2166111.84670474/(10^3)</f>
        <v>2166.1118467047399</v>
      </c>
      <c r="BU17" s="11">
        <f>2118496.02102026/(10^3)</f>
        <v>2118.4960210202603</v>
      </c>
      <c r="BV17" s="11">
        <f>2233186.18046544/(10^3)</f>
        <v>2233.18618046544</v>
      </c>
      <c r="BW17" s="11">
        <f>2244317.0000452/(10^3)</f>
        <v>2244.3170000452001</v>
      </c>
      <c r="BX17" s="11">
        <f>2340310.482981/(10^3)</f>
        <v>2340.310482981</v>
      </c>
      <c r="BY17" s="11">
        <f>24288.5881898778/(10^3)</f>
        <v>24.2885881898778</v>
      </c>
      <c r="BZ17" s="11">
        <f>2543468.16316351/(10^3)</f>
        <v>2543.4681631635103</v>
      </c>
      <c r="CA17" s="11">
        <f>2417451.70955401/(10^3)</f>
        <v>2417.45170955401</v>
      </c>
      <c r="CB17" s="11">
        <f>2310169.44155526/(10^3)</f>
        <v>2310.1694415552602</v>
      </c>
      <c r="CC17" s="12"/>
      <c r="CZ17" s="11">
        <v>1440.1545948112075</v>
      </c>
      <c r="DA17" s="11">
        <v>1599.1763258545932</v>
      </c>
      <c r="DB17" s="11">
        <v>2371.1878993874961</v>
      </c>
      <c r="DC17" s="11">
        <v>1872.9981434733509</v>
      </c>
      <c r="DD17" s="11">
        <v>2228.0388417932691</v>
      </c>
      <c r="DE17" s="11">
        <v>2428.8588189877764</v>
      </c>
      <c r="DG17" s="11">
        <v>1187.3210170226741</v>
      </c>
      <c r="DH17" s="11">
        <v>1333.2801999074936</v>
      </c>
      <c r="DI17" s="11">
        <v>1984.549920625162</v>
      </c>
      <c r="DJ17" s="11">
        <v>2079.6261535269582</v>
      </c>
      <c r="DK17" s="11">
        <v>1778.9818962882455</v>
      </c>
      <c r="DL17" s="11">
        <v>2132.3426937359427</v>
      </c>
      <c r="DN17" s="11"/>
    </row>
    <row r="18" spans="4:118" outlineLevel="1" x14ac:dyDescent="0.25">
      <c r="D18" s="10" t="s">
        <v>94</v>
      </c>
      <c r="E18" s="10" t="s">
        <v>86</v>
      </c>
      <c r="F18" s="10" t="s">
        <v>180</v>
      </c>
      <c r="G18" s="10"/>
      <c r="H18" s="62" t="str">
        <f t="shared" si="2"/>
        <v xml:space="preserve">Concord </v>
      </c>
      <c r="I18" s="11">
        <f>1384170/(10^3)</f>
        <v>1384.17</v>
      </c>
      <c r="J18" s="11">
        <f>1377580.04394489/(10^3)</f>
        <v>1377.5800439448899</v>
      </c>
      <c r="K18" s="11">
        <f>142609787.00972/(10^3)</f>
        <v>142609.78700971999</v>
      </c>
      <c r="L18" s="11">
        <f>1417250.76300979/(10^3)</f>
        <v>1417.25076300979</v>
      </c>
      <c r="M18" s="11">
        <f>1440210.24143201/(10^3)</f>
        <v>1440.21024143201</v>
      </c>
      <c r="N18" s="11">
        <f>1578858.659239/(10^3)</f>
        <v>1578.858659239</v>
      </c>
      <c r="O18" s="11">
        <f>1644023.97915496/(10^3)</f>
        <v>1644.02397915496</v>
      </c>
      <c r="P18" s="11">
        <f>1647044.79137035/(10^3)</f>
        <v>1647.0447913703499</v>
      </c>
      <c r="Q18" s="11">
        <f>17256.6060560408/(10^3)</f>
        <v>17.256606056040802</v>
      </c>
      <c r="R18" s="11">
        <f>1724013.61423349/(10^3)</f>
        <v>1724.01361423349</v>
      </c>
      <c r="S18" s="11">
        <f>1646659.44131014/(10^3)</f>
        <v>1646.65944131014</v>
      </c>
      <c r="T18" s="11">
        <f>1588293.3152426/(10^3)</f>
        <v>1588.2933152425999</v>
      </c>
      <c r="U18" s="11">
        <f>1577290.57018244/(10^3)</f>
        <v>1577.2905701824402</v>
      </c>
      <c r="V18" s="11">
        <f>1655255.53245151/(10^3)</f>
        <v>1655.2555324515099</v>
      </c>
      <c r="W18" s="11">
        <f>171390383.664289/(10^3)</f>
        <v>171390.38366428899</v>
      </c>
      <c r="X18" s="11">
        <f>1665551.86056794/(10^3)</f>
        <v>1665.5518605679399</v>
      </c>
      <c r="Y18" s="11">
        <f>1662988.59861825/(10^3)</f>
        <v>1662.9885986182501</v>
      </c>
      <c r="Z18" s="11">
        <f>1773946.0199902/(10^3)</f>
        <v>1773.9460199902001</v>
      </c>
      <c r="AA18" s="11">
        <f>1820382.24611496/(10^3)</f>
        <v>1820.38224611496</v>
      </c>
      <c r="AB18" s="11">
        <f>1841375.19803764/(10^3)</f>
        <v>1841.3751980376398</v>
      </c>
      <c r="AC18" s="11">
        <f>18673.7620490211/(10^3)</f>
        <v>18.6737620490211</v>
      </c>
      <c r="AD18" s="11">
        <f>1893542.91451737/(10^3)</f>
        <v>1893.54291451737</v>
      </c>
      <c r="AE18" s="11">
        <f>1938580.53480038/(10^3)</f>
        <v>1938.5805348003801</v>
      </c>
      <c r="AF18" s="11">
        <f>1958506.49955173/(10^3)</f>
        <v>1958.50649955173</v>
      </c>
      <c r="AG18" s="11">
        <f>1978312.80250502/(10^3)</f>
        <v>1978.31280250502</v>
      </c>
      <c r="AH18" s="11">
        <f>2057423.62119315/(10^3)</f>
        <v>2057.4236211931502</v>
      </c>
      <c r="AI18" s="11">
        <f>210894555.700931/(10^3)</f>
        <v>210894.555700931</v>
      </c>
      <c r="AJ18" s="11">
        <f>2178768.4817877/(10^3)</f>
        <v>2178.7684817877002</v>
      </c>
      <c r="AK18" s="11">
        <f>2249240.54274168/(10^3)</f>
        <v>2249.2405427416802</v>
      </c>
      <c r="AL18" s="11">
        <f>2308121.30047196/(10^3)</f>
        <v>2308.1213004719602</v>
      </c>
      <c r="AM18" s="11">
        <f>2355450.07933245/(10^3)</f>
        <v>2355.4500793324501</v>
      </c>
      <c r="AN18" s="11">
        <f>2363901.83592736/(10^3)</f>
        <v>2363.90183592736</v>
      </c>
      <c r="AO18" s="11">
        <f>24436.7274169366/(10^3)</f>
        <v>24.436727416936598</v>
      </c>
      <c r="AP18" s="11">
        <f>2495458.50974013/(10^3)</f>
        <v>2495.45850974013</v>
      </c>
      <c r="AQ18" s="11">
        <f>2311317.89570666/(10^3)</f>
        <v>2311.3178957066602</v>
      </c>
      <c r="AR18" s="11">
        <f>2302446.88321051/(10^3)</f>
        <v>2302.4468832105099</v>
      </c>
      <c r="AS18" s="11">
        <f>2290918.07602173/(10^3)</f>
        <v>2290.91807602173</v>
      </c>
      <c r="AT18" s="11">
        <f>2244149.52276315/(10^3)</f>
        <v>2244.1495227631499</v>
      </c>
      <c r="AU18" s="11">
        <f>221796219.955853/(10^3)</f>
        <v>221796.21995585298</v>
      </c>
      <c r="AV18" s="11">
        <f>2168640.19083994/(10^3)</f>
        <v>2168.6401908399403</v>
      </c>
      <c r="AW18" s="11">
        <f>2144138.70985603/(10^3)</f>
        <v>2144.1387098560299</v>
      </c>
      <c r="AX18" s="11">
        <f>2113178.22161282/(10^3)</f>
        <v>2113.1782216128199</v>
      </c>
      <c r="AY18" s="11">
        <f>2091778.1844342/(10^3)</f>
        <v>2091.7781844341998</v>
      </c>
      <c r="AZ18" s="11">
        <f>2084172.12277159/(10^3)</f>
        <v>2084.1721227715902</v>
      </c>
      <c r="BA18" s="11">
        <f>20528.2293037651/(10^3)</f>
        <v>20.528229303765098</v>
      </c>
      <c r="BB18" s="11">
        <f>2013141.61044916/(10^3)</f>
        <v>2013.14161044916</v>
      </c>
      <c r="BC18" s="11">
        <f>2006800.9269453/(10^3)</f>
        <v>2006.8009269453</v>
      </c>
      <c r="BD18" s="11">
        <f>1950907.2922094/(10^3)</f>
        <v>1950.9072922094001</v>
      </c>
      <c r="BE18" s="11">
        <f>1923968.87876207/(10^3)</f>
        <v>1923.9688787620701</v>
      </c>
      <c r="BF18" s="11">
        <f>2005375.12151563/(10^3)</f>
        <v>2005.3751215156301</v>
      </c>
      <c r="BG18" s="11">
        <f>208391029.868108/(10^3)</f>
        <v>208391.02986810802</v>
      </c>
      <c r="BH18" s="11">
        <f>2173248.0853256/(10^3)</f>
        <v>2173.2480853256002</v>
      </c>
      <c r="BI18" s="11">
        <f>2120282.08319566/(10^3)</f>
        <v>2120.2820831956597</v>
      </c>
      <c r="BJ18" s="11">
        <f>2148739.47085362/(10^3)</f>
        <v>2148.7394708536203</v>
      </c>
      <c r="BK18" s="11">
        <f>2235296.60220179/(10^3)</f>
        <v>2235.2966022017899</v>
      </c>
      <c r="BL18" s="11">
        <f>2303782.83052645/(10^3)</f>
        <v>2303.7828305264502</v>
      </c>
      <c r="BM18" s="11">
        <f>24163.0857508371/(10^3)</f>
        <v>24.163085750837102</v>
      </c>
      <c r="BN18" s="11">
        <f>2416785.23049588/(10^3)</f>
        <v>2416.7852304958801</v>
      </c>
      <c r="BO18" s="11">
        <f>2324015.8246815/(10^3)</f>
        <v>2324.0158246814999</v>
      </c>
      <c r="BP18" s="11">
        <f>2188986.77381374/(10^3)</f>
        <v>2188.98677381374</v>
      </c>
      <c r="BQ18" s="11">
        <f>1993527.72608583/(10^3)</f>
        <v>1993.52772608583</v>
      </c>
      <c r="BR18" s="11">
        <f>1938817.57899635/(10^3)</f>
        <v>1938.81757899635</v>
      </c>
      <c r="BS18" s="11">
        <f>175368716.653051/(10^3)</f>
        <v>175368.716653051</v>
      </c>
      <c r="BT18" s="11">
        <f>1724949.27388645/(10^3)</f>
        <v>1724.9492738864501</v>
      </c>
      <c r="BU18" s="11">
        <f>1747283.94094247/(10^3)</f>
        <v>1747.2839409424701</v>
      </c>
      <c r="BV18" s="11">
        <f>1911412.65928634/(10^3)</f>
        <v>1911.4126592863399</v>
      </c>
      <c r="BW18" s="11">
        <f>1937965.95371965/(10^3)</f>
        <v>1937.9659537196499</v>
      </c>
      <c r="BX18" s="11">
        <f>1984149.96692854/(10^3)</f>
        <v>1984.1499669285399</v>
      </c>
      <c r="BY18" s="11">
        <f>20274.5634888549/(10^3)</f>
        <v>20.274563488854898</v>
      </c>
      <c r="BZ18" s="11">
        <f>2078911.61824109/(10^3)</f>
        <v>2078.9116182410903</v>
      </c>
      <c r="CA18" s="11">
        <f>1960718.08513907/(10^3)</f>
        <v>1960.7180851390699</v>
      </c>
      <c r="CB18" s="11">
        <f>1958356.13239316/(10^3)</f>
        <v>1958.3561323931599</v>
      </c>
      <c r="CC18" s="12"/>
      <c r="CZ18" s="11">
        <v>1725.660605604078</v>
      </c>
      <c r="DA18" s="11">
        <v>1867.3762049021059</v>
      </c>
      <c r="DB18" s="11">
        <v>2443.6727416936633</v>
      </c>
      <c r="DC18" s="11">
        <v>2052.8229303765147</v>
      </c>
      <c r="DD18" s="11">
        <v>2416.3085750837126</v>
      </c>
      <c r="DE18" s="11">
        <v>2027.4563488854903</v>
      </c>
      <c r="DG18" s="11">
        <v>1426.0978700972014</v>
      </c>
      <c r="DH18" s="11">
        <v>1713.9038366428872</v>
      </c>
      <c r="DI18" s="11">
        <v>2108.9455570093146</v>
      </c>
      <c r="DJ18" s="11">
        <v>2217.9621995585312</v>
      </c>
      <c r="DK18" s="11">
        <v>2083.9102986810781</v>
      </c>
      <c r="DL18" s="11">
        <v>1753.6871665305077</v>
      </c>
      <c r="DN18" s="11"/>
    </row>
    <row r="19" spans="4:118" outlineLevel="1" x14ac:dyDescent="0.25">
      <c r="D19" s="10" t="s">
        <v>96</v>
      </c>
      <c r="E19" s="10" t="s">
        <v>86</v>
      </c>
      <c r="F19" s="10" t="s">
        <v>180</v>
      </c>
      <c r="G19" s="10"/>
      <c r="H19" s="62" t="str">
        <f t="shared" si="2"/>
        <v xml:space="preserve">Manchester </v>
      </c>
      <c r="I19" s="11">
        <f>1562122/(10^3)</f>
        <v>1562.1220000000001</v>
      </c>
      <c r="J19" s="11">
        <f>1607945.2910819/(10^3)</f>
        <v>1607.9452910819</v>
      </c>
      <c r="K19" s="11">
        <f>168217620.893197/(10^3)</f>
        <v>168217.62089319699</v>
      </c>
      <c r="L19" s="11">
        <f>1731165.62398145/(10^3)</f>
        <v>1731.1656239814499</v>
      </c>
      <c r="M19" s="11">
        <f>1753282.75847/(10^3)</f>
        <v>1753.2827584700001</v>
      </c>
      <c r="N19" s="11">
        <f>1815451.179335/(10^3)</f>
        <v>1815.451179335</v>
      </c>
      <c r="O19" s="11">
        <f>1854952.87572804/(10^3)</f>
        <v>1854.95287572804</v>
      </c>
      <c r="P19" s="11">
        <f>1880047.66155964/(10^3)</f>
        <v>1880.0476615596399</v>
      </c>
      <c r="Q19" s="11">
        <f>19001.7432967381/(10^3)</f>
        <v>19.001743296738098</v>
      </c>
      <c r="R19" s="11">
        <f>1870371.96395954/(10^3)</f>
        <v>1870.3719639595399</v>
      </c>
      <c r="S19" s="11">
        <f>1822320.28345477/(10^3)</f>
        <v>1822.3202834547699</v>
      </c>
      <c r="T19" s="11">
        <f>1821124.26940479/(10^3)</f>
        <v>1821.1242694047899</v>
      </c>
      <c r="U19" s="11">
        <f>1779389.7492586/(10^3)</f>
        <v>1779.3897492586</v>
      </c>
      <c r="V19" s="11">
        <f>1800789.94982748/(10^3)</f>
        <v>1800.7899498274799</v>
      </c>
      <c r="W19" s="11">
        <f>178305048.22373/(10^3)</f>
        <v>178305.04822373</v>
      </c>
      <c r="X19" s="11">
        <f>1817245.72773962/(10^3)</f>
        <v>1817.24572773962</v>
      </c>
      <c r="Y19" s="11">
        <f>1812825.82375059/(10^3)</f>
        <v>1812.82582375059</v>
      </c>
      <c r="Z19" s="11">
        <f>1863544.84115454/(10^3)</f>
        <v>1863.5448411545399</v>
      </c>
      <c r="AA19" s="11">
        <f>1876525.06430684/(10^3)</f>
        <v>1876.52506430684</v>
      </c>
      <c r="AB19" s="11">
        <f>1910623.14737383/(10^3)</f>
        <v>1910.6231473738301</v>
      </c>
      <c r="AC19" s="11">
        <f>19681.9263371117/(10^3)</f>
        <v>19.681926337111701</v>
      </c>
      <c r="AD19" s="11">
        <f>2001858.30340191/(10^3)</f>
        <v>2001.85830340191</v>
      </c>
      <c r="AE19" s="11">
        <f>2069140.2673359/(10^3)</f>
        <v>2069.1402673359003</v>
      </c>
      <c r="AF19" s="11">
        <f>2162722.57801305/(10^3)</f>
        <v>2162.7225780130498</v>
      </c>
      <c r="AG19" s="11">
        <f>2190319.10135204/(10^3)</f>
        <v>2190.31910135204</v>
      </c>
      <c r="AH19" s="11">
        <f>2228997.44646241/(10^3)</f>
        <v>2228.9974464624102</v>
      </c>
      <c r="AI19" s="11">
        <f>228046054.818052/(10^3)</f>
        <v>228046.05481805198</v>
      </c>
      <c r="AJ19" s="11">
        <f>2386980.40664208/(10^3)</f>
        <v>2386.9804066420797</v>
      </c>
      <c r="AK19" s="11">
        <f>2486056.08694216/(10^3)</f>
        <v>2486.0560869421602</v>
      </c>
      <c r="AL19" s="11">
        <f>2492319.99579186/(10^3)</f>
        <v>2492.31999579186</v>
      </c>
      <c r="AM19" s="11">
        <f>2510638.05329628/(10^3)</f>
        <v>2510.6380532962803</v>
      </c>
      <c r="AN19" s="11">
        <f>2540935.38713973/(10^3)</f>
        <v>2540.9353871397302</v>
      </c>
      <c r="AO19" s="11">
        <f>25659.6635936508/(10^3)</f>
        <v>25.659663593650798</v>
      </c>
      <c r="AP19" s="11">
        <f>2541850.78331556/(10^3)</f>
        <v>2541.85078331556</v>
      </c>
      <c r="AQ19" s="11">
        <f>2423322.67832736/(10^3)</f>
        <v>2423.3226783273603</v>
      </c>
      <c r="AR19" s="11">
        <f>2403396.9397876/(10^3)</f>
        <v>2403.3969397876003</v>
      </c>
      <c r="AS19" s="11">
        <f>2401816.41756817/(10^3)</f>
        <v>2401.81641756817</v>
      </c>
      <c r="AT19" s="11">
        <f>2364333.84078745/(10^3)</f>
        <v>2364.3338407874498</v>
      </c>
      <c r="AU19" s="11">
        <f>234436325.063944/(10^3)</f>
        <v>234436.32506394401</v>
      </c>
      <c r="AV19" s="11">
        <f>2283873.58655022/(10^3)</f>
        <v>2283.8735865502199</v>
      </c>
      <c r="AW19" s="11">
        <f>2281788.95796919/(10^3)</f>
        <v>2281.7889579691901</v>
      </c>
      <c r="AX19" s="11">
        <f>2236037.51159304/(10^3)</f>
        <v>2236.0375115930401</v>
      </c>
      <c r="AY19" s="11">
        <f>2230066.79574329/(10^3)</f>
        <v>2230.0667957432897</v>
      </c>
      <c r="AZ19" s="11">
        <f>2176388.81348325/(10^3)</f>
        <v>2176.38881348325</v>
      </c>
      <c r="BA19" s="11">
        <f>21684.4970928493/(10^3)</f>
        <v>21.684497092849298</v>
      </c>
      <c r="BB19" s="11">
        <f>2134709.96870623/(10^3)</f>
        <v>2134.70996870623</v>
      </c>
      <c r="BC19" s="11">
        <f>2132788.69996899/(10^3)</f>
        <v>2132.7886999689899</v>
      </c>
      <c r="BD19" s="11">
        <f>2114547.07325068/(10^3)</f>
        <v>2114.5470732506801</v>
      </c>
      <c r="BE19" s="11">
        <f>2087382.03490749/(10^3)</f>
        <v>2087.3820349074899</v>
      </c>
      <c r="BF19" s="11">
        <f>2145980.93576033/(10^3)</f>
        <v>2145.9809357603299</v>
      </c>
      <c r="BG19" s="11">
        <f>215314969.195448/(10^3)</f>
        <v>215314.96919544801</v>
      </c>
      <c r="BH19" s="11">
        <f>2234995.7416169/(10^3)</f>
        <v>2234.9957416169</v>
      </c>
      <c r="BI19" s="11">
        <f>2311120.53704204/(10^3)</f>
        <v>2311.1205370420398</v>
      </c>
      <c r="BJ19" s="11">
        <f>2496215.39693227/(10^3)</f>
        <v>2496.2153969322699</v>
      </c>
      <c r="BK19" s="11">
        <f>2546706.49750844/(10^3)</f>
        <v>2546.70649750844</v>
      </c>
      <c r="BL19" s="11">
        <f>2607948.33475099/(10^3)</f>
        <v>2607.9483347509899</v>
      </c>
      <c r="BM19" s="11">
        <f>27068.1085197123/(10^3)</f>
        <v>27.0681085197123</v>
      </c>
      <c r="BN19" s="11">
        <f>2744286.82470699/(10^3)</f>
        <v>2744.2868247069896</v>
      </c>
      <c r="BO19" s="11">
        <f>2720349.49172697/(10^3)</f>
        <v>2720.34949172697</v>
      </c>
      <c r="BP19" s="11">
        <f>2638555.59046309/(10^3)</f>
        <v>2638.5555904630901</v>
      </c>
      <c r="BQ19" s="11">
        <f>2509606.22098688/(10^3)</f>
        <v>2509.6062209868801</v>
      </c>
      <c r="BR19" s="11">
        <f>2307086.06564389/(10^3)</f>
        <v>2307.0860656438899</v>
      </c>
      <c r="BS19" s="11">
        <f>221510699.346046/(10^3)</f>
        <v>221510.69934604599</v>
      </c>
      <c r="BT19" s="11">
        <f>2097715.56122931/(10^3)</f>
        <v>2097.71556122931</v>
      </c>
      <c r="BU19" s="11">
        <f>1980836.68087986/(10^3)</f>
        <v>1980.8366808798598</v>
      </c>
      <c r="BV19" s="11">
        <f>1802284.26459285/(10^3)</f>
        <v>1802.2842645928501</v>
      </c>
      <c r="BW19" s="11">
        <f>1709233.93913478/(10^3)</f>
        <v>1709.23393913478</v>
      </c>
      <c r="BX19" s="11">
        <f>1776809.85328347/(10^3)</f>
        <v>1776.8098532834699</v>
      </c>
      <c r="BY19" s="11">
        <f>18384.1758633431/(10^3)</f>
        <v>18.384175863343103</v>
      </c>
      <c r="BZ19" s="11">
        <f>1788130.03169366/(10^3)</f>
        <v>1788.1300316936599</v>
      </c>
      <c r="CA19" s="11">
        <f>1663504.52303763/(10^3)</f>
        <v>1663.50452303763</v>
      </c>
      <c r="CB19" s="11">
        <f>1654075.80541996/(10^3)</f>
        <v>1654.07580541996</v>
      </c>
      <c r="CC19" s="12"/>
      <c r="CZ19" s="11">
        <v>1900.1743296738073</v>
      </c>
      <c r="DA19" s="11">
        <v>1968.1926337111697</v>
      </c>
      <c r="DB19" s="11">
        <v>2565.9663593650753</v>
      </c>
      <c r="DC19" s="11">
        <v>2168.449709284926</v>
      </c>
      <c r="DD19" s="11">
        <v>2706.8108519712305</v>
      </c>
      <c r="DE19" s="11">
        <v>1838.4175863343105</v>
      </c>
      <c r="DG19" s="11">
        <v>1682.1762089319698</v>
      </c>
      <c r="DH19" s="11">
        <v>1783.050482237298</v>
      </c>
      <c r="DI19" s="11">
        <v>2280.4605481805211</v>
      </c>
      <c r="DJ19" s="11">
        <v>2344.3632506394401</v>
      </c>
      <c r="DK19" s="11">
        <v>2153.1496919544848</v>
      </c>
      <c r="DL19" s="11">
        <v>2215.1069934604593</v>
      </c>
      <c r="DN19" s="11"/>
    </row>
    <row r="20" spans="4:118" outlineLevel="1" x14ac:dyDescent="0.25">
      <c r="D20" s="10" t="s">
        <v>97</v>
      </c>
      <c r="E20" s="10" t="s">
        <v>88</v>
      </c>
      <c r="F20" s="10" t="s">
        <v>180</v>
      </c>
      <c r="G20" s="10"/>
      <c r="H20" s="62" t="str">
        <f t="shared" si="2"/>
        <v xml:space="preserve">Trenton </v>
      </c>
      <c r="I20" s="11">
        <f>608453/(10^3)</f>
        <v>608.45299999999997</v>
      </c>
      <c r="J20" s="11">
        <f>618114.959838961/(10^3)</f>
        <v>618.114959838961</v>
      </c>
      <c r="K20" s="11">
        <f>64856172.963312/(10^3)</f>
        <v>64856.172963311998</v>
      </c>
      <c r="L20" s="11">
        <f>664410.511793585/(10^3)</f>
        <v>664.41051179358499</v>
      </c>
      <c r="M20" s="11">
        <f>649218.740893584/(10^3)</f>
        <v>649.21874089358403</v>
      </c>
      <c r="N20" s="11">
        <f>699838.941588395/(10^3)</f>
        <v>699.83894158839507</v>
      </c>
      <c r="O20" s="11">
        <f>702606.822124163/(10^3)</f>
        <v>702.60682212416305</v>
      </c>
      <c r="P20" s="11">
        <f>721461.309974614/(10^3)</f>
        <v>721.46130997461398</v>
      </c>
      <c r="Q20" s="11">
        <f>7546.12367249108/(10^3)</f>
        <v>7.5461236724910794</v>
      </c>
      <c r="R20" s="11">
        <f>776191.73162226/(10^3)</f>
        <v>776.19173162225991</v>
      </c>
      <c r="S20" s="11">
        <f>761812.255704464/(10^3)</f>
        <v>761.81225570446406</v>
      </c>
      <c r="T20" s="11">
        <f>740522.995073394/(10^3)</f>
        <v>740.52299507339399</v>
      </c>
      <c r="U20" s="11">
        <f>732185.70413964/(10^3)</f>
        <v>732.18570413963994</v>
      </c>
      <c r="V20" s="11">
        <f>718756.732668053/(10^3)</f>
        <v>718.75673266805302</v>
      </c>
      <c r="W20" s="11">
        <f>70925480.4096485/(10^3)</f>
        <v>70925.480409648488</v>
      </c>
      <c r="X20" s="11">
        <f>743910.157917143/(10^3)</f>
        <v>743.91015791714301</v>
      </c>
      <c r="Y20" s="11">
        <f>766749.228233103/(10^3)</f>
        <v>766.74922823310294</v>
      </c>
      <c r="Z20" s="11">
        <f>779410.390528156/(10^3)</f>
        <v>779.41039052815597</v>
      </c>
      <c r="AA20" s="11">
        <f>779815.867628958/(10^3)</f>
        <v>779.8158676289579</v>
      </c>
      <c r="AB20" s="11">
        <f>809592.527897843/(10^3)</f>
        <v>809.59252789784307</v>
      </c>
      <c r="AC20" s="11">
        <f>8288.18605125542/(10^3)</f>
        <v>8.2881860512554191</v>
      </c>
      <c r="AD20" s="11">
        <f>835972.204171642/(10^3)</f>
        <v>835.97220417164192</v>
      </c>
      <c r="AE20" s="11">
        <f>859405.718521/(10^3)</f>
        <v>859.40571852100004</v>
      </c>
      <c r="AF20" s="11">
        <f>875000.916815824/(10^3)</f>
        <v>875.00091681582398</v>
      </c>
      <c r="AG20" s="11">
        <f>894672.359992506/(10^3)</f>
        <v>894.67235999250602</v>
      </c>
      <c r="AH20" s="11">
        <f>938375.687818257/(10^3)</f>
        <v>938.37568781825701</v>
      </c>
      <c r="AI20" s="11">
        <f>98316870.1862817/(10^3)</f>
        <v>98316.870186281696</v>
      </c>
      <c r="AJ20" s="11">
        <f>995246.715716317/(10^3)</f>
        <v>995.246715716317</v>
      </c>
      <c r="AK20" s="11">
        <f>1043919.23278808/(10^3)</f>
        <v>1043.9192327880801</v>
      </c>
      <c r="AL20" s="11">
        <f>1080509.64058206/(10^3)</f>
        <v>1080.50964058206</v>
      </c>
      <c r="AM20" s="11">
        <f>1118916.56677912/(10^3)</f>
        <v>1118.9165667791199</v>
      </c>
      <c r="AN20" s="11">
        <f>1170707.55704472/(10^3)</f>
        <v>1170.70755704472</v>
      </c>
      <c r="AO20" s="11">
        <f>12165.8040612355/(10^3)</f>
        <v>12.1658040612355</v>
      </c>
      <c r="AP20" s="11">
        <f>1266009.31854834/(10^3)</f>
        <v>1266.0093185483399</v>
      </c>
      <c r="AQ20" s="11">
        <f>1217238.19220197/(10^3)</f>
        <v>1217.2381922019699</v>
      </c>
      <c r="AR20" s="11">
        <f>1179216.40610803/(10^3)</f>
        <v>1179.2164061080298</v>
      </c>
      <c r="AS20" s="11">
        <f>1144203.28170793/(10^3)</f>
        <v>1144.2032817079298</v>
      </c>
      <c r="AT20" s="11">
        <f>1141695.05495345/(10^3)</f>
        <v>1141.6950549534502</v>
      </c>
      <c r="AU20" s="11">
        <f>111206234.010535/(10^3)</f>
        <v>111206.234010535</v>
      </c>
      <c r="AV20" s="11">
        <f>1101987.08441076/(10^3)</f>
        <v>1101.9870844107602</v>
      </c>
      <c r="AW20" s="11">
        <f>1084318.34523402/(10^3)</f>
        <v>1084.3183452340199</v>
      </c>
      <c r="AX20" s="11">
        <f>1077417.16533706/(10^3)</f>
        <v>1077.4171653370602</v>
      </c>
      <c r="AY20" s="11">
        <f>1052398.03023709/(10^3)</f>
        <v>1052.3980302370901</v>
      </c>
      <c r="AZ20" s="11">
        <f>1045975.45149196/(10^3)</f>
        <v>1045.97545149196</v>
      </c>
      <c r="BA20" s="11">
        <f>10419.6905266649/(10^3)</f>
        <v>10.419690526664899</v>
      </c>
      <c r="BB20" s="11">
        <f>1032636.79698432/(10^3)</f>
        <v>1032.63679698432</v>
      </c>
      <c r="BC20" s="11">
        <f>1031314.44836092/(10^3)</f>
        <v>1031.3144483609199</v>
      </c>
      <c r="BD20" s="11">
        <f>1028247.76574357/(10^3)</f>
        <v>1028.24776574357</v>
      </c>
      <c r="BE20" s="11">
        <f>1008927.1837322/(10^3)</f>
        <v>1008.9271837322</v>
      </c>
      <c r="BF20" s="11">
        <f>1023073.11631889/(10^3)</f>
        <v>1023.07311631889</v>
      </c>
      <c r="BG20" s="11">
        <f>107094395.103588/(10^3)</f>
        <v>107094.395103588</v>
      </c>
      <c r="BH20" s="11">
        <f>1080687.47356832/(10^3)</f>
        <v>1080.68747356832</v>
      </c>
      <c r="BI20" s="11">
        <f>1118263.39382732/(10^3)</f>
        <v>1118.26339382732</v>
      </c>
      <c r="BJ20" s="11">
        <f>1176697.09121988/(10^3)</f>
        <v>1176.6970912198799</v>
      </c>
      <c r="BK20" s="11">
        <f>1179752.00736231/(10^3)</f>
        <v>1179.75200736231</v>
      </c>
      <c r="BL20" s="11">
        <f>1194000.58373376/(10^3)</f>
        <v>1194.0005837337601</v>
      </c>
      <c r="BM20" s="11">
        <f>12284.0027021097/(10^3)</f>
        <v>12.284002702109699</v>
      </c>
      <c r="BN20" s="11">
        <f>1231147.69349731/(10^3)</f>
        <v>1231.14769349731</v>
      </c>
      <c r="BO20" s="11">
        <f>1173299.58889784/(10^3)</f>
        <v>1173.2995888978398</v>
      </c>
      <c r="BP20" s="11">
        <f>1100145.49945142/(10^3)</f>
        <v>1100.1454994514199</v>
      </c>
      <c r="BQ20" s="11">
        <f>1057768.32338936/(10^3)</f>
        <v>1057.7683233893599</v>
      </c>
      <c r="BR20" s="11">
        <f>1010717.21045356/(10^3)</f>
        <v>1010.71721045356</v>
      </c>
      <c r="BS20" s="11">
        <f>99689663.4665872/(10^3)</f>
        <v>99689.663466587197</v>
      </c>
      <c r="BT20" s="11">
        <f>979384.194868285/(10^3)</f>
        <v>979.38419486828502</v>
      </c>
      <c r="BU20" s="11">
        <f>925806.792256266/(10^3)</f>
        <v>925.80679225626602</v>
      </c>
      <c r="BV20" s="11">
        <f>833379.048020746/(10^3)</f>
        <v>833.37904802074593</v>
      </c>
      <c r="BW20" s="11">
        <f>823516.404393674/(10^3)</f>
        <v>823.51640439367395</v>
      </c>
      <c r="BX20" s="11">
        <f>845692.303293875/(10^3)</f>
        <v>845.69230329387494</v>
      </c>
      <c r="BY20" s="11">
        <f>8797.24503316174/(10^3)</f>
        <v>8.7972450331617402</v>
      </c>
      <c r="BZ20" s="11">
        <f>920830.946464737/(10^3)</f>
        <v>920.83094646473694</v>
      </c>
      <c r="CA20" s="11">
        <f>832267.059852642/(10^3)</f>
        <v>832.26705985264198</v>
      </c>
      <c r="CB20" s="11">
        <f>815993.516316982/(10^3)</f>
        <v>815.99351631698198</v>
      </c>
      <c r="CC20" s="12"/>
      <c r="CZ20" s="11">
        <v>754.61236724910771</v>
      </c>
      <c r="DA20" s="11">
        <v>828.81860512554204</v>
      </c>
      <c r="DB20" s="11">
        <v>1216.5804061235492</v>
      </c>
      <c r="DC20" s="11">
        <v>1041.9690526664895</v>
      </c>
      <c r="DD20" s="11">
        <v>1228.400270210971</v>
      </c>
      <c r="DE20" s="11">
        <v>879.72450331617438</v>
      </c>
      <c r="DG20" s="11">
        <v>648.56172963311997</v>
      </c>
      <c r="DH20" s="11">
        <v>709.25480409648469</v>
      </c>
      <c r="DI20" s="11">
        <v>983.16870186281744</v>
      </c>
      <c r="DJ20" s="11">
        <v>1112.0623401053522</v>
      </c>
      <c r="DK20" s="11">
        <v>1070.9439510358754</v>
      </c>
      <c r="DL20" s="11">
        <v>996.89663466587206</v>
      </c>
      <c r="DN20" s="11"/>
    </row>
    <row r="21" spans="4:118" outlineLevel="1" x14ac:dyDescent="0.25">
      <c r="D21" s="10" t="s">
        <v>99</v>
      </c>
      <c r="E21" s="10" t="s">
        <v>88</v>
      </c>
      <c r="F21" s="10" t="s">
        <v>180</v>
      </c>
      <c r="G21" s="10"/>
      <c r="H21" s="62" t="str">
        <f t="shared" si="2"/>
        <v xml:space="preserve">Newark </v>
      </c>
      <c r="I21" s="11">
        <f>140069/(10^3)</f>
        <v>140.06899999999999</v>
      </c>
      <c r="J21" s="11">
        <f>144812.979233607/(10^3)</f>
        <v>144.812979233607</v>
      </c>
      <c r="K21" s="11">
        <f>14309748.2437164/(10^3)</f>
        <v>14309.7482437164</v>
      </c>
      <c r="L21" s="11">
        <f>144881.429915268/(10^3)</f>
        <v>144.881429915268</v>
      </c>
      <c r="M21" s="11">
        <f>148059.586754779/(10^3)</f>
        <v>148.05958675477902</v>
      </c>
      <c r="N21" s="11">
        <f>149956.546395344/(10^3)</f>
        <v>149.95654639534399</v>
      </c>
      <c r="O21" s="11">
        <f>155628.761671623/(10^3)</f>
        <v>155.62876167162301</v>
      </c>
      <c r="P21" s="11">
        <f>157852.27492584/(10^3)</f>
        <v>157.85227492583999</v>
      </c>
      <c r="Q21" s="11">
        <f>1623.79207167793/(10^3)</f>
        <v>1.6237920716779299</v>
      </c>
      <c r="R21" s="11">
        <f>158807.579671206/(10^3)</f>
        <v>158.80757967120601</v>
      </c>
      <c r="S21" s="11">
        <f>153331.888105427/(10^3)</f>
        <v>153.331888105427</v>
      </c>
      <c r="T21" s="11">
        <f>148845.39881974/(10^3)</f>
        <v>148.84539881973998</v>
      </c>
      <c r="U21" s="11">
        <f>145323.365942201/(10^3)</f>
        <v>145.32336594220101</v>
      </c>
      <c r="V21" s="11">
        <f>145125.505543835/(10^3)</f>
        <v>145.125505543835</v>
      </c>
      <c r="W21" s="11">
        <f>14274525.5370932/(10^3)</f>
        <v>14274.525537093199</v>
      </c>
      <c r="X21" s="11">
        <f>148868.026103978/(10^3)</f>
        <v>148.868026103978</v>
      </c>
      <c r="Y21" s="11">
        <f>151310.003594795/(10^3)</f>
        <v>151.31000359479501</v>
      </c>
      <c r="Z21" s="11">
        <f>157747.759766384/(10^3)</f>
        <v>157.74775976638401</v>
      </c>
      <c r="AA21" s="11">
        <f>161996.731826912/(10^3)</f>
        <v>161.996731826912</v>
      </c>
      <c r="AB21" s="11">
        <f>162774.719379409/(10^3)</f>
        <v>162.77471937940902</v>
      </c>
      <c r="AC21" s="11">
        <f>1704.39553288223/(10^3)</f>
        <v>1.70439553288223</v>
      </c>
      <c r="AD21" s="11">
        <f>175237.654828585/(10^3)</f>
        <v>175.23765482858499</v>
      </c>
      <c r="AE21" s="11">
        <f>179576.265205029/(10^3)</f>
        <v>179.57626520502899</v>
      </c>
      <c r="AF21" s="11">
        <f>182205.706258638/(10^3)</f>
        <v>182.205706258638</v>
      </c>
      <c r="AG21" s="11">
        <f>183215.963189602/(10^3)</f>
        <v>183.21596318960198</v>
      </c>
      <c r="AH21" s="11">
        <f>184480.916884419/(10^3)</f>
        <v>184.480916884419</v>
      </c>
      <c r="AI21" s="11">
        <f>19175066.4954987/(10^3)</f>
        <v>19175.066495498697</v>
      </c>
      <c r="AJ21" s="11">
        <f>193310.133501345/(10^3)</f>
        <v>193.31013350134501</v>
      </c>
      <c r="AK21" s="11">
        <f>202058.881867179/(10^3)</f>
        <v>202.058881867179</v>
      </c>
      <c r="AL21" s="11">
        <f>203562.630565371/(10^3)</f>
        <v>203.56263056537099</v>
      </c>
      <c r="AM21" s="11">
        <f>204278.786805215/(10^3)</f>
        <v>204.27878680521499</v>
      </c>
      <c r="AN21" s="11">
        <f>209647.292715086/(10^3)</f>
        <v>209.647292715086</v>
      </c>
      <c r="AO21" s="11">
        <f>2161.03635137736/(10^3)</f>
        <v>2.1610363513773598</v>
      </c>
      <c r="AP21" s="11">
        <f>221713.519016132/(10^3)</f>
        <v>221.71351901613198</v>
      </c>
      <c r="AQ21" s="11">
        <f>217877.34580513/(10^3)</f>
        <v>217.87734580513001</v>
      </c>
      <c r="AR21" s="11">
        <f>211484.795509716/(10^3)</f>
        <v>211.48479550971601</v>
      </c>
      <c r="AS21" s="11">
        <f>210240.566021405/(10^3)</f>
        <v>210.24056602140499</v>
      </c>
      <c r="AT21" s="11">
        <f>202487.330239176/(10^3)</f>
        <v>202.487330239176</v>
      </c>
      <c r="AU21" s="11">
        <f>20199903.468614/(10^3)</f>
        <v>20199.903468614</v>
      </c>
      <c r="AV21" s="11">
        <f>194742.006449495/(10^3)</f>
        <v>194.74200644949499</v>
      </c>
      <c r="AW21" s="11">
        <f>188203.43978244/(10^3)</f>
        <v>188.20343978244</v>
      </c>
      <c r="AX21" s="11">
        <f>179953.298719623/(10^3)</f>
        <v>179.95329871962301</v>
      </c>
      <c r="AY21" s="11">
        <f>173855.088828839/(10^3)</f>
        <v>173.855088828839</v>
      </c>
      <c r="AZ21" s="11">
        <f>167974.261635505/(10^3)</f>
        <v>167.974261635505</v>
      </c>
      <c r="BA21" s="11">
        <f>1661.97826979732/(10^3)</f>
        <v>1.66197826979732</v>
      </c>
      <c r="BB21" s="11">
        <f>162295.976077878/(10^3)</f>
        <v>162.29597607787801</v>
      </c>
      <c r="BC21" s="11">
        <f>157768.145350401/(10^3)</f>
        <v>157.768145350401</v>
      </c>
      <c r="BD21" s="11">
        <f>151330.231216227/(10^3)</f>
        <v>151.33023121622699</v>
      </c>
      <c r="BE21" s="11">
        <f>146299.611038521/(10^3)</f>
        <v>146.29961103852099</v>
      </c>
      <c r="BF21" s="11">
        <f>152082.246800605/(10^3)</f>
        <v>152.08224680060499</v>
      </c>
      <c r="BG21" s="11">
        <f>14793984.4345883/(10^3)</f>
        <v>14793.984434588299</v>
      </c>
      <c r="BH21" s="11">
        <f>144902.273212488/(10^3)</f>
        <v>144.90227321248801</v>
      </c>
      <c r="BI21" s="11">
        <f>145779.280108814/(10^3)</f>
        <v>145.77928010881402</v>
      </c>
      <c r="BJ21" s="11">
        <f>160321.041858586/(10^3)</f>
        <v>160.321041858586</v>
      </c>
      <c r="BK21" s="11">
        <f>162626.523686095/(10^3)</f>
        <v>162.626523686095</v>
      </c>
      <c r="BL21" s="11">
        <f>170095.16039244/(10^3)</f>
        <v>170.09516039244002</v>
      </c>
      <c r="BM21" s="11">
        <f>1747.96795457418/(10^3)</f>
        <v>1.7479679545741802</v>
      </c>
      <c r="BN21" s="11">
        <f>182038.786966145/(10^3)</f>
        <v>182.03878696614501</v>
      </c>
      <c r="BO21" s="11">
        <f>165125.981613116/(10^3)</f>
        <v>165.12598161311598</v>
      </c>
      <c r="BP21" s="11">
        <f>151491.345975416/(10^3)</f>
        <v>151.49134597541601</v>
      </c>
      <c r="BQ21" s="11">
        <f>141425.696187995/(10^3)</f>
        <v>141.42569618799499</v>
      </c>
      <c r="BR21" s="11">
        <f>139539.702599611/(10^3)</f>
        <v>139.53970259961099</v>
      </c>
      <c r="BS21" s="11">
        <f>13167670.7930718/(10^3)</f>
        <v>13167.6707930718</v>
      </c>
      <c r="BT21" s="11">
        <f>128827.371053484/(10^3)</f>
        <v>128.827371053484</v>
      </c>
      <c r="BU21" s="11">
        <f>123531.268018622/(10^3)</f>
        <v>123.531268018622</v>
      </c>
      <c r="BV21" s="11">
        <f>112290.277768958/(10^3)</f>
        <v>112.29027776895799</v>
      </c>
      <c r="BW21" s="11">
        <f>112131.976414198/(10^3)</f>
        <v>112.13197641419799</v>
      </c>
      <c r="BX21" s="11">
        <f>115536.254064272/(10^3)</f>
        <v>115.536254064272</v>
      </c>
      <c r="BY21" s="11">
        <f>1188.3587881131/(10^3)</f>
        <v>1.1883587881130999</v>
      </c>
      <c r="BZ21" s="11">
        <f>116216.078254175/(10^3)</f>
        <v>116.21607825417499</v>
      </c>
      <c r="CA21" s="11">
        <f>109506.479735208/(10^3)</f>
        <v>109.506479735208</v>
      </c>
      <c r="CB21" s="11">
        <f>109178.307481711/(10^3)</f>
        <v>109.178307481711</v>
      </c>
      <c r="CC21" s="12"/>
      <c r="CZ21" s="11">
        <v>162.37920716779288</v>
      </c>
      <c r="DA21" s="11">
        <v>170.43955328822346</v>
      </c>
      <c r="DB21" s="11">
        <v>216.10363513773558</v>
      </c>
      <c r="DC21" s="11">
        <v>166.19782697973176</v>
      </c>
      <c r="DD21" s="11">
        <v>174.7967954574178</v>
      </c>
      <c r="DE21" s="11">
        <v>118.83587881130993</v>
      </c>
      <c r="DG21" s="11">
        <v>143.09748243716376</v>
      </c>
      <c r="DH21" s="11">
        <v>142.74525537093203</v>
      </c>
      <c r="DI21" s="11">
        <v>191.75066495498683</v>
      </c>
      <c r="DJ21" s="11">
        <v>201.99903468613994</v>
      </c>
      <c r="DK21" s="11">
        <v>147.93984434588265</v>
      </c>
      <c r="DL21" s="11">
        <v>131.67670793071815</v>
      </c>
      <c r="DN21" s="11"/>
    </row>
    <row r="22" spans="4:118" outlineLevel="1" x14ac:dyDescent="0.25">
      <c r="D22" s="10" t="s">
        <v>102</v>
      </c>
      <c r="E22" s="10" t="s">
        <v>93</v>
      </c>
      <c r="F22" s="10" t="s">
        <v>180</v>
      </c>
      <c r="G22" s="10"/>
      <c r="H22" s="62" t="str">
        <f t="shared" si="2"/>
        <v xml:space="preserve">Albany </v>
      </c>
      <c r="I22" s="11">
        <f>117617/(10^3)</f>
        <v>117.617</v>
      </c>
      <c r="J22" s="11">
        <f>122755.845644216/(10^3)</f>
        <v>122.755845644216</v>
      </c>
      <c r="K22" s="11">
        <f>12852915.4255609/(10^3)</f>
        <v>12852.915425560899</v>
      </c>
      <c r="L22" s="11">
        <f>129042.458653128/(10^3)</f>
        <v>129.04245865312799</v>
      </c>
      <c r="M22" s="11">
        <f>125811.247837738/(10^3)</f>
        <v>125.81124783773801</v>
      </c>
      <c r="N22" s="11">
        <f>136822.811458083/(10^3)</f>
        <v>136.82281145808298</v>
      </c>
      <c r="O22" s="11">
        <f>143408.65003465/(10^3)</f>
        <v>143.40865003465001</v>
      </c>
      <c r="P22" s="11">
        <f>150550.163703445/(10^3)</f>
        <v>150.55016370344501</v>
      </c>
      <c r="Q22" s="11">
        <f>1530.4505651793/(10^3)</f>
        <v>1.5304505651792999</v>
      </c>
      <c r="R22" s="11">
        <f>150818.166433166/(10^3)</f>
        <v>150.81816643316603</v>
      </c>
      <c r="S22" s="11">
        <f>139865.691495938/(10^3)</f>
        <v>139.86569149593799</v>
      </c>
      <c r="T22" s="11">
        <f>135099.382720532/(10^3)</f>
        <v>135.09938272053202</v>
      </c>
      <c r="U22" s="11">
        <f>133531.336624021/(10^3)</f>
        <v>133.53133662402101</v>
      </c>
      <c r="V22" s="11">
        <f>130338.145540318/(10^3)</f>
        <v>130.33814554031801</v>
      </c>
      <c r="W22" s="11">
        <f>13314274.2809029/(10^3)</f>
        <v>13314.274280902901</v>
      </c>
      <c r="X22" s="11">
        <f>139734.692926939/(10^3)</f>
        <v>139.734692926939</v>
      </c>
      <c r="Y22" s="11">
        <f>140737.607946966/(10^3)</f>
        <v>140.73760794696599</v>
      </c>
      <c r="Z22" s="11">
        <f>145882.452145418/(10^3)</f>
        <v>145.882452145418</v>
      </c>
      <c r="AA22" s="11">
        <f>152699.865690476/(10^3)</f>
        <v>152.699865690476</v>
      </c>
      <c r="AB22" s="11">
        <f>156827.688851171/(10^3)</f>
        <v>156.82768885117099</v>
      </c>
      <c r="AC22" s="11">
        <f>1625.01834632866/(10^3)</f>
        <v>1.62501834632866</v>
      </c>
      <c r="AD22" s="11">
        <f>169842.6392946/(10^3)</f>
        <v>169.84263929459999</v>
      </c>
      <c r="AE22" s="11">
        <f>177425.410645828/(10^3)</f>
        <v>177.42541064582801</v>
      </c>
      <c r="AF22" s="11">
        <f>184893.917299624/(10^3)</f>
        <v>184.89391729962401</v>
      </c>
      <c r="AG22" s="11">
        <f>190009.373189483/(10^3)</f>
        <v>190.009373189483</v>
      </c>
      <c r="AH22" s="11">
        <f>196914.72482421/(10^3)</f>
        <v>196.91472482421</v>
      </c>
      <c r="AI22" s="11">
        <f>20208039.5203785/(10^3)</f>
        <v>20208.039520378501</v>
      </c>
      <c r="AJ22" s="11">
        <f>203753.114939683/(10^3)</f>
        <v>203.753114939683</v>
      </c>
      <c r="AK22" s="11">
        <f>211036.496223907/(10^3)</f>
        <v>211.03649622390699</v>
      </c>
      <c r="AL22" s="11">
        <f>213622.932449885/(10^3)</f>
        <v>213.62293244988501</v>
      </c>
      <c r="AM22" s="11">
        <f>219099.199369057/(10^3)</f>
        <v>219.099199369057</v>
      </c>
      <c r="AN22" s="11">
        <f>219159.301320646/(10^3)</f>
        <v>219.15930132064599</v>
      </c>
      <c r="AO22" s="11">
        <f>2247.53679387185/(10^3)</f>
        <v>2.2475367938718502</v>
      </c>
      <c r="AP22" s="11">
        <f>232633.443185636/(10^3)</f>
        <v>232.633443185636</v>
      </c>
      <c r="AQ22" s="11">
        <f>218597.477618738/(10^3)</f>
        <v>218.597477618738</v>
      </c>
      <c r="AR22" s="11">
        <f>214601.289039938/(10^3)</f>
        <v>214.60128903993802</v>
      </c>
      <c r="AS22" s="11">
        <f>207698.182872282/(10^3)</f>
        <v>207.69818287228199</v>
      </c>
      <c r="AT22" s="11">
        <f>206314.141117245/(10^3)</f>
        <v>206.31414111724499</v>
      </c>
      <c r="AU22" s="11">
        <f>20458041.1945576/(10^3)</f>
        <v>20458.041194557598</v>
      </c>
      <c r="AV22" s="11">
        <f>200493.757025201/(10^3)</f>
        <v>200.49375702520098</v>
      </c>
      <c r="AW22" s="11">
        <f>195775.842792637/(10^3)</f>
        <v>195.77584279263701</v>
      </c>
      <c r="AX22" s="11">
        <f>192605.34050019/(10^3)</f>
        <v>192.60534050019001</v>
      </c>
      <c r="AY22" s="11">
        <f>185999.124038146/(10^3)</f>
        <v>185.99912403814599</v>
      </c>
      <c r="AZ22" s="11">
        <f>181596.088492103/(10^3)</f>
        <v>181.59608849210301</v>
      </c>
      <c r="BA22" s="11">
        <f>1734.81220472178/(10^3)</f>
        <v>1.73481220472178</v>
      </c>
      <c r="BB22" s="11">
        <f>165045.835407425/(10^3)</f>
        <v>165.04583540742502</v>
      </c>
      <c r="BC22" s="11">
        <f>163481.761769916/(10^3)</f>
        <v>163.48176176991598</v>
      </c>
      <c r="BD22" s="11">
        <f>160789.069531606/(10^3)</f>
        <v>160.78906953160597</v>
      </c>
      <c r="BE22" s="11">
        <f>153974.485137016/(10^3)</f>
        <v>153.97448513701599</v>
      </c>
      <c r="BF22" s="11">
        <f>150705.875224261/(10^3)</f>
        <v>150.70587522426098</v>
      </c>
      <c r="BG22" s="11">
        <f>15194279.0775059/(10^3)</f>
        <v>15194.2790775059</v>
      </c>
      <c r="BH22" s="11">
        <f>154259.879838903/(10^3)</f>
        <v>154.259879838903</v>
      </c>
      <c r="BI22" s="11">
        <f>153488.563204338/(10^3)</f>
        <v>153.48856320433799</v>
      </c>
      <c r="BJ22" s="11">
        <f>153497.602105291/(10^3)</f>
        <v>153.49760210529101</v>
      </c>
      <c r="BK22" s="11">
        <f>159165.357754584/(10^3)</f>
        <v>159.16535775458399</v>
      </c>
      <c r="BL22" s="11">
        <f>165720.821620364/(10^3)</f>
        <v>165.72082162036401</v>
      </c>
      <c r="BM22" s="11">
        <f>1734.61749859479/(10^3)</f>
        <v>1.73461749859479</v>
      </c>
      <c r="BN22" s="11">
        <f>170952.634440367/(10^3)</f>
        <v>170.95263444036701</v>
      </c>
      <c r="BO22" s="11">
        <f>157318.19317291/(10^3)</f>
        <v>157.31819317290999</v>
      </c>
      <c r="BP22" s="11">
        <f>146385.836418417/(10^3)</f>
        <v>146.385836418417</v>
      </c>
      <c r="BQ22" s="11">
        <f>137445.522704474/(10^3)</f>
        <v>137.445522704474</v>
      </c>
      <c r="BR22" s="11">
        <f>130160.96846091/(10^3)</f>
        <v>130.16096846091</v>
      </c>
      <c r="BS22" s="11">
        <f>12827340.892756/(10^3)</f>
        <v>12827.340892755999</v>
      </c>
      <c r="BT22" s="11">
        <f>125430.25535621/(10^3)</f>
        <v>125.43025535621</v>
      </c>
      <c r="BU22" s="11">
        <f>115610.71102428/(10^3)</f>
        <v>115.61071102427999</v>
      </c>
      <c r="BV22" s="11">
        <f>111775.865364701/(10^3)</f>
        <v>111.775865364701</v>
      </c>
      <c r="BW22" s="11">
        <f>101575.897800214/(10^3)</f>
        <v>101.57589780021401</v>
      </c>
      <c r="BX22" s="11">
        <f>103933.395252658/(10^3)</f>
        <v>103.933395252658</v>
      </c>
      <c r="BY22" s="11">
        <f>1055.68839256796/(10^3)</f>
        <v>1.0556883925679599</v>
      </c>
      <c r="BZ22" s="11">
        <f>107237.460075721/(10^3)</f>
        <v>107.237460075721</v>
      </c>
      <c r="CA22" s="11">
        <f>96899.895636048/(10^3)</f>
        <v>96.899895636047987</v>
      </c>
      <c r="CB22" s="11">
        <f>93280.707795398/(10^3)</f>
        <v>93.280707795398001</v>
      </c>
      <c r="CC22" s="12"/>
      <c r="CZ22" s="11">
        <v>153.04505651792965</v>
      </c>
      <c r="DA22" s="11">
        <v>162.50183463286572</v>
      </c>
      <c r="DB22" s="11">
        <v>224.75367938718466</v>
      </c>
      <c r="DC22" s="11">
        <v>173.48122047217805</v>
      </c>
      <c r="DD22" s="11">
        <v>173.46174985947943</v>
      </c>
      <c r="DE22" s="11">
        <v>105.56883925679563</v>
      </c>
      <c r="DG22" s="11">
        <v>128.52915425560928</v>
      </c>
      <c r="DH22" s="11">
        <v>133.1427428090285</v>
      </c>
      <c r="DI22" s="11">
        <v>202.08039520378523</v>
      </c>
      <c r="DJ22" s="11">
        <v>204.58041194557606</v>
      </c>
      <c r="DK22" s="11">
        <v>151.94279077505914</v>
      </c>
      <c r="DL22" s="11">
        <v>128.27340892755973</v>
      </c>
      <c r="DN22" s="11"/>
    </row>
    <row r="23" spans="4:118" outlineLevel="1" x14ac:dyDescent="0.25">
      <c r="D23" s="10" t="s">
        <v>101</v>
      </c>
      <c r="E23" s="10" t="s">
        <v>93</v>
      </c>
      <c r="F23" s="10" t="s">
        <v>180</v>
      </c>
      <c r="G23" s="10"/>
      <c r="H23" s="62" t="str">
        <f t="shared" si="2"/>
        <v xml:space="preserve">New York </v>
      </c>
      <c r="I23" s="11">
        <f>43488/(10^3)</f>
        <v>43.488</v>
      </c>
      <c r="J23" s="11">
        <f>42822.3847047298/(10^3)</f>
        <v>42.822384704729799</v>
      </c>
      <c r="K23" s="11">
        <f>4420259.51951231/(10^3)</f>
        <v>4420.2595195123095</v>
      </c>
      <c r="L23" s="11">
        <f>45343.4335884138/(10^3)</f>
        <v>45.343433588413795</v>
      </c>
      <c r="M23" s="11">
        <f>47105.7676362416/(10^3)</f>
        <v>47.105767636241602</v>
      </c>
      <c r="N23" s="11">
        <f>51809.8819235875/(10^3)</f>
        <v>51.809881923587497</v>
      </c>
      <c r="O23" s="11">
        <f>53345.0725254424/(10^3)</f>
        <v>53.345072525442404</v>
      </c>
      <c r="P23" s="11">
        <f>55930.8448047964/(10^3)</f>
        <v>55.930844804796401</v>
      </c>
      <c r="Q23" s="11">
        <f>574.302933323521/(10^3)</f>
        <v>0.574302933323521</v>
      </c>
      <c r="R23" s="11">
        <f>57117.8458691106/(10^3)</f>
        <v>57.117845869110596</v>
      </c>
      <c r="S23" s="11">
        <f>53682.6150853493/(10^3)</f>
        <v>53.682615085349305</v>
      </c>
      <c r="T23" s="11">
        <f>52078.24600403/(10^3)</f>
        <v>52.078246004029999</v>
      </c>
      <c r="U23" s="11">
        <f>51813.7930698644/(10^3)</f>
        <v>51.813793069864396</v>
      </c>
      <c r="V23" s="11">
        <f>50487.6163427624/(10^3)</f>
        <v>50.487616342762401</v>
      </c>
      <c r="W23" s="11">
        <f>4904883.46477193/(10^3)</f>
        <v>4904.8834647719304</v>
      </c>
      <c r="X23" s="11">
        <f>51072.604220262/(10^3)</f>
        <v>51.072604220262001</v>
      </c>
      <c r="Y23" s="11">
        <f>52197.1577624292/(10^3)</f>
        <v>52.1971577624292</v>
      </c>
      <c r="Z23" s="11">
        <f>54984.6572247367/(10^3)</f>
        <v>54.984657224736701</v>
      </c>
      <c r="AA23" s="11">
        <f>55493.0196411375/(10^3)</f>
        <v>55.493019641137501</v>
      </c>
      <c r="AB23" s="11">
        <f>57149.3374455003/(10^3)</f>
        <v>57.149337445500301</v>
      </c>
      <c r="AC23" s="11">
        <f>588.385014242275/(10^3)</f>
        <v>0.58838501424227507</v>
      </c>
      <c r="AD23" s="11">
        <f>60782.9616247544/(10^3)</f>
        <v>60.782961624754407</v>
      </c>
      <c r="AE23" s="11">
        <f>63351.0175105266/(10^3)</f>
        <v>63.351017510526603</v>
      </c>
      <c r="AF23" s="11">
        <f>64355.4445271385/(10^3)</f>
        <v>64.355444527138502</v>
      </c>
      <c r="AG23" s="11">
        <f>66040.093164718/(10^3)</f>
        <v>66.040093164718002</v>
      </c>
      <c r="AH23" s="11">
        <f>69221.8612445743/(10^3)</f>
        <v>69.221861244574299</v>
      </c>
      <c r="AI23" s="11">
        <f>7203421.46994734/(10^3)</f>
        <v>7203.4214699473396</v>
      </c>
      <c r="AJ23" s="11">
        <f>73374.1768606081/(10^3)</f>
        <v>73.374176860608102</v>
      </c>
      <c r="AK23" s="11">
        <f>75572.4808771055/(10^3)</f>
        <v>75.572480877105491</v>
      </c>
      <c r="AL23" s="11">
        <f>78519.5750995862/(10^3)</f>
        <v>78.519575099586206</v>
      </c>
      <c r="AM23" s="11">
        <f>81391.5522724051/(10^3)</f>
        <v>81.391552272405093</v>
      </c>
      <c r="AN23" s="11">
        <f>83953.9784864409/(10^3)</f>
        <v>83.953978486440903</v>
      </c>
      <c r="AO23" s="11">
        <f>867.077260954939/(10^3)</f>
        <v>0.86707726095493898</v>
      </c>
      <c r="AP23" s="11">
        <f>84606.3473557057/(10^3)</f>
        <v>84.606347355705694</v>
      </c>
      <c r="AQ23" s="11">
        <f>81856.8941570425/(10^3)</f>
        <v>81.85689415704249</v>
      </c>
      <c r="AR23" s="11">
        <f>79444.1761059329/(10^3)</f>
        <v>79.444176105932897</v>
      </c>
      <c r="AS23" s="11">
        <f>77057.0710472724/(10^3)</f>
        <v>77.057071047272402</v>
      </c>
      <c r="AT23" s="11">
        <f>75590.4844038285/(10^3)</f>
        <v>75.590484403828498</v>
      </c>
      <c r="AU23" s="11">
        <f>7339329.95445376/(10^3)</f>
        <v>7339.3299544537595</v>
      </c>
      <c r="AV23" s="11">
        <f>73114.8021262575/(10^3)</f>
        <v>73.114802126257501</v>
      </c>
      <c r="AW23" s="11">
        <f>71618.6838312765/(10^3)</f>
        <v>71.618683831276499</v>
      </c>
      <c r="AX23" s="11">
        <f>70742.7040377192/(10^3)</f>
        <v>70.742704037719207</v>
      </c>
      <c r="AY23" s="11">
        <f>70070.7757311852/(10^3)</f>
        <v>70.070775731185208</v>
      </c>
      <c r="AZ23" s="11">
        <f>66749.9534100895/(10^3)</f>
        <v>66.749953410089489</v>
      </c>
      <c r="BA23" s="11">
        <f>662.932694083914/(10^3)</f>
        <v>0.66293269408391409</v>
      </c>
      <c r="BB23" s="11">
        <f>66203.4008169012/(10^3)</f>
        <v>66.203400816901194</v>
      </c>
      <c r="BC23" s="11">
        <f>64873.6774354109/(10^3)</f>
        <v>64.873677435410897</v>
      </c>
      <c r="BD23" s="11">
        <f>63960.8417472843/(10^3)</f>
        <v>63.960841747284299</v>
      </c>
      <c r="BE23" s="11">
        <f>62678.765781433/(10^3)</f>
        <v>62.678765781433</v>
      </c>
      <c r="BF23" s="11">
        <f>65029.3947201135/(10^3)</f>
        <v>65.029394720113501</v>
      </c>
      <c r="BG23" s="11">
        <f>6476884.2151084/(10^3)</f>
        <v>6476.8842151084</v>
      </c>
      <c r="BH23" s="11">
        <f>65864.1598201419/(10^3)</f>
        <v>65.864159820141893</v>
      </c>
      <c r="BI23" s="11">
        <f>68078.7262360059/(10^3)</f>
        <v>68.078726236005892</v>
      </c>
      <c r="BJ23" s="11">
        <f>74114.6036337335/(10^3)</f>
        <v>74.114603633733495</v>
      </c>
      <c r="BK23" s="11">
        <f>76239.862637909/(10^3)</f>
        <v>76.239862637908999</v>
      </c>
      <c r="BL23" s="11">
        <f>78403.9721416764/(10^3)</f>
        <v>78.403972141676391</v>
      </c>
      <c r="BM23" s="11">
        <f>792.019938619103/(10^3)</f>
        <v>0.79201993861910291</v>
      </c>
      <c r="BN23" s="11">
        <f>77834.9582604994/(10^3)</f>
        <v>77.834958260499405</v>
      </c>
      <c r="BO23" s="11">
        <f>70630.5753903296/(10^3)</f>
        <v>70.630575390329597</v>
      </c>
      <c r="BP23" s="11">
        <f>68793.4008643103/(10^3)</f>
        <v>68.7934008643103</v>
      </c>
      <c r="BQ23" s="11">
        <f>61924.5068445487/(10^3)</f>
        <v>61.924506844548695</v>
      </c>
      <c r="BR23" s="11">
        <f>60352.9038348323/(10^3)</f>
        <v>60.352903834832304</v>
      </c>
      <c r="BS23" s="11">
        <f>5667721.37089321/(10^3)</f>
        <v>5667.7213708932104</v>
      </c>
      <c r="BT23" s="11">
        <f>53799.1134857349/(10^3)</f>
        <v>53.7991134857349</v>
      </c>
      <c r="BU23" s="11">
        <f>52339.3440033172/(10^3)</f>
        <v>52.339344003317201</v>
      </c>
      <c r="BV23" s="11">
        <f>47777.5929721501/(10^3)</f>
        <v>47.777592972150103</v>
      </c>
      <c r="BW23" s="11">
        <f>47264.0865424622/(10^3)</f>
        <v>47.264086542462202</v>
      </c>
      <c r="BX23" s="11">
        <f>49299.3674702404/(10^3)</f>
        <v>49.299367470240405</v>
      </c>
      <c r="BY23" s="11">
        <f>505.458235764313/(10^3)</f>
        <v>0.50545823576431292</v>
      </c>
      <c r="BZ23" s="11">
        <f>52962.8854730114/(10^3)</f>
        <v>52.962885473011404</v>
      </c>
      <c r="CA23" s="11">
        <f>50333.2406988837/(10^3)</f>
        <v>50.333240698883699</v>
      </c>
      <c r="CB23" s="11">
        <f>50212.8898207521/(10^3)</f>
        <v>50.212889820752096</v>
      </c>
      <c r="CC23" s="12"/>
      <c r="CZ23" s="11">
        <v>57.430293332352107</v>
      </c>
      <c r="DA23" s="11">
        <v>58.838501424227516</v>
      </c>
      <c r="DB23" s="11">
        <v>86.707726095493896</v>
      </c>
      <c r="DC23" s="11">
        <v>66.293269408391396</v>
      </c>
      <c r="DD23" s="11">
        <v>79.201993861910267</v>
      </c>
      <c r="DE23" s="11">
        <v>50.545823576431339</v>
      </c>
      <c r="DG23" s="11">
        <v>44.202595195123088</v>
      </c>
      <c r="DH23" s="11">
        <v>49.048834647719289</v>
      </c>
      <c r="DI23" s="11">
        <v>72.034214699473381</v>
      </c>
      <c r="DJ23" s="11">
        <v>73.39329954453757</v>
      </c>
      <c r="DK23" s="11">
        <v>64.768842151084002</v>
      </c>
      <c r="DL23" s="11">
        <v>56.677213708932101</v>
      </c>
      <c r="DN23" s="11"/>
    </row>
    <row r="24" spans="4:118" outlineLevel="1" x14ac:dyDescent="0.25">
      <c r="D24" s="10" t="s">
        <v>105</v>
      </c>
      <c r="E24" s="10" t="s">
        <v>95</v>
      </c>
      <c r="F24" s="10" t="s">
        <v>149</v>
      </c>
      <c r="G24" s="10"/>
      <c r="H24" s="62" t="str">
        <f t="shared" si="2"/>
        <v xml:space="preserve">Columbus </v>
      </c>
      <c r="I24" s="11">
        <f>68005/(10^3)</f>
        <v>68.004999999999995</v>
      </c>
      <c r="J24" s="11">
        <f>71188.864474829/(10^3)</f>
        <v>71.188864474828989</v>
      </c>
      <c r="K24" s="11">
        <f>7264429.71568867/(10^3)</f>
        <v>7264.4297156886696</v>
      </c>
      <c r="L24" s="11">
        <f>74956.791583303/(10^3)</f>
        <v>74.956791583303001</v>
      </c>
      <c r="M24" s="11">
        <f>77501.4034815062/(10^3)</f>
        <v>77.501403481506202</v>
      </c>
      <c r="N24" s="11">
        <f>80922.4656145205/(10^3)</f>
        <v>80.92246561452049</v>
      </c>
      <c r="O24" s="11">
        <f>83742.461671271/(10^3)</f>
        <v>83.742461671271002</v>
      </c>
      <c r="P24" s="11">
        <f>86269.6524326486/(10^3)</f>
        <v>86.269652432648599</v>
      </c>
      <c r="Q24" s="11">
        <f>880.424784614415/(10^3)</f>
        <v>0.88042478461441498</v>
      </c>
      <c r="R24" s="11">
        <f>91058.1350313558/(10^3)</f>
        <v>91.058135031355803</v>
      </c>
      <c r="S24" s="11">
        <f>85460.81952425/(10^3)</f>
        <v>85.460819524249999</v>
      </c>
      <c r="T24" s="11">
        <f>81662.2453665218/(10^3)</f>
        <v>81.662245366521802</v>
      </c>
      <c r="U24" s="11">
        <f>80676.2234675436/(10^3)</f>
        <v>80.676223467543608</v>
      </c>
      <c r="V24" s="11">
        <f>80999.0982664151/(10^3)</f>
        <v>80.999098266415089</v>
      </c>
      <c r="W24" s="11">
        <f>8243475.42671729/(10^3)</f>
        <v>8243.4754267172902</v>
      </c>
      <c r="X24" s="11">
        <f>85698.1847649182/(10^3)</f>
        <v>85.698184764918196</v>
      </c>
      <c r="Y24" s="11">
        <f>89707.9779048708/(10^3)</f>
        <v>89.707977904870802</v>
      </c>
      <c r="Z24" s="11">
        <f>92609.9497116317/(10^3)</f>
        <v>92.609949711631714</v>
      </c>
      <c r="AA24" s="11">
        <f>97125.6845234653/(10^3)</f>
        <v>97.125684523465296</v>
      </c>
      <c r="AB24" s="11">
        <f>97762.7506417304/(10^3)</f>
        <v>97.762750641730392</v>
      </c>
      <c r="AC24" s="11">
        <f>1016.34523254589/(10^3)</f>
        <v>1.0163452325458899</v>
      </c>
      <c r="AD24" s="11">
        <f>102562.078413307/(10^3)</f>
        <v>102.56207841330699</v>
      </c>
      <c r="AE24" s="11">
        <f>103073.402395206/(10^3)</f>
        <v>103.07340239520599</v>
      </c>
      <c r="AF24" s="11">
        <f>104889.229014077/(10^3)</f>
        <v>104.889229014077</v>
      </c>
      <c r="AG24" s="11">
        <f>110122.516778357/(10^3)</f>
        <v>110.12251677835701</v>
      </c>
      <c r="AH24" s="11">
        <f>114974.620331299/(10^3)</f>
        <v>114.97462033129899</v>
      </c>
      <c r="AI24" s="11">
        <f>11888292.0022972/(10^3)</f>
        <v>11888.292002297199</v>
      </c>
      <c r="AJ24" s="11">
        <f>121551.594441676/(10^3)</f>
        <v>121.551594441676</v>
      </c>
      <c r="AK24" s="11">
        <f>124256.060805665/(10^3)</f>
        <v>124.256060805665</v>
      </c>
      <c r="AL24" s="11">
        <f>127049.006728074/(10^3)</f>
        <v>127.049006728074</v>
      </c>
      <c r="AM24" s="11">
        <f>131114.242170935/(10^3)</f>
        <v>131.114242170935</v>
      </c>
      <c r="AN24" s="11">
        <f>133401.269110113/(10^3)</f>
        <v>133.40126911011299</v>
      </c>
      <c r="AO24" s="11">
        <f>1382.95280102597/(10^3)</f>
        <v>1.3829528010259702</v>
      </c>
      <c r="AP24" s="11">
        <f>144625.21852233/(10^3)</f>
        <v>144.62521852232999</v>
      </c>
      <c r="AQ24" s="11">
        <f>130729.541762644/(10^3)</f>
        <v>130.729541762644</v>
      </c>
      <c r="AR24" s="11">
        <f>124338.566928733/(10^3)</f>
        <v>124.338566928733</v>
      </c>
      <c r="AS24" s="11">
        <f>124290.775555863/(10^3)</f>
        <v>124.29077555586301</v>
      </c>
      <c r="AT24" s="11">
        <f>122405.014661944/(10^3)</f>
        <v>122.40501466194401</v>
      </c>
      <c r="AU24" s="11">
        <f>11973289.4792779/(10^3)</f>
        <v>11973.289479277899</v>
      </c>
      <c r="AV24" s="11">
        <f>116855.583305701/(10^3)</f>
        <v>116.855583305701</v>
      </c>
      <c r="AW24" s="11">
        <f>112346.915747888/(10^3)</f>
        <v>112.34691574788799</v>
      </c>
      <c r="AX24" s="11">
        <f>107560.139819243/(10^3)</f>
        <v>107.56013981924301</v>
      </c>
      <c r="AY24" s="11">
        <f>103696.031962744/(10^3)</f>
        <v>103.696031962744</v>
      </c>
      <c r="AZ24" s="11">
        <f>99984.8807205878/(10^3)</f>
        <v>99.984880720587796</v>
      </c>
      <c r="BA24" s="11">
        <f>970.841058686214/(10^3)</f>
        <v>0.97084105868621395</v>
      </c>
      <c r="BB24" s="11">
        <f>93838.9710253835/(10^3)</f>
        <v>93.838971025383486</v>
      </c>
      <c r="BC24" s="11">
        <f>89187.9557247545/(10^3)</f>
        <v>89.187955724754502</v>
      </c>
      <c r="BD24" s="11">
        <f>85521.7298951126/(10^3)</f>
        <v>85.5217298951126</v>
      </c>
      <c r="BE24" s="11">
        <f>85234.0791752281/(10^3)</f>
        <v>85.234079175228089</v>
      </c>
      <c r="BF24" s="11">
        <f>83104.5565455357/(10^3)</f>
        <v>83.104556545535701</v>
      </c>
      <c r="BG24" s="11">
        <f>8320702.49921611/(10^3)</f>
        <v>8320.7024992161096</v>
      </c>
      <c r="BH24" s="11">
        <f>80884.2475775676/(10^3)</f>
        <v>80.884247577567606</v>
      </c>
      <c r="BI24" s="11">
        <f>83143.2808328637/(10^3)</f>
        <v>83.143280832863709</v>
      </c>
      <c r="BJ24" s="11">
        <f>84958.1663182597/(10^3)</f>
        <v>84.9581663182597</v>
      </c>
      <c r="BK24" s="11">
        <f>87191.274527281/(10^3)</f>
        <v>87.191274527280996</v>
      </c>
      <c r="BL24" s="11">
        <f>90744.3496307603/(10^3)</f>
        <v>90.744349630760311</v>
      </c>
      <c r="BM24" s="11">
        <f>914.747736172892/(10^3)</f>
        <v>0.91474773617289207</v>
      </c>
      <c r="BN24" s="11">
        <f>90035.5520339733/(10^3)</f>
        <v>90.035552033973303</v>
      </c>
      <c r="BO24" s="11">
        <f>89509.8505360727/(10^3)</f>
        <v>89.509850536072705</v>
      </c>
      <c r="BP24" s="11">
        <f>88167.8109445284/(10^3)</f>
        <v>88.167810944528412</v>
      </c>
      <c r="BQ24" s="11">
        <f>83841.3642061271/(10^3)</f>
        <v>83.841364206127096</v>
      </c>
      <c r="BR24" s="11">
        <f>83202.0270798979/(10^3)</f>
        <v>83.202027079897903</v>
      </c>
      <c r="BS24" s="11">
        <f>8133670.42285502/(10^3)</f>
        <v>8133.6704228550198</v>
      </c>
      <c r="BT24" s="11">
        <f>75565.0855599304/(10^3)</f>
        <v>75.565085559930409</v>
      </c>
      <c r="BU24" s="11">
        <f>72100.9611389543/(10^3)</f>
        <v>72.100961138954304</v>
      </c>
      <c r="BV24" s="11">
        <f>71101.2722061011/(10^3)</f>
        <v>71.1012722061011</v>
      </c>
      <c r="BW24" s="11">
        <f>69864.7217150513/(10^3)</f>
        <v>69.864721715051303</v>
      </c>
      <c r="BX24" s="11">
        <f>70385.3672977975/(10^3)</f>
        <v>70.385367297797487</v>
      </c>
      <c r="BY24" s="11">
        <f>725.968459812428/(10^3)</f>
        <v>0.72596845981242797</v>
      </c>
      <c r="BZ24" s="11">
        <f>75761.1970422795/(10^3)</f>
        <v>75.761197042279505</v>
      </c>
      <c r="CA24" s="11">
        <f>75046.6398849667/(10^3)</f>
        <v>75.046639884966709</v>
      </c>
      <c r="CB24" s="11">
        <f>73853.8232227463/(10^3)</f>
        <v>73.8538232227463</v>
      </c>
      <c r="CC24" s="12"/>
      <c r="CZ24" s="11">
        <v>88.042478461441547</v>
      </c>
      <c r="DA24" s="11">
        <v>101.63452325458894</v>
      </c>
      <c r="DB24" s="11">
        <v>138.29528010259742</v>
      </c>
      <c r="DC24" s="11">
        <v>97.084105868621421</v>
      </c>
      <c r="DD24" s="11">
        <v>91.47477361728923</v>
      </c>
      <c r="DE24" s="11">
        <v>72.596845981242765</v>
      </c>
      <c r="DG24" s="11">
        <v>72.644297156886736</v>
      </c>
      <c r="DH24" s="11">
        <v>82.434754267172863</v>
      </c>
      <c r="DI24" s="11">
        <v>118.8829200229723</v>
      </c>
      <c r="DJ24" s="11">
        <v>119.73289479277945</v>
      </c>
      <c r="DK24" s="11">
        <v>83.207024992161109</v>
      </c>
      <c r="DL24" s="11">
        <v>81.336704228550246</v>
      </c>
      <c r="DN24" s="11"/>
    </row>
    <row r="25" spans="4:118" outlineLevel="1" x14ac:dyDescent="0.25">
      <c r="D25" s="10" t="s">
        <v>106</v>
      </c>
      <c r="E25" s="10" t="s">
        <v>95</v>
      </c>
      <c r="F25" s="10" t="s">
        <v>149</v>
      </c>
      <c r="G25" s="10"/>
      <c r="H25" s="62" t="str">
        <f t="shared" si="2"/>
        <v xml:space="preserve">Cleveland </v>
      </c>
      <c r="I25" s="11">
        <f>126969/(10^3)</f>
        <v>126.96899999999999</v>
      </c>
      <c r="J25" s="11">
        <f>128822.008668504/(10^3)</f>
        <v>128.822008668504</v>
      </c>
      <c r="K25" s="11">
        <f>12530072.6514031/(10^3)</f>
        <v>12530.072651403099</v>
      </c>
      <c r="L25" s="11">
        <f>124645.586348598/(10^3)</f>
        <v>124.64558634859799</v>
      </c>
      <c r="M25" s="11">
        <f>130736.55141398/(10^3)</f>
        <v>130.73655141398001</v>
      </c>
      <c r="N25" s="11">
        <f>142512.367486372/(10^3)</f>
        <v>142.512367486372</v>
      </c>
      <c r="O25" s="11">
        <f>148514.340806125/(10^3)</f>
        <v>148.51434080612501</v>
      </c>
      <c r="P25" s="11">
        <f>150502.49822287/(10^3)</f>
        <v>150.50249822287</v>
      </c>
      <c r="Q25" s="11">
        <f>1563.2702715925/(10^3)</f>
        <v>1.5632702715925</v>
      </c>
      <c r="R25" s="11">
        <f>159399.350158431/(10^3)</f>
        <v>159.39935015843102</v>
      </c>
      <c r="S25" s="11">
        <f>151873.132198806/(10^3)</f>
        <v>151.87313219880602</v>
      </c>
      <c r="T25" s="11">
        <f>147418.031907588/(10^3)</f>
        <v>147.41803190758802</v>
      </c>
      <c r="U25" s="11">
        <f>147010.345947773/(10^3)</f>
        <v>147.010345947773</v>
      </c>
      <c r="V25" s="11">
        <f>153561.971147117/(10^3)</f>
        <v>153.56197114711699</v>
      </c>
      <c r="W25" s="11">
        <f>15022193.7958739/(10^3)</f>
        <v>15022.193795873902</v>
      </c>
      <c r="X25" s="11">
        <f>155067.010491397/(10^3)</f>
        <v>155.06701049139699</v>
      </c>
      <c r="Y25" s="11">
        <f>154517.969654022/(10^3)</f>
        <v>154.51796965402198</v>
      </c>
      <c r="Z25" s="11">
        <f>167675.425778064/(10^3)</f>
        <v>167.67542577806401</v>
      </c>
      <c r="AA25" s="11">
        <f>170052.72776407/(10^3)</f>
        <v>170.05272776407</v>
      </c>
      <c r="AB25" s="11">
        <f>178329.69993464/(10^3)</f>
        <v>178.32969993463999</v>
      </c>
      <c r="AC25" s="11">
        <f>1868.80291614681/(10^3)</f>
        <v>1.86880291614681</v>
      </c>
      <c r="AD25" s="11">
        <f>186354.260426638/(10^3)</f>
        <v>186.35426042663801</v>
      </c>
      <c r="AE25" s="11">
        <f>175682.299164217/(10^3)</f>
        <v>175.682299164217</v>
      </c>
      <c r="AF25" s="11">
        <f>171527.128208835/(10^3)</f>
        <v>171.52712820883499</v>
      </c>
      <c r="AG25" s="11">
        <f>169396.843089392/(10^3)</f>
        <v>169.39684308939201</v>
      </c>
      <c r="AH25" s="11">
        <f>168481.226640298/(10^3)</f>
        <v>168.48122664029799</v>
      </c>
      <c r="AI25" s="11">
        <f>17438211.8624794/(10^3)</f>
        <v>17438.211862479398</v>
      </c>
      <c r="AJ25" s="11">
        <f>170872.126285183/(10^3)</f>
        <v>170.87212628518301</v>
      </c>
      <c r="AK25" s="11">
        <f>177014.015971292/(10^3)</f>
        <v>177.01401597129203</v>
      </c>
      <c r="AL25" s="11">
        <f>174777.824744495/(10^3)</f>
        <v>174.77782474449501</v>
      </c>
      <c r="AM25" s="11">
        <f>178759.640136524/(10^3)</f>
        <v>178.75964013652398</v>
      </c>
      <c r="AN25" s="11">
        <f>182945.663680482/(10^3)</f>
        <v>182.945663680482</v>
      </c>
      <c r="AO25" s="11">
        <f>1887.66231806644/(10^3)</f>
        <v>1.88766231806644</v>
      </c>
      <c r="AP25" s="11">
        <f>186963.669127997/(10^3)</f>
        <v>186.96366912799701</v>
      </c>
      <c r="AQ25" s="11">
        <f>186184.026673984/(10^3)</f>
        <v>186.18402667398399</v>
      </c>
      <c r="AR25" s="11">
        <f>180040.771025013/(10^3)</f>
        <v>180.04077102501302</v>
      </c>
      <c r="AS25" s="11">
        <f>173142.198680391/(10^3)</f>
        <v>173.142198680391</v>
      </c>
      <c r="AT25" s="11">
        <f>167898.563481004/(10^3)</f>
        <v>167.898563481004</v>
      </c>
      <c r="AU25" s="11">
        <f>16620136.926749/(10^3)</f>
        <v>16620.136926749001</v>
      </c>
      <c r="AV25" s="11">
        <f>162029.369766872/(10^3)</f>
        <v>162.02936976687201</v>
      </c>
      <c r="AW25" s="11">
        <f>159844.314337972/(10^3)</f>
        <v>159.84431433797201</v>
      </c>
      <c r="AX25" s="11">
        <f>155579.951376179/(10^3)</f>
        <v>155.579951376179</v>
      </c>
      <c r="AY25" s="11">
        <f>155446.192388533/(10^3)</f>
        <v>155.44619238853301</v>
      </c>
      <c r="AZ25" s="11">
        <f>155246.382079482/(10^3)</f>
        <v>155.246382079482</v>
      </c>
      <c r="BA25" s="11">
        <f>1522.50022038839/(10^3)</f>
        <v>1.5225002203883902</v>
      </c>
      <c r="BB25" s="11">
        <f>145030.008700983/(10^3)</f>
        <v>145.03000870098299</v>
      </c>
      <c r="BC25" s="11">
        <f>139147.183183044/(10^3)</f>
        <v>139.14718318304398</v>
      </c>
      <c r="BD25" s="11">
        <f>136496.017562016/(10^3)</f>
        <v>136.49601756201599</v>
      </c>
      <c r="BE25" s="11">
        <f>132211.147182618/(10^3)</f>
        <v>132.21114718261799</v>
      </c>
      <c r="BF25" s="11">
        <f>130263.996924706/(10^3)</f>
        <v>130.26399692470602</v>
      </c>
      <c r="BG25" s="11">
        <f>12687089.770379/(10^3)</f>
        <v>12687.089770379</v>
      </c>
      <c r="BH25" s="11">
        <f>123792.472886214/(10^3)</f>
        <v>123.792472886214</v>
      </c>
      <c r="BI25" s="11">
        <f>125484.022236511/(10^3)</f>
        <v>125.484022236511</v>
      </c>
      <c r="BJ25" s="11">
        <f>131903.979692172/(10^3)</f>
        <v>131.90397969217199</v>
      </c>
      <c r="BK25" s="11">
        <f>132060.441305418/(10^3)</f>
        <v>132.06044130541801</v>
      </c>
      <c r="BL25" s="11">
        <f>137749.461854104/(10^3)</f>
        <v>137.749461854104</v>
      </c>
      <c r="BM25" s="11">
        <f>1432.18030453626/(10^3)</f>
        <v>1.4321803045362602</v>
      </c>
      <c r="BN25" s="11">
        <f>149119.329738618/(10^3)</f>
        <v>149.11932973861798</v>
      </c>
      <c r="BO25" s="11">
        <f>134351.765555615/(10^3)</f>
        <v>134.351765555615</v>
      </c>
      <c r="BP25" s="11">
        <f>122008.763842949/(10^3)</f>
        <v>122.00876384294901</v>
      </c>
      <c r="BQ25" s="11">
        <f>116850.337401887/(10^3)</f>
        <v>116.85033740188699</v>
      </c>
      <c r="BR25" s="11">
        <f>107068.913108716/(10^3)</f>
        <v>107.068913108716</v>
      </c>
      <c r="BS25" s="11">
        <f>10110290.4420295/(10^3)</f>
        <v>10110.2904420295</v>
      </c>
      <c r="BT25" s="11">
        <f>96302.1776806078/(10^3)</f>
        <v>96.302177680607798</v>
      </c>
      <c r="BU25" s="11">
        <f>90995.1804576695/(10^3)</f>
        <v>90.995180457669505</v>
      </c>
      <c r="BV25" s="11">
        <f>83626.4574028612/(10^3)</f>
        <v>83.626457402861192</v>
      </c>
      <c r="BW25" s="11">
        <f>83532.033585316/(10^3)</f>
        <v>83.532033585316</v>
      </c>
      <c r="BX25" s="11">
        <f>85869.5856308575/(10^3)</f>
        <v>85.8695856308575</v>
      </c>
      <c r="BY25" s="11">
        <f>889.918881049513/(10^3)</f>
        <v>0.889918881049513</v>
      </c>
      <c r="BZ25" s="11">
        <f>87764.4237380346/(10^3)</f>
        <v>87.764423738034608</v>
      </c>
      <c r="CA25" s="11">
        <f>82159.1047523157/(10^3)</f>
        <v>82.159104752315699</v>
      </c>
      <c r="CB25" s="11">
        <f>78070.8025337912/(10^3)</f>
        <v>78.070802533791195</v>
      </c>
      <c r="CC25" s="12"/>
      <c r="CZ25" s="11">
        <v>156.32702715925026</v>
      </c>
      <c r="DA25" s="11">
        <v>186.88029161468057</v>
      </c>
      <c r="DB25" s="11">
        <v>188.7662318066437</v>
      </c>
      <c r="DC25" s="11">
        <v>152.25002203883884</v>
      </c>
      <c r="DD25" s="11">
        <v>143.21803045362637</v>
      </c>
      <c r="DE25" s="11">
        <v>88.991888104951286</v>
      </c>
      <c r="DG25" s="11">
        <v>125.30072651403083</v>
      </c>
      <c r="DH25" s="11">
        <v>150.22193795873929</v>
      </c>
      <c r="DI25" s="11">
        <v>174.38211862479406</v>
      </c>
      <c r="DJ25" s="11">
        <v>166.20136926749012</v>
      </c>
      <c r="DK25" s="11">
        <v>126.87089770378979</v>
      </c>
      <c r="DL25" s="11">
        <v>101.10290442029545</v>
      </c>
      <c r="DN25" s="11"/>
    </row>
    <row r="26" spans="4:118" outlineLevel="1" x14ac:dyDescent="0.25">
      <c r="D26" s="10" t="s">
        <v>107</v>
      </c>
      <c r="E26" s="10" t="s">
        <v>95</v>
      </c>
      <c r="F26" s="10" t="s">
        <v>149</v>
      </c>
      <c r="G26" s="10"/>
      <c r="H26" s="62" t="str">
        <f t="shared" si="2"/>
        <v xml:space="preserve">Cincinnati </v>
      </c>
      <c r="I26" s="11">
        <f>52556/(10^3)</f>
        <v>52.555999999999997</v>
      </c>
      <c r="J26" s="11">
        <f>51778.1345949833/(10^3)</f>
        <v>51.7781345949833</v>
      </c>
      <c r="K26" s="11">
        <f>5299513.59642094/(10^3)</f>
        <v>5299.5135964209403</v>
      </c>
      <c r="L26" s="11">
        <f>52957.4910060777/(10^3)</f>
        <v>52.957491006077696</v>
      </c>
      <c r="M26" s="11">
        <f>53822.7164949609/(10^3)</f>
        <v>53.8227164949609</v>
      </c>
      <c r="N26" s="11">
        <f>58332.5286489891/(10^3)</f>
        <v>58.332528648989097</v>
      </c>
      <c r="O26" s="11">
        <f>60166.0577355561/(10^3)</f>
        <v>60.166057735556102</v>
      </c>
      <c r="P26" s="11">
        <f>63143.498357252/(10^3)</f>
        <v>63.143498357252</v>
      </c>
      <c r="Q26" s="11">
        <f>636.782447976878/(10^3)</f>
        <v>0.636782447976878</v>
      </c>
      <c r="R26" s="11">
        <f>63792.1039968318/(10^3)</f>
        <v>63.792103996831798</v>
      </c>
      <c r="S26" s="11">
        <f>63420.0967450875/(10^3)</f>
        <v>63.420096745087505</v>
      </c>
      <c r="T26" s="11">
        <f>61871.3521927483/(10^3)</f>
        <v>61.871352192748304</v>
      </c>
      <c r="U26" s="11">
        <f>60181.3131955647/(10^3)</f>
        <v>60.181313195564698</v>
      </c>
      <c r="V26" s="11">
        <f>59612.9514439729/(10^3)</f>
        <v>59.612951443972904</v>
      </c>
      <c r="W26" s="11">
        <f>5913939.63229349/(10^3)</f>
        <v>5913.9396322934899</v>
      </c>
      <c r="X26" s="11">
        <f>61170.3471045683/(10^3)</f>
        <v>61.1703471045683</v>
      </c>
      <c r="Y26" s="11">
        <f>62598.6592168439/(10^3)</f>
        <v>62.598659216843899</v>
      </c>
      <c r="Z26" s="11">
        <f>61913.4565449114/(10^3)</f>
        <v>61.913456544911405</v>
      </c>
      <c r="AA26" s="11">
        <f>64808.1602295556/(10^3)</f>
        <v>64.808160229555597</v>
      </c>
      <c r="AB26" s="11">
        <f>66908.6277250739/(10^3)</f>
        <v>66.908627725073899</v>
      </c>
      <c r="AC26" s="11">
        <f>663.061309964019/(10^3)</f>
        <v>0.66306130996401891</v>
      </c>
      <c r="AD26" s="11">
        <f>66182.4231797937/(10^3)</f>
        <v>66.182423179793702</v>
      </c>
      <c r="AE26" s="11">
        <f>66105.9009586765/(10^3)</f>
        <v>66.1059009586765</v>
      </c>
      <c r="AF26" s="11">
        <f>64915.3201585615/(10^3)</f>
        <v>64.915320158561499</v>
      </c>
      <c r="AG26" s="11">
        <f>63504.4663970747/(10^3)</f>
        <v>63.504466397074701</v>
      </c>
      <c r="AH26" s="11">
        <f>63130.4632581109/(10^3)</f>
        <v>63.1304632581109</v>
      </c>
      <c r="AI26" s="11">
        <f>6610263.57155127/(10^3)</f>
        <v>6610.2635715512697</v>
      </c>
      <c r="AJ26" s="11">
        <f>64719.0271247904/(10^3)</f>
        <v>64.719027124790401</v>
      </c>
      <c r="AK26" s="11">
        <f>63043.7005528677/(10^3)</f>
        <v>63.043700552867698</v>
      </c>
      <c r="AL26" s="11">
        <f>64286.7940913687/(10^3)</f>
        <v>64.286794091368705</v>
      </c>
      <c r="AM26" s="11">
        <f>64491.1332026248/(10^3)</f>
        <v>64.491133202624795</v>
      </c>
      <c r="AN26" s="11">
        <f>66091.1612390729/(10^3)</f>
        <v>66.091161239072903</v>
      </c>
      <c r="AO26" s="11">
        <f>667.196992712122/(10^3)</f>
        <v>0.66719699271212196</v>
      </c>
      <c r="AP26" s="11">
        <f>69250.4959530362/(10^3)</f>
        <v>69.250495953036193</v>
      </c>
      <c r="AQ26" s="11">
        <f>63250.791069798/(10^3)</f>
        <v>63.250791069797998</v>
      </c>
      <c r="AR26" s="11">
        <f>60267.900269049/(10^3)</f>
        <v>60.267900269049001</v>
      </c>
      <c r="AS26" s="11">
        <f>58117.4731586019/(10^3)</f>
        <v>58.117473158601896</v>
      </c>
      <c r="AT26" s="11">
        <f>56863.8649267969/(10^3)</f>
        <v>56.8638649267969</v>
      </c>
      <c r="AU26" s="11">
        <f>5609769.43704577/(10^3)</f>
        <v>5609.7694370457693</v>
      </c>
      <c r="AV26" s="11">
        <f>54648.1990965161/(10^3)</f>
        <v>54.648199096516102</v>
      </c>
      <c r="AW26" s="11">
        <f>55484.7904727116/(10^3)</f>
        <v>55.484790472711595</v>
      </c>
      <c r="AX26" s="11">
        <f>56448.6262937642/(10^3)</f>
        <v>56.4486262937642</v>
      </c>
      <c r="AY26" s="11">
        <f>57494.7637644261/(10^3)</f>
        <v>57.494763764426096</v>
      </c>
      <c r="AZ26" s="11">
        <f>59555.9910788891/(10^3)</f>
        <v>59.5559910788891</v>
      </c>
      <c r="BA26" s="11">
        <f>612.05558129598/(10^3)</f>
        <v>0.61205558129598003</v>
      </c>
      <c r="BB26" s="11">
        <f>60556.0465010125/(10^3)</f>
        <v>60.556046501012496</v>
      </c>
      <c r="BC26" s="11">
        <f>54771.9391627723/(10^3)</f>
        <v>54.771939162772298</v>
      </c>
      <c r="BD26" s="11">
        <f>53869.4225505025/(10^3)</f>
        <v>53.869422550502506</v>
      </c>
      <c r="BE26" s="11">
        <f>52596.8382448182/(10^3)</f>
        <v>52.596838244818201</v>
      </c>
      <c r="BF26" s="11">
        <f>54191.6942603157/(10^3)</f>
        <v>54.1916942603157</v>
      </c>
      <c r="BG26" s="11">
        <f>5524531.79115591/(10^3)</f>
        <v>5524.5317911559105</v>
      </c>
      <c r="BH26" s="11">
        <f>55928.7054367688/(10^3)</f>
        <v>55.928705436768801</v>
      </c>
      <c r="BI26" s="11">
        <f>57551.1185915265/(10^3)</f>
        <v>57.551118591526503</v>
      </c>
      <c r="BJ26" s="11">
        <f>59789.4996333272/(10^3)</f>
        <v>59.789499633327196</v>
      </c>
      <c r="BK26" s="11">
        <f>60898.8403633651/(10^3)</f>
        <v>60.898840363365103</v>
      </c>
      <c r="BL26" s="11">
        <f>62512.2122945899/(10^3)</f>
        <v>62.512212294589901</v>
      </c>
      <c r="BM26" s="11">
        <f>626.134048118968/(10^3)</f>
        <v>0.626134048118968</v>
      </c>
      <c r="BN26" s="11">
        <f>63640.2882837277/(10^3)</f>
        <v>63.640288283727699</v>
      </c>
      <c r="BO26" s="11">
        <f>62603.0581337671/(10^3)</f>
        <v>62.603058133767099</v>
      </c>
      <c r="BP26" s="11">
        <f>59694.023762905/(10^3)</f>
        <v>59.694023762905005</v>
      </c>
      <c r="BQ26" s="11">
        <f>57911.4321246089/(10^3)</f>
        <v>57.911432124608901</v>
      </c>
      <c r="BR26" s="11">
        <f>57431.7789463004/(10^3)</f>
        <v>57.431778946300398</v>
      </c>
      <c r="BS26" s="11">
        <f>5619447.80288741/(10^3)</f>
        <v>5619.44780288741</v>
      </c>
      <c r="BT26" s="11">
        <f>55083.8240321706/(10^3)</f>
        <v>55.083824032170604</v>
      </c>
      <c r="BU26" s="11">
        <f>54324.0026806776/(10^3)</f>
        <v>54.324002680677602</v>
      </c>
      <c r="BV26" s="11">
        <f>53861.4219176191/(10^3)</f>
        <v>53.861421917619104</v>
      </c>
      <c r="BW26" s="11">
        <f>53153.3442138324/(10^3)</f>
        <v>53.153344213832405</v>
      </c>
      <c r="BX26" s="11">
        <f>54683.7696004607/(10^3)</f>
        <v>54.6837696004607</v>
      </c>
      <c r="BY26" s="11">
        <f>565.029111138287/(10^3)</f>
        <v>0.56502911113828702</v>
      </c>
      <c r="BZ26" s="11">
        <f>54843.5482188604/(10^3)</f>
        <v>54.843548218860398</v>
      </c>
      <c r="CA26" s="11">
        <f>50657.2046301332/(10^3)</f>
        <v>50.657204630133201</v>
      </c>
      <c r="CB26" s="11">
        <f>48781.3669280783/(10^3)</f>
        <v>48.781366928078299</v>
      </c>
      <c r="CC26" s="12"/>
      <c r="CZ26" s="11">
        <v>63.678244797687768</v>
      </c>
      <c r="DA26" s="11">
        <v>66.30613099640189</v>
      </c>
      <c r="DB26" s="11">
        <v>66.719699271212221</v>
      </c>
      <c r="DC26" s="11">
        <v>61.205558129598039</v>
      </c>
      <c r="DD26" s="11">
        <v>62.613404811896793</v>
      </c>
      <c r="DE26" s="11">
        <v>56.502911113828674</v>
      </c>
      <c r="DG26" s="11">
        <v>52.995135964209446</v>
      </c>
      <c r="DH26" s="11">
        <v>59.13939632293495</v>
      </c>
      <c r="DI26" s="11">
        <v>66.102635715512733</v>
      </c>
      <c r="DJ26" s="11">
        <v>56.097694370457646</v>
      </c>
      <c r="DK26" s="11">
        <v>55.245317911559063</v>
      </c>
      <c r="DL26" s="11">
        <v>56.19447802887413</v>
      </c>
      <c r="DN26" s="11"/>
    </row>
    <row r="27" spans="4:118" outlineLevel="1" x14ac:dyDescent="0.25">
      <c r="D27" s="10" t="s">
        <v>108</v>
      </c>
      <c r="E27" s="10" t="s">
        <v>95</v>
      </c>
      <c r="F27" s="10" t="s">
        <v>149</v>
      </c>
      <c r="G27" s="10"/>
      <c r="H27" s="62" t="str">
        <f t="shared" si="2"/>
        <v xml:space="preserve">Toledo </v>
      </c>
      <c r="I27" s="11">
        <f>48083/(10^3)</f>
        <v>48.082999999999998</v>
      </c>
      <c r="J27" s="11">
        <f>48377.1891333083/(10^3)</f>
        <v>48.377189133308299</v>
      </c>
      <c r="K27" s="11">
        <f>4927000.77488533/(10^3)</f>
        <v>4927.0007748853304</v>
      </c>
      <c r="L27" s="11">
        <f>49254.0666866299/(10^3)</f>
        <v>49.254066686629898</v>
      </c>
      <c r="M27" s="11">
        <f>47841.2185027104/(10^3)</f>
        <v>47.841218502710397</v>
      </c>
      <c r="N27" s="11">
        <f>51367.6410015766/(10^3)</f>
        <v>51.367641001576601</v>
      </c>
      <c r="O27" s="11">
        <f>51718.46643142/(10^3)</f>
        <v>51.718466431419998</v>
      </c>
      <c r="P27" s="11">
        <f>51737.8887482419/(10^3)</f>
        <v>51.7378887482419</v>
      </c>
      <c r="Q27" s="11">
        <f>538.383368259222/(10^3)</f>
        <v>0.53838336825922206</v>
      </c>
      <c r="R27" s="11">
        <f>54458.2843174844/(10^3)</f>
        <v>54.458284317484399</v>
      </c>
      <c r="S27" s="11">
        <f>54307.4759495759/(10^3)</f>
        <v>54.307475949575903</v>
      </c>
      <c r="T27" s="11">
        <f>51602.05580607/(10^3)</f>
        <v>51.602055806069998</v>
      </c>
      <c r="U27" s="11">
        <f>50066.3746459164/(10^3)</f>
        <v>50.066374645916405</v>
      </c>
      <c r="V27" s="11">
        <f>52063.2942583333/(10^3)</f>
        <v>52.0632942583333</v>
      </c>
      <c r="W27" s="11">
        <f>5243157.16787585/(10^3)</f>
        <v>5243.1571678758501</v>
      </c>
      <c r="X27" s="11">
        <f>52555.8990287333/(10^3)</f>
        <v>52.5558990287333</v>
      </c>
      <c r="Y27" s="11">
        <f>52088.1360744568/(10^3)</f>
        <v>52.088136074456798</v>
      </c>
      <c r="Z27" s="11">
        <f>53589.3364505247/(10^3)</f>
        <v>53.589336450524698</v>
      </c>
      <c r="AA27" s="11">
        <f>53322.5624171651/(10^3)</f>
        <v>53.322562417165102</v>
      </c>
      <c r="AB27" s="11">
        <f>53348.5787513236/(10^3)</f>
        <v>53.3485787513236</v>
      </c>
      <c r="AC27" s="11">
        <f>525.008204469778/(10^3)</f>
        <v>0.52500820446977803</v>
      </c>
      <c r="AD27" s="11">
        <f>52915.906050938/(10^3)</f>
        <v>52.915906050937998</v>
      </c>
      <c r="AE27" s="11">
        <f>49399.6556920117/(10^3)</f>
        <v>49.399655692011699</v>
      </c>
      <c r="AF27" s="11">
        <f>46570.3765843578/(10^3)</f>
        <v>46.570376584357803</v>
      </c>
      <c r="AG27" s="11">
        <f>46180.0645975468/(10^3)</f>
        <v>46.180064597546803</v>
      </c>
      <c r="AH27" s="11">
        <f>47400.3802391067/(10^3)</f>
        <v>47.400380239106703</v>
      </c>
      <c r="AI27" s="11">
        <f>4691875.5899904/(10^3)</f>
        <v>4691.8755899903999</v>
      </c>
      <c r="AJ27" s="11">
        <f>48327.2866951562/(10^3)</f>
        <v>48.327286695156204</v>
      </c>
      <c r="AK27" s="11">
        <f>47189.3272522884/(10^3)</f>
        <v>47.1893272522884</v>
      </c>
      <c r="AL27" s="11">
        <f>48992.4979133163/(10^3)</f>
        <v>48.992497913316299</v>
      </c>
      <c r="AM27" s="11">
        <f>50615.2161834647/(10^3)</f>
        <v>50.615216183464696</v>
      </c>
      <c r="AN27" s="11">
        <f>50712.0782077925/(10^3)</f>
        <v>50.712078207792501</v>
      </c>
      <c r="AO27" s="11">
        <f>511.031629857404/(10^3)</f>
        <v>0.51103162985740402</v>
      </c>
      <c r="AP27" s="11">
        <f>50918.7637649643/(10^3)</f>
        <v>50.918763764964304</v>
      </c>
      <c r="AQ27" s="11">
        <f>49967.5768728894/(10^3)</f>
        <v>49.967576872889403</v>
      </c>
      <c r="AR27" s="11">
        <f>47868.4616592589/(10^3)</f>
        <v>47.868461659258898</v>
      </c>
      <c r="AS27" s="11">
        <f>46407.9096090283/(10^3)</f>
        <v>46.407909609028302</v>
      </c>
      <c r="AT27" s="11">
        <f>45877.4663609109/(10^3)</f>
        <v>45.877466360910894</v>
      </c>
      <c r="AU27" s="11">
        <f>4405660.35577701/(10^3)</f>
        <v>4405.6603557770104</v>
      </c>
      <c r="AV27" s="11">
        <f>42325.2540059839/(10^3)</f>
        <v>42.325254005983901</v>
      </c>
      <c r="AW27" s="11">
        <f>44162.0882484315/(10^3)</f>
        <v>44.162088248431502</v>
      </c>
      <c r="AX27" s="11">
        <f>44413.5227911414/(10^3)</f>
        <v>44.413522791141396</v>
      </c>
      <c r="AY27" s="11">
        <f>45884.7735588887/(10^3)</f>
        <v>45.884773558888703</v>
      </c>
      <c r="AZ27" s="11">
        <f>47727.0294189265/(10^3)</f>
        <v>47.727029418926499</v>
      </c>
      <c r="BA27" s="11">
        <f>479.13150132338/(10^3)</f>
        <v>0.47913150132338</v>
      </c>
      <c r="BB27" s="11">
        <f>46877.2241512797/(10^3)</f>
        <v>46.877224151279698</v>
      </c>
      <c r="BC27" s="11">
        <f>45301.7576940467/(10^3)</f>
        <v>45.301757694046699</v>
      </c>
      <c r="BD27" s="11">
        <f>42521.7546109051/(10^3)</f>
        <v>42.521754610905106</v>
      </c>
      <c r="BE27" s="11">
        <f>42230.6813549322/(10^3)</f>
        <v>42.230681354932202</v>
      </c>
      <c r="BF27" s="11">
        <f>42477.7566983627/(10^3)</f>
        <v>42.477756698362697</v>
      </c>
      <c r="BG27" s="11">
        <f>4424003.17422304/(10^3)</f>
        <v>4424.0031742230403</v>
      </c>
      <c r="BH27" s="11">
        <f>45882.4439639808/(10^3)</f>
        <v>45.882443963980798</v>
      </c>
      <c r="BI27" s="11">
        <f>45449.5447726605/(10^3)</f>
        <v>45.449544772660495</v>
      </c>
      <c r="BJ27" s="11">
        <f>49361.5236838252/(10^3)</f>
        <v>49.361523683825205</v>
      </c>
      <c r="BK27" s="11">
        <f>50866.5734451347/(10^3)</f>
        <v>50.866573445134705</v>
      </c>
      <c r="BL27" s="11">
        <f>51103.4783954877/(10^3)</f>
        <v>51.103478395487699</v>
      </c>
      <c r="BM27" s="11">
        <f>533.691444388602/(10^3)</f>
        <v>0.53369144438860205</v>
      </c>
      <c r="BN27" s="11">
        <f>53174.5552810737/(10^3)</f>
        <v>53.174555281073701</v>
      </c>
      <c r="BO27" s="11">
        <f>52639.6276577049/(10^3)</f>
        <v>52.639627657704899</v>
      </c>
      <c r="BP27" s="11">
        <f>50266.1098555431/(10^3)</f>
        <v>50.2661098555431</v>
      </c>
      <c r="BQ27" s="11">
        <f>50144.5461772424/(10^3)</f>
        <v>50.144546177242404</v>
      </c>
      <c r="BR27" s="11">
        <f>48887.9790482805/(10^3)</f>
        <v>48.887979048280499</v>
      </c>
      <c r="BS27" s="11">
        <f>4880921.09422382/(10^3)</f>
        <v>4880.9210942238196</v>
      </c>
      <c r="BT27" s="11">
        <f>47697.8444133411/(10^3)</f>
        <v>47.697844413341102</v>
      </c>
      <c r="BU27" s="11">
        <f>47143.3240643391/(10^3)</f>
        <v>47.143324064339097</v>
      </c>
      <c r="BV27" s="11">
        <f>45772.2207676812/(10^3)</f>
        <v>45.772220767681205</v>
      </c>
      <c r="BW27" s="11">
        <f>44450.4957347454/(10^3)</f>
        <v>44.450495734745395</v>
      </c>
      <c r="BX27" s="11">
        <f>44707.5355839628/(10^3)</f>
        <v>44.707535583962802</v>
      </c>
      <c r="BY27" s="11">
        <f>454.30171974433/(10^3)</f>
        <v>0.45430171974432998</v>
      </c>
      <c r="BZ27" s="11">
        <f>47358.6720999771/(10^3)</f>
        <v>47.358672099977099</v>
      </c>
      <c r="CA27" s="11">
        <f>45979.6527590229/(10^3)</f>
        <v>45.979652759022905</v>
      </c>
      <c r="CB27" s="11">
        <f>44631.8737860379/(10^3)</f>
        <v>44.6318737860379</v>
      </c>
      <c r="CC27" s="12"/>
      <c r="CZ27" s="11">
        <v>53.838336825922205</v>
      </c>
      <c r="DA27" s="11">
        <v>52.500820446977762</v>
      </c>
      <c r="DB27" s="11">
        <v>51.103162985740411</v>
      </c>
      <c r="DC27" s="11">
        <v>47.913150132338046</v>
      </c>
      <c r="DD27" s="11">
        <v>53.369144438860204</v>
      </c>
      <c r="DE27" s="11">
        <v>45.430171974432966</v>
      </c>
      <c r="DG27" s="11">
        <v>49.270007748853331</v>
      </c>
      <c r="DH27" s="11">
        <v>52.43157167875848</v>
      </c>
      <c r="DI27" s="11">
        <v>46.918755899904042</v>
      </c>
      <c r="DJ27" s="11">
        <v>44.056603557770138</v>
      </c>
      <c r="DK27" s="11">
        <v>44.240031742230386</v>
      </c>
      <c r="DL27" s="11">
        <v>48.809210942238145</v>
      </c>
      <c r="DN27" s="11"/>
    </row>
    <row r="28" spans="4:118" ht="15" customHeight="1" outlineLevel="1" x14ac:dyDescent="0.25">
      <c r="D28" s="10" t="s">
        <v>110</v>
      </c>
      <c r="E28" s="10" t="s">
        <v>100</v>
      </c>
      <c r="F28" s="10" t="s">
        <v>180</v>
      </c>
      <c r="G28" s="10"/>
      <c r="H28" s="62" t="str">
        <f t="shared" si="2"/>
        <v xml:space="preserve">Harrisburg </v>
      </c>
      <c r="I28" s="11">
        <f>34998/(10^3)</f>
        <v>34.997999999999998</v>
      </c>
      <c r="J28" s="11">
        <f>36712.7932700905/(10^3)</f>
        <v>36.712793270090501</v>
      </c>
      <c r="K28" s="11">
        <f>3613041.62689899/(10^3)</f>
        <v>3613.0416268989902</v>
      </c>
      <c r="L28" s="11">
        <f>35234.7926364037/(10^3)</f>
        <v>35.234792636403697</v>
      </c>
      <c r="M28" s="11">
        <f>34217.9204488644/(10^3)</f>
        <v>34.217920448864405</v>
      </c>
      <c r="N28" s="11">
        <f>34718.6116485946/(10^3)</f>
        <v>34.718611648594596</v>
      </c>
      <c r="O28" s="11">
        <f>36391.5242035121/(10^3)</f>
        <v>36.391524203512098</v>
      </c>
      <c r="P28" s="11">
        <f>37534.6292149241/(10^3)</f>
        <v>37.534629214924095</v>
      </c>
      <c r="Q28" s="11">
        <f>378.266187963937/(10^3)</f>
        <v>0.37826618796393702</v>
      </c>
      <c r="R28" s="11">
        <f>38848.9944733776/(10^3)</f>
        <v>38.848994473377601</v>
      </c>
      <c r="S28" s="11">
        <f>38485.7902070887/(10^3)</f>
        <v>38.485790207088698</v>
      </c>
      <c r="T28" s="11">
        <f>37764.7301850049/(10^3)</f>
        <v>37.7647301850049</v>
      </c>
      <c r="U28" s="11">
        <f>36667.7808918814/(10^3)</f>
        <v>36.667780891881399</v>
      </c>
      <c r="V28" s="11">
        <f>36481.3164053559/(10^3)</f>
        <v>36.481316405355898</v>
      </c>
      <c r="W28" s="11">
        <f>3736409.94538653/(10^3)</f>
        <v>3736.4099453865301</v>
      </c>
      <c r="X28" s="11">
        <f>36489.3712508062/(10^3)</f>
        <v>36.489371250806201</v>
      </c>
      <c r="Y28" s="11">
        <f>38031.9733258208/(10^3)</f>
        <v>38.0319733258208</v>
      </c>
      <c r="Z28" s="11">
        <f>38289.8889541217/(10^3)</f>
        <v>38.2898889541217</v>
      </c>
      <c r="AA28" s="11">
        <f>40132.9995181035/(10^3)</f>
        <v>40.132999518103496</v>
      </c>
      <c r="AB28" s="11">
        <f>41521.3461602424/(10^3)</f>
        <v>41.521346160242402</v>
      </c>
      <c r="AC28" s="11">
        <f>428.598110022379/(10^3)</f>
        <v>0.42859811002237896</v>
      </c>
      <c r="AD28" s="11">
        <f>43463.1260949702/(10^3)</f>
        <v>43.4631260949702</v>
      </c>
      <c r="AE28" s="11">
        <f>43061.5140301303/(10^3)</f>
        <v>43.061514030130304</v>
      </c>
      <c r="AF28" s="11">
        <f>42347.4572254604/(10^3)</f>
        <v>42.347457225460396</v>
      </c>
      <c r="AG28" s="11">
        <f>42166.074673829/(10^3)</f>
        <v>42.166074673829002</v>
      </c>
      <c r="AH28" s="11">
        <f>41861.4495048314/(10^3)</f>
        <v>41.861449504831398</v>
      </c>
      <c r="AI28" s="11">
        <f>4318253.80957439/(10^3)</f>
        <v>4318.2538095743894</v>
      </c>
      <c r="AJ28" s="11">
        <f>44328.8110379345/(10^3)</f>
        <v>44.3288110379345</v>
      </c>
      <c r="AK28" s="11">
        <f>45252.208739511/(10^3)</f>
        <v>45.252208739510998</v>
      </c>
      <c r="AL28" s="11">
        <f>46445.9095568398/(10^3)</f>
        <v>46.445909556839794</v>
      </c>
      <c r="AM28" s="11">
        <f>47544.8394176693/(10^3)</f>
        <v>47.544839417669294</v>
      </c>
      <c r="AN28" s="11">
        <f>49492.2339292381/(10^3)</f>
        <v>49.492233929238097</v>
      </c>
      <c r="AO28" s="11">
        <f>505.792336966929/(10^3)</f>
        <v>0.50579233696692893</v>
      </c>
      <c r="AP28" s="11">
        <f>52614.2792756475/(10^3)</f>
        <v>52.614279275647505</v>
      </c>
      <c r="AQ28" s="11">
        <f>48215.3723083138/(10^3)</f>
        <v>48.215372308313803</v>
      </c>
      <c r="AR28" s="11">
        <f>47383.4666914527/(10^3)</f>
        <v>47.383466691452696</v>
      </c>
      <c r="AS28" s="11">
        <f>47375.3105769559/(10^3)</f>
        <v>47.375310576955897</v>
      </c>
      <c r="AT28" s="11">
        <f>45232.7854230165/(10^3)</f>
        <v>45.232785423016502</v>
      </c>
      <c r="AU28" s="11">
        <f>4320282.31446165/(10^3)</f>
        <v>4320.2823144616505</v>
      </c>
      <c r="AV28" s="11">
        <f>41432.3993651724/(10^3)</f>
        <v>41.432399365172401</v>
      </c>
      <c r="AW28" s="11">
        <f>43154.9403541049/(10^3)</f>
        <v>43.154940354104902</v>
      </c>
      <c r="AX28" s="11">
        <f>43711.7888574967/(10^3)</f>
        <v>43.7117888574967</v>
      </c>
      <c r="AY28" s="11">
        <f>45663.7165971851/(10^3)</f>
        <v>45.6637165971851</v>
      </c>
      <c r="AZ28" s="11">
        <f>47242.178126132/(10^3)</f>
        <v>47.242178126131996</v>
      </c>
      <c r="BA28" s="11">
        <f>474.881377482269/(10^3)</f>
        <v>0.474881377482269</v>
      </c>
      <c r="BB28" s="11">
        <f>47349.9109931049/(10^3)</f>
        <v>47.349910993104899</v>
      </c>
      <c r="BC28" s="11">
        <f>45999.1622313909/(10^3)</f>
        <v>45.999162231390905</v>
      </c>
      <c r="BD28" s="11">
        <f>43298.6082506817/(10^3)</f>
        <v>43.298608250681696</v>
      </c>
      <c r="BE28" s="11">
        <f>40367.1997781619/(10^3)</f>
        <v>40.367199778161897</v>
      </c>
      <c r="BF28" s="11">
        <f>41266.870961738/(10^3)</f>
        <v>41.266870961738</v>
      </c>
      <c r="BG28" s="11">
        <f>4097614.41277666/(10^3)</f>
        <v>4097.6144127766602</v>
      </c>
      <c r="BH28" s="11">
        <f>42174.4788799704/(10^3)</f>
        <v>42.174478879970394</v>
      </c>
      <c r="BI28" s="11">
        <f>43025.9285584618/(10^3)</f>
        <v>43.0259285584618</v>
      </c>
      <c r="BJ28" s="11">
        <f>45553.8726248179/(10^3)</f>
        <v>45.553872624817899</v>
      </c>
      <c r="BK28" s="11">
        <f>47117.745732151/(10^3)</f>
        <v>47.117745732151</v>
      </c>
      <c r="BL28" s="11">
        <f>48959.9625732256/(10^3)</f>
        <v>48.959962573225603</v>
      </c>
      <c r="BM28" s="11">
        <f>506.806969602986/(10^3)</f>
        <v>0.50680696960298599</v>
      </c>
      <c r="BN28" s="11">
        <f>49589.7889770098/(10^3)</f>
        <v>49.589788977009796</v>
      </c>
      <c r="BO28" s="11">
        <f>44640.4166061405/(10^3)</f>
        <v>44.640416606140498</v>
      </c>
      <c r="BP28" s="11">
        <f>43049.6731347969/(10^3)</f>
        <v>43.049673134796905</v>
      </c>
      <c r="BQ28" s="11">
        <f>42754.7714258775/(10^3)</f>
        <v>42.7547714258775</v>
      </c>
      <c r="BR28" s="11">
        <f>42211.8884003164/(10^3)</f>
        <v>42.211888400316397</v>
      </c>
      <c r="BS28" s="11">
        <f>4162590.14519383/(10^3)</f>
        <v>4162.5901451938298</v>
      </c>
      <c r="BT28" s="11">
        <f>41134.9610984575/(10^3)</f>
        <v>41.134961098457495</v>
      </c>
      <c r="BU28" s="11">
        <f>40659.8742048154/(10^3)</f>
        <v>40.659874204815402</v>
      </c>
      <c r="BV28" s="11">
        <f>39763.3186655852/(10^3)</f>
        <v>39.763318665585196</v>
      </c>
      <c r="BW28" s="11">
        <f>39502.7638864482/(10^3)</f>
        <v>39.5027638864482</v>
      </c>
      <c r="BX28" s="11">
        <f>39678.1943327199/(10^3)</f>
        <v>39.678194332719897</v>
      </c>
      <c r="BY28" s="11">
        <f>400.000904441007/(10^3)</f>
        <v>0.400000904441007</v>
      </c>
      <c r="BZ28" s="11">
        <f>40656.4551901138/(10^3)</f>
        <v>40.656455190113796</v>
      </c>
      <c r="CA28" s="11">
        <f>38038.0164212337/(10^3)</f>
        <v>38.038016421233699</v>
      </c>
      <c r="CB28" s="11">
        <f>38002.7607591155/(10^3)</f>
        <v>38.002760759115503</v>
      </c>
      <c r="CC28" s="12"/>
      <c r="CZ28" s="11">
        <v>37.82661879639371</v>
      </c>
      <c r="DA28" s="11">
        <v>42.859811002237876</v>
      </c>
      <c r="DB28" s="11">
        <v>50.579233696692953</v>
      </c>
      <c r="DC28" s="11">
        <v>47.488137748226926</v>
      </c>
      <c r="DD28" s="11">
        <v>50.680696960298597</v>
      </c>
      <c r="DE28" s="11">
        <v>40.000090444100699</v>
      </c>
      <c r="DG28" s="11">
        <v>36.130416268989883</v>
      </c>
      <c r="DH28" s="11">
        <v>37.3640994538653</v>
      </c>
      <c r="DI28" s="11">
        <v>43.182538095743851</v>
      </c>
      <c r="DJ28" s="11">
        <v>43.202823144616488</v>
      </c>
      <c r="DK28" s="11">
        <v>40.976144127766588</v>
      </c>
      <c r="DL28" s="11">
        <v>41.625901451938262</v>
      </c>
      <c r="DN28" s="11"/>
    </row>
    <row r="29" spans="4:118" outlineLevel="1" x14ac:dyDescent="0.25">
      <c r="D29" s="10" t="s">
        <v>112</v>
      </c>
      <c r="E29" s="10" t="s">
        <v>100</v>
      </c>
      <c r="F29" s="10" t="s">
        <v>180</v>
      </c>
      <c r="G29" s="10"/>
      <c r="H29" s="62" t="str">
        <f t="shared" si="2"/>
        <v xml:space="preserve">Philadelphia </v>
      </c>
      <c r="I29" s="11">
        <f>111485/(10^3)</f>
        <v>111.485</v>
      </c>
      <c r="J29" s="11">
        <f>108359.29120276/(10^3)</f>
        <v>108.35929120275999</v>
      </c>
      <c r="K29" s="11">
        <f>11165075.3498711/(10^3)</f>
        <v>11165.0753498711</v>
      </c>
      <c r="L29" s="11">
        <f>109871.187233353/(10^3)</f>
        <v>109.871187233353</v>
      </c>
      <c r="M29" s="11">
        <f>109421.477100448/(10^3)</f>
        <v>109.421477100448</v>
      </c>
      <c r="N29" s="11">
        <f>117958.375162572/(10^3)</f>
        <v>117.958375162572</v>
      </c>
      <c r="O29" s="11">
        <f>119512.780404337/(10^3)</f>
        <v>119.51278040433699</v>
      </c>
      <c r="P29" s="11">
        <f>125035.682591139/(10^3)</f>
        <v>125.03568259113901</v>
      </c>
      <c r="Q29" s="11">
        <f>1265.54361771728/(10^3)</f>
        <v>1.2655436177172801</v>
      </c>
      <c r="R29" s="11">
        <f>122977.470783421/(10^3)</f>
        <v>122.977470783421</v>
      </c>
      <c r="S29" s="11">
        <f>122725.888858983/(10^3)</f>
        <v>122.725888858983</v>
      </c>
      <c r="T29" s="11">
        <f>119627.628277001/(10^3)</f>
        <v>119.62762827700099</v>
      </c>
      <c r="U29" s="11">
        <f>119295.15821871/(10^3)</f>
        <v>119.29515821871</v>
      </c>
      <c r="V29" s="11">
        <f>115783.34367002/(10^3)</f>
        <v>115.78334367002</v>
      </c>
      <c r="W29" s="11">
        <f>12121764.7092736/(10^3)</f>
        <v>12121.764709273599</v>
      </c>
      <c r="X29" s="11">
        <f>124287.207751728/(10^3)</f>
        <v>124.287207751728</v>
      </c>
      <c r="Y29" s="11">
        <f>125433.999711247/(10^3)</f>
        <v>125.433999711247</v>
      </c>
      <c r="Z29" s="11">
        <f>121817.406448494/(10^3)</f>
        <v>121.817406448494</v>
      </c>
      <c r="AA29" s="11">
        <f>125523.766292239/(10^3)</f>
        <v>125.523766292239</v>
      </c>
      <c r="AB29" s="11">
        <f>126327.110581923/(10^3)</f>
        <v>126.32711058192299</v>
      </c>
      <c r="AC29" s="11">
        <f>1271.39875611271/(10^3)</f>
        <v>1.27139875611271</v>
      </c>
      <c r="AD29" s="11">
        <f>132857.419706516/(10^3)</f>
        <v>132.857419706516</v>
      </c>
      <c r="AE29" s="11">
        <f>128104.090401203/(10^3)</f>
        <v>128.104090401203</v>
      </c>
      <c r="AF29" s="11">
        <f>115840.356245018/(10^3)</f>
        <v>115.840356245018</v>
      </c>
      <c r="AG29" s="11">
        <f>114857.252567689/(10^3)</f>
        <v>114.857252567689</v>
      </c>
      <c r="AH29" s="11">
        <f>115146.000787194/(10^3)</f>
        <v>115.146000787194</v>
      </c>
      <c r="AI29" s="11">
        <f>11788792.4543417/(10^3)</f>
        <v>11788.792454341701</v>
      </c>
      <c r="AJ29" s="11">
        <f>114852.096736727/(10^3)</f>
        <v>114.85209673672701</v>
      </c>
      <c r="AK29" s="11">
        <f>112641.034491363/(10^3)</f>
        <v>112.641034491363</v>
      </c>
      <c r="AL29" s="11">
        <f>112884.571112752/(10^3)</f>
        <v>112.884571112752</v>
      </c>
      <c r="AM29" s="11">
        <f>118003.636251596/(10^3)</f>
        <v>118.00363625159601</v>
      </c>
      <c r="AN29" s="11">
        <f>121862.622400922/(10^3)</f>
        <v>121.86262240092201</v>
      </c>
      <c r="AO29" s="11">
        <f>1240.67982368204/(10^3)</f>
        <v>1.24067982368204</v>
      </c>
      <c r="AP29" s="11">
        <f>128570.149564014/(10^3)</f>
        <v>128.570149564014</v>
      </c>
      <c r="AQ29" s="11">
        <f>117787.333038895/(10^3)</f>
        <v>117.787333038895</v>
      </c>
      <c r="AR29" s="11">
        <f>114291.293263474/(10^3)</f>
        <v>114.291293263474</v>
      </c>
      <c r="AS29" s="11">
        <f>111393.481084783/(10^3)</f>
        <v>111.39348108478299</v>
      </c>
      <c r="AT29" s="11">
        <f>107497.102064293/(10^3)</f>
        <v>107.49710206429299</v>
      </c>
      <c r="AU29" s="11">
        <f>10617106.6227112/(10^3)</f>
        <v>10617.106622711201</v>
      </c>
      <c r="AV29" s="11">
        <f>105238.052952286/(10^3)</f>
        <v>105.238052952286</v>
      </c>
      <c r="AW29" s="11">
        <f>109017.120756849/(10^3)</f>
        <v>109.01712075684901</v>
      </c>
      <c r="AX29" s="11">
        <f>113958.585040989/(10^3)</f>
        <v>113.95858504098899</v>
      </c>
      <c r="AY29" s="11">
        <f>117662.537798392/(10^3)</f>
        <v>117.66253779839201</v>
      </c>
      <c r="AZ29" s="11">
        <f>118408.792025468/(10^3)</f>
        <v>118.408792025468</v>
      </c>
      <c r="BA29" s="11">
        <f>1243.13767216796/(10^3)</f>
        <v>1.2431376721679601</v>
      </c>
      <c r="BB29" s="11">
        <f>124328.220865225/(10^3)</f>
        <v>124.32822086522499</v>
      </c>
      <c r="BC29" s="11">
        <f>115004.845066374/(10^3)</f>
        <v>115.00484506637399</v>
      </c>
      <c r="BD29" s="11">
        <f>114218.048261061/(10^3)</f>
        <v>114.218048261061</v>
      </c>
      <c r="BE29" s="11">
        <f>106257.187978758/(10^3)</f>
        <v>106.257187978758</v>
      </c>
      <c r="BF29" s="11">
        <f>107497.234362883/(10^3)</f>
        <v>107.49723436288299</v>
      </c>
      <c r="BG29" s="11">
        <f>11260090.2199533/(10^3)</f>
        <v>11260.090219953301</v>
      </c>
      <c r="BH29" s="11">
        <f>116277.669307976/(10^3)</f>
        <v>116.277669307976</v>
      </c>
      <c r="BI29" s="11">
        <f>113197.736386115/(10^3)</f>
        <v>113.197736386115</v>
      </c>
      <c r="BJ29" s="11">
        <f>118521.328744405/(10^3)</f>
        <v>118.521328744405</v>
      </c>
      <c r="BK29" s="11">
        <f>124442.603943848/(10^3)</f>
        <v>124.442603943848</v>
      </c>
      <c r="BL29" s="11">
        <f>128725.873880989/(10^3)</f>
        <v>128.72587388098901</v>
      </c>
      <c r="BM29" s="11">
        <f>1336.76974077485/(10^3)</f>
        <v>1.33676974077485</v>
      </c>
      <c r="BN29" s="11">
        <f>134219.940261858/(10^3)</f>
        <v>134.219940261858</v>
      </c>
      <c r="BO29" s="11">
        <f>129554.912033549/(10^3)</f>
        <v>129.55491203354899</v>
      </c>
      <c r="BP29" s="11">
        <f>124496.296485372/(10^3)</f>
        <v>124.496296485372</v>
      </c>
      <c r="BQ29" s="11">
        <f>123122.292919384/(10^3)</f>
        <v>123.12229291938399</v>
      </c>
      <c r="BR29" s="11">
        <f>119794.371513415/(10^3)</f>
        <v>119.794371513415</v>
      </c>
      <c r="BS29" s="11">
        <f>11736844.2862672/(10^3)</f>
        <v>11736.8442862672</v>
      </c>
      <c r="BT29" s="11">
        <f>116015.561028679/(10^3)</f>
        <v>116.015561028679</v>
      </c>
      <c r="BU29" s="11">
        <f>113789.884066742/(10^3)</f>
        <v>113.789884066742</v>
      </c>
      <c r="BV29" s="11">
        <f>111050.042040625/(10^3)</f>
        <v>111.050042040625</v>
      </c>
      <c r="BW29" s="11">
        <f>110058.894787659/(10^3)</f>
        <v>110.058894787659</v>
      </c>
      <c r="BX29" s="11">
        <f>111014.324244836/(10^3)</f>
        <v>111.01432424483599</v>
      </c>
      <c r="BY29" s="11">
        <f>1145.15717599059/(10^3)</f>
        <v>1.1451571759905901</v>
      </c>
      <c r="BZ29" s="11">
        <f>117729.032654827/(10^3)</f>
        <v>117.72903265482699</v>
      </c>
      <c r="CA29" s="11">
        <f>108388.186085306/(10^3)</f>
        <v>108.388186085306</v>
      </c>
      <c r="CB29" s="11">
        <f>105886.715760713/(10^3)</f>
        <v>105.886715760713</v>
      </c>
      <c r="CC29" s="12"/>
      <c r="CZ29" s="11">
        <v>126.55436177172844</v>
      </c>
      <c r="DA29" s="11">
        <v>127.13987561127054</v>
      </c>
      <c r="DB29" s="11">
        <v>124.06798236820387</v>
      </c>
      <c r="DC29" s="11">
        <v>124.31376721679612</v>
      </c>
      <c r="DD29" s="11">
        <v>133.67697407748491</v>
      </c>
      <c r="DE29" s="11">
        <v>114.51571759905939</v>
      </c>
      <c r="DG29" s="11">
        <v>111.6507534987108</v>
      </c>
      <c r="DH29" s="11">
        <v>121.21764709273641</v>
      </c>
      <c r="DI29" s="11">
        <v>117.88792454341744</v>
      </c>
      <c r="DJ29" s="11">
        <v>106.17106622711246</v>
      </c>
      <c r="DK29" s="11">
        <v>112.60090219953292</v>
      </c>
      <c r="DL29" s="11">
        <v>117.36844286267203</v>
      </c>
      <c r="DN29" s="11"/>
    </row>
    <row r="30" spans="4:118" outlineLevel="1" x14ac:dyDescent="0.25">
      <c r="D30" s="10" t="s">
        <v>114</v>
      </c>
      <c r="E30" s="10" t="s">
        <v>103</v>
      </c>
      <c r="F30" s="10" t="s">
        <v>180</v>
      </c>
      <c r="G30" s="10"/>
      <c r="H30" s="62" t="str">
        <f t="shared" si="2"/>
        <v xml:space="preserve">Providence </v>
      </c>
      <c r="I30" s="11">
        <f>12800/(10^3)</f>
        <v>12.8</v>
      </c>
      <c r="J30" s="11">
        <f>12889.451288834/(10^3)</f>
        <v>12.889451288834</v>
      </c>
      <c r="K30" s="11">
        <f>1264033.18101007/(10^3)</f>
        <v>1264.0331810100699</v>
      </c>
      <c r="L30" s="11">
        <f>12362.5820716958/(10^3)</f>
        <v>12.362582071695801</v>
      </c>
      <c r="M30" s="11">
        <f>12153.8326510236/(10^3)</f>
        <v>12.153832651023601</v>
      </c>
      <c r="N30" s="11">
        <f>12458.8331762848/(10^3)</f>
        <v>12.458833176284799</v>
      </c>
      <c r="O30" s="11">
        <f>12819.437795726/(10^3)</f>
        <v>12.819437795726</v>
      </c>
      <c r="P30" s="11">
        <f>12950.9794755337/(10^3)</f>
        <v>12.950979475533702</v>
      </c>
      <c r="Q30" s="11">
        <f>131.233160785887/(10^3)</f>
        <v>0.13123316078588701</v>
      </c>
      <c r="R30" s="11">
        <f>13471.5738104953/(10^3)</f>
        <v>13.4715738104953</v>
      </c>
      <c r="S30" s="11">
        <f>12400.6146638301/(10^3)</f>
        <v>12.400614663830099</v>
      </c>
      <c r="T30" s="11">
        <f>11926.4725210881/(10^3)</f>
        <v>11.926472521088101</v>
      </c>
      <c r="U30" s="11">
        <f>11635.4493697614/(10^3)</f>
        <v>11.6354493697614</v>
      </c>
      <c r="V30" s="11">
        <f>12139.0221062706/(10^3)</f>
        <v>12.1390221062706</v>
      </c>
      <c r="W30" s="11">
        <f>1188863.87815308/(10^3)</f>
        <v>1188.8638781530799</v>
      </c>
      <c r="X30" s="11">
        <f>11748.2947652819/(10^3)</f>
        <v>11.7482947652819</v>
      </c>
      <c r="Y30" s="11">
        <f>12282.5680888686/(10^3)</f>
        <v>12.282568088868601</v>
      </c>
      <c r="Z30" s="11">
        <f>12084.9225705803/(10^3)</f>
        <v>12.0849225705803</v>
      </c>
      <c r="AA30" s="11">
        <f>12267.9700637734/(10^3)</f>
        <v>12.267970063773401</v>
      </c>
      <c r="AB30" s="11">
        <f>12203.6548402116/(10^3)</f>
        <v>12.2036548402116</v>
      </c>
      <c r="AC30" s="11">
        <f>126.320149157165/(10^3)</f>
        <v>0.126320149157165</v>
      </c>
      <c r="AD30" s="11">
        <f>12385.9687995091/(10^3)</f>
        <v>12.385968799509101</v>
      </c>
      <c r="AE30" s="11">
        <f>11367.2088943693/(10^3)</f>
        <v>11.3672088943693</v>
      </c>
      <c r="AF30" s="11">
        <f>11157.6674095722/(10^3)</f>
        <v>11.157667409572198</v>
      </c>
      <c r="AG30" s="11">
        <f>10841.2513027927/(10^3)</f>
        <v>10.841251302792699</v>
      </c>
      <c r="AH30" s="11">
        <f>10807.0305965548/(10^3)</f>
        <v>10.807030596554799</v>
      </c>
      <c r="AI30" s="11">
        <f>1112031.5895684/(10^3)</f>
        <v>1112.0315895684</v>
      </c>
      <c r="AJ30" s="11">
        <f>11366.3185356471/(10^3)</f>
        <v>11.3663185356471</v>
      </c>
      <c r="AK30" s="11">
        <f>11073.3006394809/(10^3)</f>
        <v>11.0733006394809</v>
      </c>
      <c r="AL30" s="11">
        <f>11607.2392826792/(10^3)</f>
        <v>11.607239282679201</v>
      </c>
      <c r="AM30" s="11">
        <f>11473.8643847155/(10^3)</f>
        <v>11.473864384715499</v>
      </c>
      <c r="AN30" s="11">
        <f>11298.0095320156/(10^3)</f>
        <v>11.2980095320156</v>
      </c>
      <c r="AO30" s="11">
        <f>112.65048212655/(10^3)</f>
        <v>0.11265048212655</v>
      </c>
      <c r="AP30" s="11">
        <f>11303.7780954344/(10^3)</f>
        <v>11.303778095434399</v>
      </c>
      <c r="AQ30" s="11">
        <f>11431.4786835974/(10^3)</f>
        <v>11.431478683597399</v>
      </c>
      <c r="AR30" s="11">
        <f>11938.6862962858/(10^3)</f>
        <v>11.9386862962858</v>
      </c>
      <c r="AS30" s="11">
        <f>11912.2258840349/(10^3)</f>
        <v>11.9122258840349</v>
      </c>
      <c r="AT30" s="11">
        <f>11809.4171030379/(10^3)</f>
        <v>11.8094171030379</v>
      </c>
      <c r="AU30" s="11">
        <f>1193105.95156076/(10^3)</f>
        <v>1193.1059515607599</v>
      </c>
      <c r="AV30" s="11">
        <f>12038.7469379353/(10^3)</f>
        <v>12.038746937935301</v>
      </c>
      <c r="AW30" s="11">
        <f>12105.5808538758/(10^3)</f>
        <v>12.1055808538758</v>
      </c>
      <c r="AX30" s="11">
        <f>13085.8710528823/(10^3)</f>
        <v>13.085871052882299</v>
      </c>
      <c r="AY30" s="11">
        <f>13725.690893642/(10^3)</f>
        <v>13.725690893642</v>
      </c>
      <c r="AZ30" s="11">
        <f>14131.1782810176/(10^3)</f>
        <v>14.131178281017599</v>
      </c>
      <c r="BA30" s="11">
        <f>147.418568913066/(10^3)</f>
        <v>0.14741856891306598</v>
      </c>
      <c r="BB30" s="11">
        <f>14562.9454558783/(10^3)</f>
        <v>14.5629454558783</v>
      </c>
      <c r="BC30" s="11">
        <f>13725.3756844523/(10^3)</f>
        <v>13.725375684452299</v>
      </c>
      <c r="BD30" s="11">
        <f>13080.1255933515/(10^3)</f>
        <v>13.0801255933515</v>
      </c>
      <c r="BE30" s="11">
        <f>11833.248611113/(10^3)</f>
        <v>11.833248611113</v>
      </c>
      <c r="BF30" s="11">
        <f>11878.4907850023/(10^3)</f>
        <v>11.878490785002299</v>
      </c>
      <c r="BG30" s="11">
        <f>1229913.93639866/(10^3)</f>
        <v>1229.9139363986601</v>
      </c>
      <c r="BH30" s="11">
        <f>12642.4363122904/(10^3)</f>
        <v>12.6424363122904</v>
      </c>
      <c r="BI30" s="11">
        <f>13124.4783725437/(10^3)</f>
        <v>13.124478372543699</v>
      </c>
      <c r="BJ30" s="11">
        <f>13223.8038334746/(10^3)</f>
        <v>13.2238038334746</v>
      </c>
      <c r="BK30" s="11">
        <f>13534.6857709628/(10^3)</f>
        <v>13.534685770962801</v>
      </c>
      <c r="BL30" s="11">
        <f>13775.9584106299/(10^3)</f>
        <v>13.775958410629901</v>
      </c>
      <c r="BM30" s="11">
        <f>143.563106181526/(10^3)</f>
        <v>0.14356310618152598</v>
      </c>
      <c r="BN30" s="11">
        <f>14232.4724512034/(10^3)</f>
        <v>14.232472451203401</v>
      </c>
      <c r="BO30" s="11">
        <f>13359.9512381631/(10^3)</f>
        <v>13.359951238163099</v>
      </c>
      <c r="BP30" s="11">
        <f>12934.0619896926/(10^3)</f>
        <v>12.9340619896926</v>
      </c>
      <c r="BQ30" s="11">
        <f>12880.0740739669/(10^3)</f>
        <v>12.880074073966901</v>
      </c>
      <c r="BR30" s="11">
        <f>12507.5682449513/(10^3)</f>
        <v>12.507568244951301</v>
      </c>
      <c r="BS30" s="11">
        <f>1242622.47760052/(10^3)</f>
        <v>1242.6224776005199</v>
      </c>
      <c r="BT30" s="11">
        <f>12165.4828423209/(10^3)</f>
        <v>12.1654828423209</v>
      </c>
      <c r="BU30" s="11">
        <f>11869.9001173208/(10^3)</f>
        <v>11.8699001173208</v>
      </c>
      <c r="BV30" s="11">
        <f>11515.2739034883/(10^3)</f>
        <v>11.5152739034883</v>
      </c>
      <c r="BW30" s="11">
        <f>11266.0205895186/(10^3)</f>
        <v>11.2660205895186</v>
      </c>
      <c r="BX30" s="11">
        <f>11759.0185005773/(10^3)</f>
        <v>11.7590185005773</v>
      </c>
      <c r="BY30" s="11">
        <f>118.862489745803/(10^3)</f>
        <v>0.118862489745803</v>
      </c>
      <c r="BZ30" s="11">
        <f>11753.8907576652/(10^3)</f>
        <v>11.7538907576652</v>
      </c>
      <c r="CA30" s="11">
        <f>11425.7050282503/(10^3)</f>
        <v>11.425705028250301</v>
      </c>
      <c r="CB30" s="11">
        <f>11005.7992173623/(10^3)</f>
        <v>11.0057992173623</v>
      </c>
      <c r="CC30" s="12"/>
      <c r="CZ30" s="11">
        <v>13.123316078588656</v>
      </c>
      <c r="DA30" s="11">
        <v>12.6320149157165</v>
      </c>
      <c r="DB30" s="11">
        <v>11.265048212655046</v>
      </c>
      <c r="DC30" s="11">
        <v>14.741856891306597</v>
      </c>
      <c r="DD30" s="11">
        <v>14.35631061815265</v>
      </c>
      <c r="DE30" s="11">
        <v>11.886248974580294</v>
      </c>
      <c r="DG30" s="11">
        <v>12.640331810100731</v>
      </c>
      <c r="DH30" s="11">
        <v>11.888638781530798</v>
      </c>
      <c r="DI30" s="11">
        <v>11.12031589568395</v>
      </c>
      <c r="DJ30" s="11">
        <v>11.931059515607636</v>
      </c>
      <c r="DK30" s="11">
        <v>12.299139363986603</v>
      </c>
      <c r="DL30" s="11">
        <v>12.426224776005231</v>
      </c>
      <c r="DN30" s="11"/>
    </row>
    <row r="31" spans="4:118" outlineLevel="1" x14ac:dyDescent="0.25">
      <c r="D31" s="10" t="s">
        <v>116</v>
      </c>
      <c r="E31" s="10" t="s">
        <v>104</v>
      </c>
      <c r="F31" s="10" t="s">
        <v>150</v>
      </c>
      <c r="G31" s="10"/>
      <c r="H31" s="62" t="str">
        <f t="shared" si="2"/>
        <v xml:space="preserve">Columbia </v>
      </c>
      <c r="I31" s="11">
        <f>9332/(10^3)</f>
        <v>9.3320000000000007</v>
      </c>
      <c r="J31" s="11">
        <f>9754.68273366962/(10^3)</f>
        <v>9.75468273366962</v>
      </c>
      <c r="K31" s="11">
        <f>1014611.27130063/(10^3)</f>
        <v>1014.6112713006299</v>
      </c>
      <c r="L31" s="11">
        <f>10095.8972008391/(10^3)</f>
        <v>10.095897200839099</v>
      </c>
      <c r="M31" s="11">
        <f>10393.8569579623/(10^3)</f>
        <v>10.393856957962299</v>
      </c>
      <c r="N31" s="11">
        <f>11174.990125537/(10^3)</f>
        <v>11.174990125537001</v>
      </c>
      <c r="O31" s="11">
        <f>11208.5744988071/(10^3)</f>
        <v>11.208574498807099</v>
      </c>
      <c r="P31" s="11">
        <f>11765.167602313/(10^3)</f>
        <v>11.765167602313001</v>
      </c>
      <c r="Q31" s="11">
        <f>123.026370452546/(10^3)</f>
        <v>0.12302637045254601</v>
      </c>
      <c r="R31" s="11">
        <f>12052.2172845774/(10^3)</f>
        <v>12.0522172845774</v>
      </c>
      <c r="S31" s="11">
        <f>11108.9374306966/(10^3)</f>
        <v>11.108937430696599</v>
      </c>
      <c r="T31" s="11">
        <f>11092.2509917231/(10^3)</f>
        <v>11.0922509917231</v>
      </c>
      <c r="U31" s="11">
        <f>10925.814813889/(10^3)</f>
        <v>10.925814813889</v>
      </c>
      <c r="V31" s="11">
        <f>10898.6572146114/(10^3)</f>
        <v>10.898657214611399</v>
      </c>
      <c r="W31" s="11">
        <f>1070681.00059708/(10^3)</f>
        <v>1070.6810005970799</v>
      </c>
      <c r="X31" s="11">
        <f>11229.8736495401/(10^3)</f>
        <v>11.229873649540101</v>
      </c>
      <c r="Y31" s="11">
        <f>11036.6890536853/(10^3)</f>
        <v>11.036689053685301</v>
      </c>
      <c r="Z31" s="11">
        <f>11555.7359535133/(10^3)</f>
        <v>11.555735953513301</v>
      </c>
      <c r="AA31" s="11">
        <f>11509.8249471237/(10^3)</f>
        <v>11.5098249471237</v>
      </c>
      <c r="AB31" s="11">
        <f>11219.7341405563/(10^3)</f>
        <v>11.2197341405563</v>
      </c>
      <c r="AC31" s="11">
        <f>111.152062467196/(10^3)</f>
        <v>0.111152062467196</v>
      </c>
      <c r="AD31" s="11">
        <f>11025.4718849569/(10^3)</f>
        <v>11.0254718849569</v>
      </c>
      <c r="AE31" s="11">
        <f>10280.8288833533/(10^3)</f>
        <v>10.280828883353301</v>
      </c>
      <c r="AF31" s="11">
        <f>10089.2080441995/(10^3)</f>
        <v>10.0892080441995</v>
      </c>
      <c r="AG31" s="11">
        <f>9940.77797781178/(10^3)</f>
        <v>9.9407779778117806</v>
      </c>
      <c r="AH31" s="11">
        <f>10253.7184858599/(10^3)</f>
        <v>10.253718485859899</v>
      </c>
      <c r="AI31" s="11">
        <f>995145.184830229/(10^3)</f>
        <v>995.14518483022903</v>
      </c>
      <c r="AJ31" s="11">
        <f>9824.13008251693/(10^3)</f>
        <v>9.8241300825169287</v>
      </c>
      <c r="AK31" s="11">
        <f>10093.7706052828/(10^3)</f>
        <v>10.093770605282799</v>
      </c>
      <c r="AL31" s="11">
        <f>10474.7524654653/(10^3)</f>
        <v>10.474752465465301</v>
      </c>
      <c r="AM31" s="11">
        <f>10708.6999946853/(10^3)</f>
        <v>10.708699994685299</v>
      </c>
      <c r="AN31" s="11">
        <f>10634.0450794755/(10^3)</f>
        <v>10.6340450794755</v>
      </c>
      <c r="AO31" s="11">
        <f>107.010463183482/(10^3)</f>
        <v>0.10701046318348201</v>
      </c>
      <c r="AP31" s="11">
        <f>10547.2955643289/(10^3)</f>
        <v>10.5472955643289</v>
      </c>
      <c r="AQ31" s="11">
        <f>10974.0416036119/(10^3)</f>
        <v>10.9740416036119</v>
      </c>
      <c r="AR31" s="11">
        <f>10831.4833633512/(10^3)</f>
        <v>10.8314833633512</v>
      </c>
      <c r="AS31" s="11">
        <f>11349.2496145364/(10^3)</f>
        <v>11.349249614536401</v>
      </c>
      <c r="AT31" s="11">
        <f>11574.8691673113/(10^3)</f>
        <v>11.5748691673113</v>
      </c>
      <c r="AU31" s="11">
        <f>1187723.57200581/(10^3)</f>
        <v>1187.72357200581</v>
      </c>
      <c r="AV31" s="11">
        <f>11783.8258534716/(10^3)</f>
        <v>11.783825853471601</v>
      </c>
      <c r="AW31" s="11">
        <f>12146.5331292571/(10^3)</f>
        <v>12.146533129257101</v>
      </c>
      <c r="AX31" s="11">
        <f>13337.6912782646/(10^3)</f>
        <v>13.3376912782646</v>
      </c>
      <c r="AY31" s="11">
        <f>13344.7214872884/(10^3)</f>
        <v>13.3447214872884</v>
      </c>
      <c r="AZ31" s="11">
        <f>13539.9404607366/(10^3)</f>
        <v>13.539940460736599</v>
      </c>
      <c r="BA31" s="11">
        <f>135.718544702507/(10^3)</f>
        <v>0.13571854470250699</v>
      </c>
      <c r="BB31" s="11">
        <f>13596.6503796697/(10^3)</f>
        <v>13.5966503796697</v>
      </c>
      <c r="BC31" s="11">
        <f>12841.0439905876/(10^3)</f>
        <v>12.841043990587599</v>
      </c>
      <c r="BD31" s="11">
        <f>11664.3560770711/(10^3)</f>
        <v>11.664356077071099</v>
      </c>
      <c r="BE31" s="11">
        <f>10698.4905336537/(10^3)</f>
        <v>10.698490533653699</v>
      </c>
      <c r="BF31" s="11">
        <f>10642.3152520563/(10^3)</f>
        <v>10.642315252056299</v>
      </c>
      <c r="BG31" s="11">
        <f>1067426.95485594/(10^3)</f>
        <v>1067.42695485594</v>
      </c>
      <c r="BH31" s="11">
        <f>10979.4854938736/(10^3)</f>
        <v>10.9794854938736</v>
      </c>
      <c r="BI31" s="11">
        <f>11380.5941130394/(10^3)</f>
        <v>11.3805941130394</v>
      </c>
      <c r="BJ31" s="11">
        <f>11515.8834750137/(10^3)</f>
        <v>11.5158834750137</v>
      </c>
      <c r="BK31" s="11">
        <f>11884.621767404/(10^3)</f>
        <v>11.884621767403999</v>
      </c>
      <c r="BL31" s="11">
        <f>12102.8416334645/(10^3)</f>
        <v>12.1028416334645</v>
      </c>
      <c r="BM31" s="11">
        <f>125.343639843519/(10^3)</f>
        <v>0.12534363984351901</v>
      </c>
      <c r="BN31" s="11">
        <f>12470.0476525194/(10^3)</f>
        <v>12.470047652519401</v>
      </c>
      <c r="BO31" s="11">
        <f>12302.8237440766/(10^3)</f>
        <v>12.302823744076601</v>
      </c>
      <c r="BP31" s="11">
        <f>12254.1684695737/(10^3)</f>
        <v>12.254168469573701</v>
      </c>
      <c r="BQ31" s="11">
        <f>12037.6895677502/(10^3)</f>
        <v>12.037689567750199</v>
      </c>
      <c r="BR31" s="11">
        <f>11798.1257844612/(10^3)</f>
        <v>11.798125784461199</v>
      </c>
      <c r="BS31" s="11">
        <f>1169940.63969683/(10^3)</f>
        <v>1169.94063969683</v>
      </c>
      <c r="BT31" s="11">
        <f>11407.7047358121/(10^3)</f>
        <v>11.4077047358121</v>
      </c>
      <c r="BU31" s="11">
        <f>11190.8999430016/(10^3)</f>
        <v>11.190899943001599</v>
      </c>
      <c r="BV31" s="11">
        <f>11170.4890609695/(10^3)</f>
        <v>11.1704890609695</v>
      </c>
      <c r="BW31" s="11">
        <f>11024.2533355697/(10^3)</f>
        <v>11.0242533355697</v>
      </c>
      <c r="BX31" s="11">
        <f>11139.4162477971/(10^3)</f>
        <v>11.139416247797101</v>
      </c>
      <c r="BY31" s="11">
        <f>113.451595219233/(10^3)</f>
        <v>0.113451595219233</v>
      </c>
      <c r="BZ31" s="11">
        <f>11345.1595219233/(10^3)</f>
        <v>11.3451595219233</v>
      </c>
      <c r="CA31" s="11">
        <f>10688.8089479065/(10^3)</f>
        <v>10.6888089479065</v>
      </c>
      <c r="CB31" s="11">
        <f>10409.8187204026/(10^3)</f>
        <v>10.409818720402599</v>
      </c>
      <c r="CC31" s="12"/>
      <c r="CZ31" s="11">
        <v>12.302637045254569</v>
      </c>
      <c r="DA31" s="11">
        <v>11.115206246719628</v>
      </c>
      <c r="DB31" s="11">
        <v>10.701046318348217</v>
      </c>
      <c r="DC31" s="11">
        <v>13.571854470250747</v>
      </c>
      <c r="DD31" s="11">
        <v>12.534363984351936</v>
      </c>
      <c r="DE31" s="11">
        <v>11.345159521923302</v>
      </c>
      <c r="DG31" s="11">
        <v>10.146112713006335</v>
      </c>
      <c r="DH31" s="11">
        <v>10.706810005970759</v>
      </c>
      <c r="DI31" s="11">
        <v>9.9514518483022893</v>
      </c>
      <c r="DJ31" s="11">
        <v>11.877235720058053</v>
      </c>
      <c r="DK31" s="11">
        <v>10.674269548559421</v>
      </c>
      <c r="DL31" s="11">
        <v>11.699406396968326</v>
      </c>
    </row>
    <row r="32" spans="4:118" outlineLevel="1" x14ac:dyDescent="0.25">
      <c r="D32" s="10" t="s">
        <v>117</v>
      </c>
      <c r="E32" s="10" t="s">
        <v>104</v>
      </c>
      <c r="F32" s="10" t="s">
        <v>150</v>
      </c>
      <c r="G32" s="10"/>
      <c r="H32" s="62" t="str">
        <f t="shared" si="2"/>
        <v xml:space="preserve">Charleston </v>
      </c>
      <c r="I32" s="11">
        <f>6107/(10^3)</f>
        <v>6.1070000000000002</v>
      </c>
      <c r="J32" s="11">
        <f>5937.71639573674/(10^3)</f>
        <v>5.9377163957367403</v>
      </c>
      <c r="K32" s="11">
        <f>579534.81661225/(10^3)</f>
        <v>579.5348166122501</v>
      </c>
      <c r="L32" s="11">
        <f>5623.07721424899/(10^3)</f>
        <v>5.6230772142489895</v>
      </c>
      <c r="M32" s="11">
        <f>5701.30958483361/(10^3)</f>
        <v>5.7013095848336102</v>
      </c>
      <c r="N32" s="11">
        <f>6139.48095688701/(10^3)</f>
        <v>6.1394809568870095</v>
      </c>
      <c r="O32" s="11">
        <f>6435.85429697286/(10^3)</f>
        <v>6.4358542969728596</v>
      </c>
      <c r="P32" s="11">
        <f>6439.62047283683/(10^3)</f>
        <v>6.4396204728368298</v>
      </c>
      <c r="Q32" s="11">
        <f>65.6394704790736/(10^3)</f>
        <v>6.5639470479073592E-2</v>
      </c>
      <c r="R32" s="11">
        <f>6834.49642336561/(10^3)</f>
        <v>6.8344964233656098</v>
      </c>
      <c r="S32" s="11">
        <f>6627.90698818141/(10^3)</f>
        <v>6.6279069881814099</v>
      </c>
      <c r="T32" s="11">
        <f>6360.34894904256/(10^3)</f>
        <v>6.3603489490425602</v>
      </c>
      <c r="U32" s="11">
        <f>6306.00900574405/(10^3)</f>
        <v>6.3060090057440501</v>
      </c>
      <c r="V32" s="11">
        <f>6462.5987720362/(10^3)</f>
        <v>6.4625987720362001</v>
      </c>
      <c r="W32" s="11">
        <f>646033.954703336/(10^3)</f>
        <v>646.03395470333601</v>
      </c>
      <c r="X32" s="11">
        <f>6307.72904359441/(10^3)</f>
        <v>6.30772904359441</v>
      </c>
      <c r="Y32" s="11">
        <f>6311.46938967713/(10^3)</f>
        <v>6.3114693896771294</v>
      </c>
      <c r="Z32" s="11">
        <f>6587.26319478991/(10^3)</f>
        <v>6.5872631947899096</v>
      </c>
      <c r="AA32" s="11">
        <f>6850.89811450349/(10^3)</f>
        <v>6.8508981145034902</v>
      </c>
      <c r="AB32" s="11">
        <f>7053.90818099328/(10^3)</f>
        <v>7.0539081809932807</v>
      </c>
      <c r="AC32" s="11">
        <f>72.4666676434861/(10^3)</f>
        <v>7.246666764348611E-2</v>
      </c>
      <c r="AD32" s="11">
        <f>7341.80288686917/(10^3)</f>
        <v>7.3418028868691696</v>
      </c>
      <c r="AE32" s="11">
        <f>7008.00062976361/(10^3)</f>
        <v>7.0080006297636102</v>
      </c>
      <c r="AF32" s="11">
        <f>6728.29447580309/(10^3)</f>
        <v>6.7282944758030903</v>
      </c>
      <c r="AG32" s="11">
        <f>6540.50146358051/(10^3)</f>
        <v>6.5405014635805099</v>
      </c>
      <c r="AH32" s="11">
        <f>6515.59408953635/(10^3)</f>
        <v>6.51559408953635</v>
      </c>
      <c r="AI32" s="11">
        <f>653177.285675186/(10^3)</f>
        <v>653.177285675186</v>
      </c>
      <c r="AJ32" s="11">
        <f>6474.24932820479/(10^3)</f>
        <v>6.4742493282047899</v>
      </c>
      <c r="AK32" s="11">
        <f>6395.31510393904/(10^3)</f>
        <v>6.3953151039390397</v>
      </c>
      <c r="AL32" s="11">
        <f>6424.89295984933/(10^3)</f>
        <v>6.4248929598493296</v>
      </c>
      <c r="AM32" s="11">
        <f>6592.18160313878/(10^3)</f>
        <v>6.5921816031387799</v>
      </c>
      <c r="AN32" s="11">
        <f>6727.42291234509/(10^3)</f>
        <v>6.7274229123450899</v>
      </c>
      <c r="AO32" s="11">
        <f>68.8414212859227/(10^3)</f>
        <v>6.8841421285922702E-2</v>
      </c>
      <c r="AP32" s="11">
        <f>6976.79031759844/(10^3)</f>
        <v>6.9767903175984403</v>
      </c>
      <c r="AQ32" s="11">
        <f>6789.62402477834/(10^3)</f>
        <v>6.7896240247783402</v>
      </c>
      <c r="AR32" s="11">
        <f>6935.51613244059/(10^3)</f>
        <v>6.9355161324405898</v>
      </c>
      <c r="AS32" s="11">
        <f>7018.55658782548/(10^3)</f>
        <v>7.0185565878254801</v>
      </c>
      <c r="AT32" s="11">
        <f>6977.29281647041/(10^3)</f>
        <v>6.9772928164704098</v>
      </c>
      <c r="AU32" s="11">
        <f>678653.74892043/(10^3)</f>
        <v>678.65374892042996</v>
      </c>
      <c r="AV32" s="11">
        <f>6777.62081172812/(10^3)</f>
        <v>6.77762081172812</v>
      </c>
      <c r="AW32" s="11">
        <f>6929.54983053126/(10^3)</f>
        <v>6.9295498305312604</v>
      </c>
      <c r="AX32" s="11">
        <f>7030.66451475057/(10^3)</f>
        <v>7.03066451475057</v>
      </c>
      <c r="AY32" s="11">
        <f>7048.13386725568/(10^3)</f>
        <v>7.0481338672556806</v>
      </c>
      <c r="AZ32" s="11">
        <f>7105.9722142286/(10^3)</f>
        <v>7.1059722142285997</v>
      </c>
      <c r="BA32" s="11">
        <f>72.5275990981389/(10^3)</f>
        <v>7.2527599098138898E-2</v>
      </c>
      <c r="BB32" s="11">
        <f>7224.04038036142/(10^3)</f>
        <v>7.2240403803614202</v>
      </c>
      <c r="BC32" s="11">
        <f>6917.70985860864/(10^3)</f>
        <v>6.9177098586086405</v>
      </c>
      <c r="BD32" s="11">
        <f>6852.39122752878/(10^3)</f>
        <v>6.8523912275287806</v>
      </c>
      <c r="BE32" s="11">
        <f>6719.50181059994/(10^3)</f>
        <v>6.7195018105999393</v>
      </c>
      <c r="BF32" s="11">
        <f>6695.9905939719/(10^3)</f>
        <v>6.6959905939719002</v>
      </c>
      <c r="BG32" s="11">
        <f>677929.362427526/(10^3)</f>
        <v>677.92936242752603</v>
      </c>
      <c r="BH32" s="11">
        <f>6883.85033965515/(10^3)</f>
        <v>6.8838503396551491</v>
      </c>
      <c r="BI32" s="11">
        <f>6983.5006792561/(10^3)</f>
        <v>6.9835006792560996</v>
      </c>
      <c r="BJ32" s="11">
        <f>7525.81938106624/(10^3)</f>
        <v>7.5258193810662393</v>
      </c>
      <c r="BK32" s="11">
        <f>7610.0247485434/(10^3)</f>
        <v>7.6100247485433998</v>
      </c>
      <c r="BL32" s="11">
        <f>7758.97010570828/(10^3)</f>
        <v>7.7589701057082801</v>
      </c>
      <c r="BM32" s="11">
        <f>80.9708527263842/(10^3)</f>
        <v>8.0970852726384199E-2</v>
      </c>
      <c r="BN32" s="11">
        <f>8433.86980844381/(10^3)</f>
        <v>8.4338698084438093</v>
      </c>
      <c r="BO32" s="11">
        <f>8058.4318114448/(10^3)</f>
        <v>8.0584318114447999</v>
      </c>
      <c r="BP32" s="11">
        <f>7825.18158392241/(10^3)</f>
        <v>7.8251815839224097</v>
      </c>
      <c r="BQ32" s="11">
        <f>7773.99296231328/(10^3)</f>
        <v>7.7739929623132804</v>
      </c>
      <c r="BR32" s="11">
        <f>7601.98227501972/(10^3)</f>
        <v>7.6019822750197203</v>
      </c>
      <c r="BS32" s="11">
        <f>741306.674175892/(10^3)</f>
        <v>741.306674175892</v>
      </c>
      <c r="BT32" s="11">
        <f>7327.62840272286/(10^3)</f>
        <v>7.3276284027228602</v>
      </c>
      <c r="BU32" s="11">
        <f>7259.58181276133/(10^3)</f>
        <v>7.2595818127613301</v>
      </c>
      <c r="BV32" s="11">
        <f>7067.42225359593/(10^3)</f>
        <v>7.0674222535959297</v>
      </c>
      <c r="BW32" s="11">
        <f>6908.37428173285/(10^3)</f>
        <v>6.9083742817328506</v>
      </c>
      <c r="BX32" s="11">
        <f>6916.21727670297/(10^3)</f>
        <v>6.9162172767029695</v>
      </c>
      <c r="BY32" s="11">
        <f>71.5438061937553/(10^3)</f>
        <v>7.1543806193755305E-2</v>
      </c>
      <c r="BZ32" s="11">
        <f>7154.38061937553/(10^3)</f>
        <v>7.1543806193755302</v>
      </c>
      <c r="CA32" s="11">
        <f>6718.19701866869/(10^3)</f>
        <v>6.7181970186686906</v>
      </c>
      <c r="CB32" s="11">
        <f>6680.86856168989/(10^3)</f>
        <v>6.6808685616898904</v>
      </c>
      <c r="CC32" s="12"/>
      <c r="CZ32" s="11">
        <v>6.5639470479073596</v>
      </c>
      <c r="DA32" s="11">
        <v>7.2466667643486105</v>
      </c>
      <c r="DB32" s="11">
        <v>6.8841421285922717</v>
      </c>
      <c r="DC32" s="11">
        <v>7.252759909813884</v>
      </c>
      <c r="DD32" s="11">
        <v>8.0970852726384166</v>
      </c>
      <c r="DE32" s="11">
        <v>7.1543806193755319</v>
      </c>
      <c r="DG32" s="11">
        <v>5.7953481661224986</v>
      </c>
      <c r="DH32" s="11">
        <v>6.4603395470333611</v>
      </c>
      <c r="DI32" s="11">
        <v>6.5317728567518589</v>
      </c>
      <c r="DJ32" s="11">
        <v>6.7865374892043002</v>
      </c>
      <c r="DK32" s="11">
        <v>6.7792936242752555</v>
      </c>
      <c r="DL32" s="11">
        <v>7.413066741758918</v>
      </c>
    </row>
    <row r="33" spans="4:116" outlineLevel="1" x14ac:dyDescent="0.25">
      <c r="D33" s="10" t="s">
        <v>118</v>
      </c>
      <c r="E33" s="10" t="s">
        <v>111</v>
      </c>
      <c r="F33" s="10" t="s">
        <v>150</v>
      </c>
      <c r="G33" s="10"/>
      <c r="H33" s="62" t="str">
        <f t="shared" si="2"/>
        <v xml:space="preserve">Richmond </v>
      </c>
      <c r="I33" s="11">
        <f>12693/(10^3)</f>
        <v>12.693</v>
      </c>
      <c r="J33" s="11">
        <f>13286.2834427689/(10^3)</f>
        <v>13.2862834427689</v>
      </c>
      <c r="K33" s="11">
        <f>1300076.37294796/(10^3)</f>
        <v>1300.07637294796</v>
      </c>
      <c r="L33" s="11">
        <f>13385.9695591017/(10^3)</f>
        <v>13.385969559101701</v>
      </c>
      <c r="M33" s="11">
        <f>13376.2476745593/(10^3)</f>
        <v>13.3762476745593</v>
      </c>
      <c r="N33" s="11">
        <f>14327.0588894691/(10^3)</f>
        <v>14.3270588894691</v>
      </c>
      <c r="O33" s="11">
        <f>14438.8865482832/(10^3)</f>
        <v>14.4388865482832</v>
      </c>
      <c r="P33" s="11">
        <f>14949.472721407/(10^3)</f>
        <v>14.949472721407</v>
      </c>
      <c r="Q33" s="11">
        <f>156.670674801992/(10^3)</f>
        <v>0.15667067480199198</v>
      </c>
      <c r="R33" s="11">
        <f>16191.1646939267/(10^3)</f>
        <v>16.191164693926698</v>
      </c>
      <c r="S33" s="11">
        <f>15465.3920815646/(10^3)</f>
        <v>15.4653920815646</v>
      </c>
      <c r="T33" s="11">
        <f>15296.5441095872/(10^3)</f>
        <v>15.296544109587199</v>
      </c>
      <c r="U33" s="11">
        <f>15256.4895103631/(10^3)</f>
        <v>15.256489510363101</v>
      </c>
      <c r="V33" s="11">
        <f>15769.7336515988/(10^3)</f>
        <v>15.7697336515988</v>
      </c>
      <c r="W33" s="11">
        <f>1584940.92837136/(10^3)</f>
        <v>1584.9409283713601</v>
      </c>
      <c r="X33" s="11">
        <f>16156.5161568564/(10^3)</f>
        <v>16.156516156856402</v>
      </c>
      <c r="Y33" s="11">
        <f>16083.4917798644/(10^3)</f>
        <v>16.083491779864399</v>
      </c>
      <c r="Z33" s="11">
        <f>16645.3763941232/(10^3)</f>
        <v>16.6453763941232</v>
      </c>
      <c r="AA33" s="11">
        <f>17440.3342179415/(10^3)</f>
        <v>17.440334217941501</v>
      </c>
      <c r="AB33" s="11">
        <f>17752.7249937701/(10^3)</f>
        <v>17.752724993770101</v>
      </c>
      <c r="AC33" s="11">
        <f>178.239246599014/(10^3)</f>
        <v>0.178239246599014</v>
      </c>
      <c r="AD33" s="11">
        <f>17344.5950901851/(10^3)</f>
        <v>17.344595090185098</v>
      </c>
      <c r="AE33" s="11">
        <f>16138.0959121689/(10^3)</f>
        <v>16.1380959121689</v>
      </c>
      <c r="AF33" s="11">
        <f>15621.5383721426/(10^3)</f>
        <v>15.6215383721426</v>
      </c>
      <c r="AG33" s="11">
        <f>15237.8646376606/(10^3)</f>
        <v>15.2378646376606</v>
      </c>
      <c r="AH33" s="11">
        <f>15900.0374704338/(10^3)</f>
        <v>15.9000374704338</v>
      </c>
      <c r="AI33" s="11">
        <f>1649605.32423669/(10^3)</f>
        <v>1649.60532423669</v>
      </c>
      <c r="AJ33" s="11">
        <f>16750.4598866972/(10^3)</f>
        <v>16.7504598866972</v>
      </c>
      <c r="AK33" s="11">
        <f>16853.847695548/(10^3)</f>
        <v>16.853847695548001</v>
      </c>
      <c r="AL33" s="11">
        <f>17628.0750721125/(10^3)</f>
        <v>17.628075072112502</v>
      </c>
      <c r="AM33" s="11">
        <f>17884.6900848356/(10^3)</f>
        <v>17.884690084835601</v>
      </c>
      <c r="AN33" s="11">
        <f>18496.0668291423/(10^3)</f>
        <v>18.4960668291423</v>
      </c>
      <c r="AO33" s="11">
        <f>183.332129887434/(10^3)</f>
        <v>0.183332129887434</v>
      </c>
      <c r="AP33" s="11">
        <f>17942.0199957407/(10^3)</f>
        <v>17.942019995740697</v>
      </c>
      <c r="AQ33" s="11">
        <f>18788.4377692722/(10^3)</f>
        <v>18.7884377692722</v>
      </c>
      <c r="AR33" s="11">
        <f>19475.3715214098/(10^3)</f>
        <v>19.475371521409802</v>
      </c>
      <c r="AS33" s="11">
        <f>19208.2806367148/(10^3)</f>
        <v>19.2082806367148</v>
      </c>
      <c r="AT33" s="11">
        <f>19968.9163101855/(10^3)</f>
        <v>19.968916310185502</v>
      </c>
      <c r="AU33" s="11">
        <f>1987033.0992148/(10^3)</f>
        <v>1987.0330992147999</v>
      </c>
      <c r="AV33" s="11">
        <f>20614.2037387555/(10^3)</f>
        <v>20.614203738755499</v>
      </c>
      <c r="AW33" s="11">
        <f>20097.9974549529/(10^3)</f>
        <v>20.0979974549529</v>
      </c>
      <c r="AX33" s="11">
        <f>21650.617211781/(10^3)</f>
        <v>21.650617211780997</v>
      </c>
      <c r="AY33" s="11">
        <f>22429.1669144178/(10^3)</f>
        <v>22.429166914417802</v>
      </c>
      <c r="AZ33" s="11">
        <f>22536.1109029653/(10^3)</f>
        <v>22.536110902965302</v>
      </c>
      <c r="BA33" s="11">
        <f>228.342011104683/(10^3)</f>
        <v>0.228342011104683</v>
      </c>
      <c r="BB33" s="11">
        <f>23415.6120513444/(10^3)</f>
        <v>23.4156120513444</v>
      </c>
      <c r="BC33" s="11">
        <f>22321.452561705/(10^3)</f>
        <v>22.321452561704998</v>
      </c>
      <c r="BD33" s="11">
        <f>20747.3933813751/(10^3)</f>
        <v>20.747393381375097</v>
      </c>
      <c r="BE33" s="11">
        <f>18994.7961947837/(10^3)</f>
        <v>18.994796194783699</v>
      </c>
      <c r="BF33" s="11">
        <f>18571.2767434627/(10^3)</f>
        <v>18.571276743462697</v>
      </c>
      <c r="BG33" s="11">
        <f>1914226.3829694/(10^3)</f>
        <v>1914.2263829694</v>
      </c>
      <c r="BH33" s="11">
        <f>18929.3010306762/(10^3)</f>
        <v>18.9293010306762</v>
      </c>
      <c r="BI33" s="11">
        <f>19468.1040931939/(10^3)</f>
        <v>19.468104093193897</v>
      </c>
      <c r="BJ33" s="11">
        <f>20358.8666058381/(10^3)</f>
        <v>20.358866605838099</v>
      </c>
      <c r="BK33" s="11">
        <f>21117.5306635947/(10^3)</f>
        <v>21.117530663594703</v>
      </c>
      <c r="BL33" s="11">
        <f>21758.4847226219/(10^3)</f>
        <v>21.758484722621898</v>
      </c>
      <c r="BM33" s="11">
        <f>217.847970493061/(10^3)</f>
        <v>0.21784797049306101</v>
      </c>
      <c r="BN33" s="11">
        <f>22117.5317977872/(10^3)</f>
        <v>22.117531797787201</v>
      </c>
      <c r="BO33" s="11">
        <f>20308.7528389698/(10^3)</f>
        <v>20.308752838969802</v>
      </c>
      <c r="BP33" s="11">
        <f>19990.0695364551/(10^3)</f>
        <v>19.990069536455099</v>
      </c>
      <c r="BQ33" s="11">
        <f>19836.222032377/(10^3)</f>
        <v>19.836222032377002</v>
      </c>
      <c r="BR33" s="11">
        <f>20263.826642674/(10^3)</f>
        <v>20.263826642674001</v>
      </c>
      <c r="BS33" s="11">
        <f>2035277.22115346/(10^3)</f>
        <v>2035.27722115346</v>
      </c>
      <c r="BT33" s="11">
        <f>21248.5467439805/(10^3)</f>
        <v>21.248546743980501</v>
      </c>
      <c r="BU33" s="11">
        <f>22122.6620145106/(10^3)</f>
        <v>22.122662014510599</v>
      </c>
      <c r="BV33" s="11">
        <f>23184.8813716606/(10^3)</f>
        <v>23.184881371660598</v>
      </c>
      <c r="BW33" s="11">
        <f>24043.9910993219/(10^3)</f>
        <v>24.043991099321897</v>
      </c>
      <c r="BX33" s="11">
        <f>25231.9685542603/(10^3)</f>
        <v>25.231968554260302</v>
      </c>
      <c r="BY33" s="11">
        <f>254.089149762576/(10^3)</f>
        <v>0.25408914976257602</v>
      </c>
      <c r="BZ33" s="11">
        <f>25408.9149762576/(10^3)</f>
        <v>25.408914976257602</v>
      </c>
      <c r="CA33" s="11">
        <f>22943.6521024269/(10^3)</f>
        <v>22.943652102426899</v>
      </c>
      <c r="CB33" s="11">
        <f>22246.9974691101/(10^3)</f>
        <v>22.246997469110102</v>
      </c>
      <c r="CC33" s="12"/>
      <c r="CZ33" s="11">
        <v>15.667067480199192</v>
      </c>
      <c r="DA33" s="11">
        <v>17.823924659901383</v>
      </c>
      <c r="DB33" s="11">
        <v>18.333212988743412</v>
      </c>
      <c r="DC33" s="11">
        <v>22.834201110468278</v>
      </c>
      <c r="DD33" s="11">
        <v>21.784797049306103</v>
      </c>
      <c r="DE33" s="11">
        <v>25.408914976257563</v>
      </c>
      <c r="DG33" s="11">
        <v>13.000763729479607</v>
      </c>
      <c r="DH33" s="11">
        <v>15.849409283713644</v>
      </c>
      <c r="DI33" s="11">
        <v>16.496053242366894</v>
      </c>
      <c r="DJ33" s="11">
        <v>19.870330992148041</v>
      </c>
      <c r="DK33" s="11">
        <v>19.142263829693995</v>
      </c>
      <c r="DL33" s="11">
        <v>20.352772211534603</v>
      </c>
    </row>
    <row r="34" spans="4:116" outlineLevel="1" x14ac:dyDescent="0.25">
      <c r="D34" s="10" t="s">
        <v>119</v>
      </c>
      <c r="E34" s="10" t="s">
        <v>111</v>
      </c>
      <c r="F34" s="10" t="s">
        <v>150</v>
      </c>
      <c r="G34" s="10"/>
      <c r="H34" s="62" t="str">
        <f t="shared" si="2"/>
        <v xml:space="preserve">Virginia Beach </v>
      </c>
      <c r="I34" s="11">
        <f>6501/(10^3)</f>
        <v>6.5010000000000003</v>
      </c>
      <c r="J34" s="11">
        <f>6712.47315490541/(10^3)</f>
        <v>6.7124731549054104</v>
      </c>
      <c r="K34" s="11">
        <f>663892.178049363/(10^3)</f>
        <v>663.892178049363</v>
      </c>
      <c r="L34" s="11">
        <f>6746.26772444023/(10^3)</f>
        <v>6.74626772444023</v>
      </c>
      <c r="M34" s="11">
        <f>6757.36735824865/(10^3)</f>
        <v>6.7573673582486498</v>
      </c>
      <c r="N34" s="11">
        <f>7191.47301427632/(10^3)</f>
        <v>7.1914730142763199</v>
      </c>
      <c r="O34" s="11">
        <f>7436.96241849238/(10^3)</f>
        <v>7.4369624184923797</v>
      </c>
      <c r="P34" s="11">
        <f>7742.26177214575/(10^3)</f>
        <v>7.7422617721457501</v>
      </c>
      <c r="Q34" s="11">
        <f>79.4914062797981/(10^3)</f>
        <v>7.9491406279798102E-2</v>
      </c>
      <c r="R34" s="11">
        <f>8088.190946777/(10^3)</f>
        <v>8.0881909467770008</v>
      </c>
      <c r="S34" s="11">
        <f>7527.64218714063/(10^3)</f>
        <v>7.5276421871406303</v>
      </c>
      <c r="T34" s="11">
        <f>7278.62379411656/(10^3)</f>
        <v>7.2786237941165597</v>
      </c>
      <c r="U34" s="11">
        <f>7195.24771525471/(10^3)</f>
        <v>7.1952477152547099</v>
      </c>
      <c r="V34" s="11">
        <f>7187.49292778478/(10^3)</f>
        <v>7.1874929277847794</v>
      </c>
      <c r="W34" s="11">
        <f>731017.055219949/(10^3)</f>
        <v>731.01705521994904</v>
      </c>
      <c r="X34" s="11">
        <f>7293.13621595451/(10^3)</f>
        <v>7.2931362159545099</v>
      </c>
      <c r="Y34" s="11">
        <f>7234.64799689552/(10^3)</f>
        <v>7.2346479968955197</v>
      </c>
      <c r="Z34" s="11">
        <f>7268.13058955287/(10^3)</f>
        <v>7.2681305895528707</v>
      </c>
      <c r="AA34" s="11">
        <f>7496.97354192085/(10^3)</f>
        <v>7.4969735419208501</v>
      </c>
      <c r="AB34" s="11">
        <f>7850.23831897317/(10^3)</f>
        <v>7.8502383189731697</v>
      </c>
      <c r="AC34" s="11">
        <f>80.12813943184/(10^3)</f>
        <v>8.0128139431839995E-2</v>
      </c>
      <c r="AD34" s="11">
        <f>8174.12171986811/(10^3)</f>
        <v>8.1741217198681095</v>
      </c>
      <c r="AE34" s="11">
        <f>7628.40871425727/(10^3)</f>
        <v>7.6284087142572696</v>
      </c>
      <c r="AF34" s="11">
        <f>7430.95571672789/(10^3)</f>
        <v>7.4309557167278903</v>
      </c>
      <c r="AG34" s="11">
        <f>7414.58430986166/(10^3)</f>
        <v>7.4145843098616595</v>
      </c>
      <c r="AH34" s="11">
        <f>7698.37788799133/(10^3)</f>
        <v>7.69837788799133</v>
      </c>
      <c r="AI34" s="11">
        <f>792182.056166358/(10^3)</f>
        <v>792.18205616635794</v>
      </c>
      <c r="AJ34" s="11">
        <f>8143.25526760108/(10^3)</f>
        <v>8.1432552676010808</v>
      </c>
      <c r="AK34" s="11">
        <f>7940.7266376815/(10^3)</f>
        <v>7.9407266376814993</v>
      </c>
      <c r="AL34" s="11">
        <f>8066.82284631149/(10^3)</f>
        <v>8.0668228463114904</v>
      </c>
      <c r="AM34" s="11">
        <f>7895.46723492378/(10^3)</f>
        <v>7.89546723492378</v>
      </c>
      <c r="AN34" s="11">
        <f>8011.3616224388/(10^3)</f>
        <v>8.0113616224388</v>
      </c>
      <c r="AO34" s="11">
        <f>83.3262129686473/(10^3)</f>
        <v>8.3326212968647298E-2</v>
      </c>
      <c r="AP34" s="11">
        <f>8334.43678021459/(10^3)</f>
        <v>8.33443678021459</v>
      </c>
      <c r="AQ34" s="11">
        <f>8619.01946081097/(10^3)</f>
        <v>8.6190194608109714</v>
      </c>
      <c r="AR34" s="11">
        <f>8392.67429928904/(10^3)</f>
        <v>8.3926742992890393</v>
      </c>
      <c r="AS34" s="11">
        <f>8412.40513749983/(10^3)</f>
        <v>8.4124051374998299</v>
      </c>
      <c r="AT34" s="11">
        <f>8561.37815743527/(10^3)</f>
        <v>8.5613781574352714</v>
      </c>
      <c r="AU34" s="11">
        <f>893178.421852086/(10^3)</f>
        <v>893.17842185208599</v>
      </c>
      <c r="AV34" s="11">
        <f>9231.08110261878/(10^3)</f>
        <v>9.2310811026187807</v>
      </c>
      <c r="AW34" s="11">
        <f>9093.72087492515/(10^3)</f>
        <v>9.0937208749251504</v>
      </c>
      <c r="AX34" s="11">
        <f>9221.2078056002/(10^3)</f>
        <v>9.2212078056001996</v>
      </c>
      <c r="AY34" s="11">
        <f>9648.76906699693/(10^3)</f>
        <v>9.6487690669969304</v>
      </c>
      <c r="AZ34" s="11">
        <f>9998.16780631151/(10^3)</f>
        <v>9.9981678063115105</v>
      </c>
      <c r="BA34" s="11">
        <f>104.579394694088/(10^3)</f>
        <v>0.104579394694088</v>
      </c>
      <c r="BB34" s="11">
        <f>10620.9547239115/(10^3)</f>
        <v>10.620954723911501</v>
      </c>
      <c r="BC34" s="11">
        <f>9717.59560319615/(10^3)</f>
        <v>9.7175956031961501</v>
      </c>
      <c r="BD34" s="11">
        <f>8784.82507023696/(10^3)</f>
        <v>8.7848250702369608</v>
      </c>
      <c r="BE34" s="11">
        <f>8164.14837258842/(10^3)</f>
        <v>8.1641483725884196</v>
      </c>
      <c r="BF34" s="11">
        <f>8133.68136752695/(10^3)</f>
        <v>8.1336813675269504</v>
      </c>
      <c r="BG34" s="11">
        <f>846552.469728062/(10^3)</f>
        <v>846.55246972806208</v>
      </c>
      <c r="BH34" s="11">
        <f>8549.79001021951/(10^3)</f>
        <v>8.5497900102195103</v>
      </c>
      <c r="BI34" s="11">
        <f>8692.55211587666/(10^3)</f>
        <v>8.6925521158766603</v>
      </c>
      <c r="BJ34" s="11">
        <f>8812.70128984902/(10^3)</f>
        <v>8.81270128984902</v>
      </c>
      <c r="BK34" s="11">
        <f>9234.06680045301/(10^3)</f>
        <v>9.2340668004530109</v>
      </c>
      <c r="BL34" s="11">
        <f>9427.94743113966/(10^3)</f>
        <v>9.4279474311396605</v>
      </c>
      <c r="BM34" s="11">
        <f>95.298986076906/(10^3)</f>
        <v>9.5298986076905998E-2</v>
      </c>
      <c r="BN34" s="11">
        <f>9908.14119900017/(10^3)</f>
        <v>9.9081411990001715</v>
      </c>
      <c r="BO34" s="11">
        <f>9721.43716957288/(10^3)</f>
        <v>9.7214371695728801</v>
      </c>
      <c r="BP34" s="11">
        <f>9706.55988170131/(10^3)</f>
        <v>9.7065598817013115</v>
      </c>
      <c r="BQ34" s="11">
        <f>9510.72291741531/(10^3)</f>
        <v>9.5107229174153112</v>
      </c>
      <c r="BR34" s="11">
        <f>9979.69419265708/(10^3)</f>
        <v>9.9796941926570799</v>
      </c>
      <c r="BS34" s="11">
        <f>1029876.35582541/(10^3)</f>
        <v>1029.87635582541</v>
      </c>
      <c r="BT34" s="11">
        <f>10669.0263275431/(10^3)</f>
        <v>10.669026327543101</v>
      </c>
      <c r="BU34" s="11">
        <f>11156.2688505196/(10^3)</f>
        <v>11.1562688505196</v>
      </c>
      <c r="BV34" s="11">
        <f>11559.5791279623/(10^3)</f>
        <v>11.559579127962301</v>
      </c>
      <c r="BW34" s="11">
        <f>12013.79333124/(10^3)</f>
        <v>12.01379333124</v>
      </c>
      <c r="BX34" s="11">
        <f>12559.52316508/(10^3)</f>
        <v>12.55952316508</v>
      </c>
      <c r="BY34" s="11">
        <f>131.321634142289/(10^3)</f>
        <v>0.13132163414228901</v>
      </c>
      <c r="BZ34" s="11">
        <f>13132.1634142289/(10^3)</f>
        <v>13.1321634142289</v>
      </c>
      <c r="CA34" s="11">
        <f>13017.7632087658/(10^3)</f>
        <v>13.0177632087658</v>
      </c>
      <c r="CB34" s="11">
        <f>12968.1630523395/(10^3)</f>
        <v>12.9681630523395</v>
      </c>
      <c r="CC34" s="12"/>
      <c r="CZ34" s="11">
        <v>7.9491406279798076</v>
      </c>
      <c r="DA34" s="11">
        <v>8.0128139431839962</v>
      </c>
      <c r="DB34" s="11">
        <v>8.3326212968647262</v>
      </c>
      <c r="DC34" s="11">
        <v>10.457939469408835</v>
      </c>
      <c r="DD34" s="11">
        <v>9.5298986076905958</v>
      </c>
      <c r="DE34" s="11">
        <v>13.132163414228931</v>
      </c>
      <c r="DG34" s="11">
        <v>6.6389217804936269</v>
      </c>
      <c r="DH34" s="11">
        <v>7.3101705521994917</v>
      </c>
      <c r="DI34" s="11">
        <v>7.9218205616635808</v>
      </c>
      <c r="DJ34" s="11">
        <v>8.9317842185208569</v>
      </c>
      <c r="DK34" s="11">
        <v>8.4655246972806175</v>
      </c>
      <c r="DL34" s="11">
        <v>10.298763558254128</v>
      </c>
    </row>
    <row r="35" spans="4:116" outlineLevel="1" x14ac:dyDescent="0.25">
      <c r="D35" s="10" t="s">
        <v>120</v>
      </c>
      <c r="E35" s="10" t="s">
        <v>113</v>
      </c>
      <c r="F35" s="10" t="s">
        <v>180</v>
      </c>
      <c r="G35" s="10"/>
      <c r="H35" s="62" t="str">
        <f t="shared" si="2"/>
        <v xml:space="preserve">Montpelier </v>
      </c>
      <c r="I35" s="11">
        <f>14952/(10^3)</f>
        <v>14.952</v>
      </c>
      <c r="J35" s="11">
        <f>15578.8707246729/(10^3)</f>
        <v>15.578870724672901</v>
      </c>
      <c r="K35" s="11">
        <f>1556745.78814868/(10^3)</f>
        <v>1556.74578814868</v>
      </c>
      <c r="L35" s="11">
        <f>15877.8440663853/(10^3)</f>
        <v>15.8778440663853</v>
      </c>
      <c r="M35" s="11">
        <f>16298.9916117507/(10^3)</f>
        <v>16.298991611750701</v>
      </c>
      <c r="N35" s="11">
        <f>17097.1434682253/(10^3)</f>
        <v>17.097143468225298</v>
      </c>
      <c r="O35" s="11">
        <f>17453.9679783488/(10^3)</f>
        <v>17.4539679783488</v>
      </c>
      <c r="P35" s="11">
        <f>18301.5013824977/(10^3)</f>
        <v>18.301501382497701</v>
      </c>
      <c r="Q35" s="11">
        <f>185.579351114284/(10^3)</f>
        <v>0.185579351114284</v>
      </c>
      <c r="R35" s="11">
        <f>19010.8192762126/(10^3)</f>
        <v>19.010819276212597</v>
      </c>
      <c r="S35" s="11">
        <f>18633.425172978/(10^3)</f>
        <v>18.633425172978001</v>
      </c>
      <c r="T35" s="11">
        <f>18440.1737100203/(10^3)</f>
        <v>18.4401737100203</v>
      </c>
      <c r="U35" s="11">
        <f>17962.3243033739/(10^3)</f>
        <v>17.962324303373901</v>
      </c>
      <c r="V35" s="11">
        <f>18364.0990532548/(10^3)</f>
        <v>18.364099053254797</v>
      </c>
      <c r="W35" s="11">
        <f>1887280.03603683/(10^3)</f>
        <v>1887.2800360368299</v>
      </c>
      <c r="X35" s="11">
        <f>18728.3781906178/(10^3)</f>
        <v>18.7283781906178</v>
      </c>
      <c r="Y35" s="11">
        <f>18904.8447336362/(10^3)</f>
        <v>18.9048447336362</v>
      </c>
      <c r="Z35" s="11">
        <f>19149.5088916928/(10^3)</f>
        <v>19.1495088916928</v>
      </c>
      <c r="AA35" s="11">
        <f>19877.8748704957/(10^3)</f>
        <v>19.877874870495699</v>
      </c>
      <c r="AB35" s="11">
        <f>20236.7269327106/(10^3)</f>
        <v>20.236726932710599</v>
      </c>
      <c r="AC35" s="11">
        <f>209.578187666656/(10^3)</f>
        <v>0.20957818766665598</v>
      </c>
      <c r="AD35" s="11">
        <f>21445.6733955066/(10^3)</f>
        <v>21.445673395506603</v>
      </c>
      <c r="AE35" s="11">
        <f>20884.9303892026/(10^3)</f>
        <v>20.884930389202601</v>
      </c>
      <c r="AF35" s="11">
        <f>20512.2174900077/(10^3)</f>
        <v>20.5122174900077</v>
      </c>
      <c r="AG35" s="11">
        <f>19917.865307476/(10^3)</f>
        <v>19.917865307475999</v>
      </c>
      <c r="AH35" s="11">
        <f>20559.4395325624/(10^3)</f>
        <v>20.559439532562401</v>
      </c>
      <c r="AI35" s="11">
        <f>2073225.68019542/(10^3)</f>
        <v>2073.22568019542</v>
      </c>
      <c r="AJ35" s="11">
        <f>21743.5616761771/(10^3)</f>
        <v>21.743561676177102</v>
      </c>
      <c r="AK35" s="11">
        <f>21847.2843117775/(10^3)</f>
        <v>21.8472843117775</v>
      </c>
      <c r="AL35" s="11">
        <f>22268.6578775721/(10^3)</f>
        <v>22.2686578775721</v>
      </c>
      <c r="AM35" s="11">
        <f>23213.2825341642/(10^3)</f>
        <v>23.213282534164197</v>
      </c>
      <c r="AN35" s="11">
        <f>23853.6931018152/(10^3)</f>
        <v>23.8536931018152</v>
      </c>
      <c r="AO35" s="11">
        <f>239.724960253706/(10^3)</f>
        <v>0.23972496025370599</v>
      </c>
      <c r="AP35" s="11">
        <f>23726.7649321276/(10^3)</f>
        <v>23.726764932127601</v>
      </c>
      <c r="AQ35" s="11">
        <f>23038.4676085562/(10^3)</f>
        <v>23.0384676085562</v>
      </c>
      <c r="AR35" s="11">
        <f>23687.0014726015/(10^3)</f>
        <v>23.687001472601501</v>
      </c>
      <c r="AS35" s="11">
        <f>23203.0531292431/(10^3)</f>
        <v>23.203053129243102</v>
      </c>
      <c r="AT35" s="11">
        <f>23908.2255292106/(10^3)</f>
        <v>23.908225529210597</v>
      </c>
      <c r="AU35" s="11">
        <f>2378334.12167024/(10^3)</f>
        <v>2378.3341216702402</v>
      </c>
      <c r="AV35" s="11">
        <f>23097.3598358726/(10^3)</f>
        <v>23.097359835872602</v>
      </c>
      <c r="AW35" s="11">
        <f>23753.2554143175/(10^3)</f>
        <v>23.753255414317501</v>
      </c>
      <c r="AX35" s="11">
        <f>23774.09501805/(10^3)</f>
        <v>23.774095018050001</v>
      </c>
      <c r="AY35" s="11">
        <f>23856.5282175523/(10^3)</f>
        <v>23.856528217552299</v>
      </c>
      <c r="AZ35" s="11">
        <f>24413.3612739656/(10^3)</f>
        <v>24.413361273965599</v>
      </c>
      <c r="BA35" s="11">
        <f>253.380670383197/(10^3)</f>
        <v>0.253380670383197</v>
      </c>
      <c r="BB35" s="11">
        <f>25849.6943094845/(10^3)</f>
        <v>25.849694309484502</v>
      </c>
      <c r="BC35" s="11">
        <f>24821.4295091343/(10^3)</f>
        <v>24.821429509134301</v>
      </c>
      <c r="BD35" s="11">
        <f>24301.3124275141/(10^3)</f>
        <v>24.301312427514102</v>
      </c>
      <c r="BE35" s="11">
        <f>23806.6780683292/(10^3)</f>
        <v>23.806678068329202</v>
      </c>
      <c r="BF35" s="11">
        <f>23252.3520559057/(10^3)</f>
        <v>23.2523520559057</v>
      </c>
      <c r="BG35" s="11">
        <f>2268995.77219468/(10^3)</f>
        <v>2268.9957721946798</v>
      </c>
      <c r="BH35" s="11">
        <f>23427.4203309154/(10^3)</f>
        <v>23.4274203309154</v>
      </c>
      <c r="BI35" s="11">
        <f>24125.1043009716/(10^3)</f>
        <v>24.1251043009716</v>
      </c>
      <c r="BJ35" s="11">
        <f>24919.716707298/(10^3)</f>
        <v>24.919716707298001</v>
      </c>
      <c r="BK35" s="11">
        <f>25538.0183416475/(10^3)</f>
        <v>25.538018341647501</v>
      </c>
      <c r="BL35" s="11">
        <f>26148.5139279485/(10^3)</f>
        <v>26.1485139279485</v>
      </c>
      <c r="BM35" s="11">
        <f>263.922301250345/(10^3)</f>
        <v>0.26392230125034499</v>
      </c>
      <c r="BN35" s="11">
        <f>27494.9990050424/(10^3)</f>
        <v>27.494999005042398</v>
      </c>
      <c r="BO35" s="11">
        <f>24746.2157260477/(10^3)</f>
        <v>24.746215726047701</v>
      </c>
      <c r="BP35" s="11">
        <f>23534.1143797672/(10^3)</f>
        <v>23.5341143797672</v>
      </c>
      <c r="BQ35" s="11">
        <f>23405.8986230334/(10^3)</f>
        <v>23.405898623033401</v>
      </c>
      <c r="BR35" s="11">
        <f>23974.5075935096/(10^3)</f>
        <v>23.9745075935096</v>
      </c>
      <c r="BS35" s="11">
        <f>2407540.88114813/(10^3)</f>
        <v>2407.5408811481302</v>
      </c>
      <c r="BT35" s="11">
        <f>24471.1066530877/(10^3)</f>
        <v>24.471106653087698</v>
      </c>
      <c r="BU35" s="11">
        <f>24981.3018326329/(10^3)</f>
        <v>24.981301832632901</v>
      </c>
      <c r="BV35" s="11">
        <f>26117.4819188365/(10^3)</f>
        <v>26.1174819188365</v>
      </c>
      <c r="BW35" s="11">
        <f>26473.0033606087/(10^3)</f>
        <v>26.473003360608701</v>
      </c>
      <c r="BX35" s="11">
        <f>27262.6023420015/(10^3)</f>
        <v>27.2626023420015</v>
      </c>
      <c r="BY35" s="11">
        <f>281.988391398121/(10^3)</f>
        <v>0.28198839139812099</v>
      </c>
      <c r="BZ35" s="11">
        <f>28198.8391398121/(10^3)</f>
        <v>28.198839139812097</v>
      </c>
      <c r="CA35" s="11">
        <f>27794.6030117088/(10^3)</f>
        <v>27.794603011708801</v>
      </c>
      <c r="CB35" s="11">
        <f>26552.5772588742/(10^3)</f>
        <v>26.552577258874202</v>
      </c>
      <c r="CC35" s="12"/>
      <c r="CZ35" s="11">
        <v>18.557935111428399</v>
      </c>
      <c r="DA35" s="11">
        <v>20.957818766665596</v>
      </c>
      <c r="DB35" s="11">
        <v>23.972496025370649</v>
      </c>
      <c r="DC35" s="11">
        <v>25.338067038319728</v>
      </c>
      <c r="DD35" s="11">
        <v>26.392230125034491</v>
      </c>
      <c r="DE35" s="11">
        <v>28.19883913981208</v>
      </c>
      <c r="DG35" s="11">
        <v>15.567457881486835</v>
      </c>
      <c r="DH35" s="11">
        <v>18.872800360368299</v>
      </c>
      <c r="DI35" s="11">
        <v>20.732256801954197</v>
      </c>
      <c r="DJ35" s="11">
        <v>23.783341216702439</v>
      </c>
      <c r="DK35" s="11">
        <v>22.689957721946804</v>
      </c>
      <c r="DL35" s="11">
        <v>24.075408811481296</v>
      </c>
    </row>
    <row r="36" spans="4:116" outlineLevel="1" x14ac:dyDescent="0.25">
      <c r="D36" s="10" t="s">
        <v>121</v>
      </c>
      <c r="E36" s="10" t="s">
        <v>113</v>
      </c>
      <c r="F36" s="10" t="s">
        <v>180</v>
      </c>
      <c r="G36" s="10"/>
      <c r="H36" s="62" t="str">
        <f t="shared" si="2"/>
        <v xml:space="preserve">Burlington </v>
      </c>
      <c r="I36" s="11">
        <f>8872/(10^3)</f>
        <v>8.8719999999999999</v>
      </c>
      <c r="J36" s="11">
        <f>8952.16861472733/(10^3)</f>
        <v>8.9521686147273307</v>
      </c>
      <c r="K36" s="11">
        <f>913062.686371624/(10^3)</f>
        <v>913.06268637162395</v>
      </c>
      <c r="L36" s="11">
        <f>9404.1124643866/(10^3)</f>
        <v>9.4041124643865999</v>
      </c>
      <c r="M36" s="11">
        <f>9300.49955510591/(10^3)</f>
        <v>9.30049955510591</v>
      </c>
      <c r="N36" s="11">
        <f>10050.2220833843/(10^3)</f>
        <v>10.0502220833843</v>
      </c>
      <c r="O36" s="11">
        <f>10441.0961647761/(10^3)</f>
        <v>10.4410961647761</v>
      </c>
      <c r="P36" s="11">
        <f>10624.4948525202/(10^3)</f>
        <v>10.624494852520201</v>
      </c>
      <c r="Q36" s="11">
        <f>107.064481081086/(10^3)</f>
        <v>0.107064481081086</v>
      </c>
      <c r="R36" s="11">
        <f>10827.1268395036/(10^3)</f>
        <v>10.827126839503601</v>
      </c>
      <c r="S36" s="11">
        <f>10700.2116301044/(10^3)</f>
        <v>10.7002116301044</v>
      </c>
      <c r="T36" s="11">
        <f>10195.6660641482/(10^3)</f>
        <v>10.195666064148199</v>
      </c>
      <c r="U36" s="11">
        <f>10182.1293166847/(10^3)</f>
        <v>10.182129316684701</v>
      </c>
      <c r="V36" s="11">
        <f>10263.7437097648/(10^3)</f>
        <v>10.2637437097648</v>
      </c>
      <c r="W36" s="11">
        <f>1031459.22021625/(10^3)</f>
        <v>1031.4592202162501</v>
      </c>
      <c r="X36" s="11">
        <f>10372.1923997238/(10^3)</f>
        <v>10.372192399723799</v>
      </c>
      <c r="Y36" s="11">
        <f>10350.2505507202/(10^3)</f>
        <v>10.350250550720201</v>
      </c>
      <c r="Z36" s="11">
        <f>10763.603852911/(10^3)</f>
        <v>10.763603852910999</v>
      </c>
      <c r="AA36" s="11">
        <f>11291.9746261298/(10^3)</f>
        <v>11.2919746261298</v>
      </c>
      <c r="AB36" s="11">
        <f>11558.5120812683/(10^3)</f>
        <v>11.558512081268299</v>
      </c>
      <c r="AC36" s="11">
        <f>121.005351860063/(10^3)</f>
        <v>0.121005351860063</v>
      </c>
      <c r="AD36" s="11">
        <f>12634.410717452/(10^3)</f>
        <v>12.634410717451999</v>
      </c>
      <c r="AE36" s="11">
        <f>11982.5729424662/(10^3)</f>
        <v>11.9825729424662</v>
      </c>
      <c r="AF36" s="11">
        <f>11878.9547457585/(10^3)</f>
        <v>11.878954745758499</v>
      </c>
      <c r="AG36" s="11">
        <f>11647.3977565999/(10^3)</f>
        <v>11.647397756599899</v>
      </c>
      <c r="AH36" s="11">
        <f>11504.8393008451/(10^3)</f>
        <v>11.5048393008451</v>
      </c>
      <c r="AI36" s="11">
        <f>1149304.55781174/(10^3)</f>
        <v>1149.3045578117401</v>
      </c>
      <c r="AJ36" s="11">
        <f>11589.6776860026/(10^3)</f>
        <v>11.589677686002601</v>
      </c>
      <c r="AK36" s="11">
        <f>11586.321771853/(10^3)</f>
        <v>11.586321771852999</v>
      </c>
      <c r="AL36" s="11">
        <f>11559.7378230782/(10^3)</f>
        <v>11.5597378230782</v>
      </c>
      <c r="AM36" s="11">
        <f>11379.5540022232/(10^3)</f>
        <v>11.3795540022232</v>
      </c>
      <c r="AN36" s="11">
        <f>11881.3627101434/(10^3)</f>
        <v>11.881362710143399</v>
      </c>
      <c r="AO36" s="11">
        <f>122.588078435926/(10^3)</f>
        <v>0.12258807843592599</v>
      </c>
      <c r="AP36" s="11">
        <f>12264.8312914399/(10^3)</f>
        <v>12.264831291439899</v>
      </c>
      <c r="AQ36" s="11">
        <f>12490.2541911596/(10^3)</f>
        <v>12.4902541911596</v>
      </c>
      <c r="AR36" s="11">
        <f>12222.9934558093/(10^3)</f>
        <v>12.222993455809299</v>
      </c>
      <c r="AS36" s="11">
        <f>12360.3338898866/(10^3)</f>
        <v>12.360333889886601</v>
      </c>
      <c r="AT36" s="11">
        <f>12374.7494124096/(10^3)</f>
        <v>12.374749412409599</v>
      </c>
      <c r="AU36" s="11">
        <f>1256399.26322983/(10^3)</f>
        <v>1256.39926322983</v>
      </c>
      <c r="AV36" s="11">
        <f>13088.2165848701/(10^3)</f>
        <v>13.0882165848701</v>
      </c>
      <c r="AW36" s="11">
        <f>13367.8803082709/(10^3)</f>
        <v>13.3678803082709</v>
      </c>
      <c r="AX36" s="11">
        <f>14066.7309529591/(10^3)</f>
        <v>14.0667309529591</v>
      </c>
      <c r="AY36" s="11">
        <f>14578.4366737625/(10^3)</f>
        <v>14.5784366737625</v>
      </c>
      <c r="AZ36" s="11">
        <f>14851.1264746203/(10^3)</f>
        <v>14.851126474620299</v>
      </c>
      <c r="BA36" s="11">
        <f>155.652747522082/(10^3)</f>
        <v>0.155652747522082</v>
      </c>
      <c r="BB36" s="11">
        <f>15997.8112577974/(10^3)</f>
        <v>15.9978112577974</v>
      </c>
      <c r="BC36" s="11">
        <f>14680.1861141656/(10^3)</f>
        <v>14.6801861141656</v>
      </c>
      <c r="BD36" s="11">
        <f>14479.7185429878/(10^3)</f>
        <v>14.479718542987801</v>
      </c>
      <c r="BE36" s="11">
        <f>14313.9615843481/(10^3)</f>
        <v>14.313961584348101</v>
      </c>
      <c r="BF36" s="11">
        <f>13949.8506667425/(10^3)</f>
        <v>13.949850666742501</v>
      </c>
      <c r="BG36" s="11">
        <f>1457102.08893117/(10^3)</f>
        <v>1457.1020889311701</v>
      </c>
      <c r="BH36" s="11">
        <f>14996.9569518386/(10^3)</f>
        <v>14.9969569518386</v>
      </c>
      <c r="BI36" s="11">
        <f>15079.8979512595/(10^3)</f>
        <v>15.0798979512595</v>
      </c>
      <c r="BJ36" s="11">
        <f>15368.7085128379/(10^3)</f>
        <v>15.3687085128379</v>
      </c>
      <c r="BK36" s="11">
        <f>16055.8568816148/(10^3)</f>
        <v>16.055856881614801</v>
      </c>
      <c r="BL36" s="11">
        <f>16160.3442404275/(10^3)</f>
        <v>16.160344240427499</v>
      </c>
      <c r="BM36" s="11">
        <f>162.85472542709/(10^3)</f>
        <v>0.16285472542708998</v>
      </c>
      <c r="BN36" s="11">
        <f>16797.5363534263/(10^3)</f>
        <v>16.797536353426302</v>
      </c>
      <c r="BO36" s="11">
        <f>15718.1481321809/(10^3)</f>
        <v>15.7181481321809</v>
      </c>
      <c r="BP36" s="11">
        <f>15657.1237273499/(10^3)</f>
        <v>15.6571237273499</v>
      </c>
      <c r="BQ36" s="11">
        <f>15464.1332275272/(10^3)</f>
        <v>15.464133227527199</v>
      </c>
      <c r="BR36" s="11">
        <f>15047.7001744606/(10^3)</f>
        <v>15.0477001744606</v>
      </c>
      <c r="BS36" s="11">
        <f>1528480.33039956/(10^3)</f>
        <v>1528.48033039956</v>
      </c>
      <c r="BT36" s="11">
        <f>15071.8438603484/(10^3)</f>
        <v>15.0718438603484</v>
      </c>
      <c r="BU36" s="11">
        <f>15668.7447285348/(10^3)</f>
        <v>15.668744728534801</v>
      </c>
      <c r="BV36" s="11">
        <f>15950.8915583788/(10^3)</f>
        <v>15.9508915583788</v>
      </c>
      <c r="BW36" s="11">
        <f>16682.6513849429/(10^3)</f>
        <v>16.682651384942901</v>
      </c>
      <c r="BX36" s="11">
        <f>17226.4700971059/(10^3)</f>
        <v>17.226470097105899</v>
      </c>
      <c r="BY36" s="11">
        <f>169.485932516811/(10^3)</f>
        <v>0.16948593251681102</v>
      </c>
      <c r="BZ36" s="11">
        <f>16948.5932516811/(10^3)</f>
        <v>16.9485932516811</v>
      </c>
      <c r="CA36" s="11">
        <f>15584.2886683498/(10^3)</f>
        <v>15.584288668349799</v>
      </c>
      <c r="CB36" s="11">
        <f>15069.8165241859/(10^3)</f>
        <v>15.069816524185901</v>
      </c>
      <c r="CC36" s="12"/>
      <c r="CZ36" s="11">
        <v>10.70644810810859</v>
      </c>
      <c r="DA36" s="11">
        <v>12.100535186006299</v>
      </c>
      <c r="DB36" s="11">
        <v>12.258807843592585</v>
      </c>
      <c r="DC36" s="11">
        <v>15.56527475220815</v>
      </c>
      <c r="DD36" s="11">
        <v>16.285472542709005</v>
      </c>
      <c r="DE36" s="11">
        <v>16.948593251681107</v>
      </c>
      <c r="DG36" s="11">
        <v>9.1306268637162376</v>
      </c>
      <c r="DH36" s="11">
        <v>10.314592202162531</v>
      </c>
      <c r="DI36" s="11">
        <v>11.493045578117441</v>
      </c>
      <c r="DJ36" s="11">
        <v>12.56399263229831</v>
      </c>
      <c r="DK36" s="11">
        <v>14.57102088931166</v>
      </c>
      <c r="DL36" s="11">
        <v>15.284803303995588</v>
      </c>
    </row>
    <row r="37" spans="4:116" outlineLevel="1" x14ac:dyDescent="0.25">
      <c r="D37" s="13" t="s">
        <v>9</v>
      </c>
      <c r="E37" s="13" t="s">
        <v>8</v>
      </c>
      <c r="F37" s="10" t="s">
        <v>151</v>
      </c>
      <c r="G37" s="13"/>
      <c r="H37" s="62" t="str">
        <f t="shared" si="2"/>
        <v xml:space="preserve">Albuquerque </v>
      </c>
      <c r="I37" s="11">
        <f>63104/(10^3)</f>
        <v>63.103999999999999</v>
      </c>
      <c r="J37" s="11">
        <f>65605.1398349723/(10^3)</f>
        <v>65.605139834972306</v>
      </c>
      <c r="K37" s="11">
        <f>6430081.38962512/(10^3)</f>
        <v>6430.0813896251202</v>
      </c>
      <c r="L37" s="11">
        <f>65404.1998863303/(10^3)</f>
        <v>65.404199886330304</v>
      </c>
      <c r="M37" s="11">
        <f>67868.1593902997/(10^3)</f>
        <v>67.868159390299695</v>
      </c>
      <c r="N37" s="11">
        <f>69341.7597231713/(10^3)</f>
        <v>69.341759723171307</v>
      </c>
      <c r="O37" s="11">
        <f>71038.7316654056/(10^3)</f>
        <v>71.038731665405606</v>
      </c>
      <c r="P37" s="11">
        <f>72285.7766508243/(10^3)</f>
        <v>72.285776650824289</v>
      </c>
      <c r="Q37" s="11">
        <f>741.568895271492/(10^3)</f>
        <v>0.74156889527149206</v>
      </c>
      <c r="R37" s="11">
        <f>77101.3803007807/(10^3)</f>
        <v>77.101380300780704</v>
      </c>
      <c r="S37" s="11">
        <f>74679.4802105745/(10^3)</f>
        <v>74.679480210574511</v>
      </c>
      <c r="T37" s="11">
        <f>74593.5491147882/(10^3)</f>
        <v>74.593549114788203</v>
      </c>
      <c r="U37" s="11">
        <f>74265.636225569/(10^3)</f>
        <v>74.265636225568997</v>
      </c>
      <c r="V37" s="11">
        <f>73424.5318805175/(10^3)</f>
        <v>73.424531880517506</v>
      </c>
      <c r="W37" s="11">
        <f>7126376.60210239/(10^3)</f>
        <v>7126.3766021023894</v>
      </c>
      <c r="X37" s="11">
        <f>73154.5462151192/(10^3)</f>
        <v>73.154546215119211</v>
      </c>
      <c r="Y37" s="11">
        <f>72228.3067328807/(10^3)</f>
        <v>72.228306732880696</v>
      </c>
      <c r="Z37" s="11">
        <f>76672.5273439875/(10^3)</f>
        <v>76.672527343987497</v>
      </c>
      <c r="AA37" s="11">
        <f>77353.0832922467/(10^3)</f>
        <v>77.353083292246694</v>
      </c>
      <c r="AB37" s="11">
        <f>80040.1436953949/(10^3)</f>
        <v>80.040143695394903</v>
      </c>
      <c r="AC37" s="11">
        <f>830.725210040145/(10^3)</f>
        <v>0.83072521004014499</v>
      </c>
      <c r="AD37" s="11">
        <f>80703.7305077965/(10^3)</f>
        <v>80.703730507796493</v>
      </c>
      <c r="AE37" s="11">
        <f>73053.5921313235/(10^3)</f>
        <v>73.053592131323498</v>
      </c>
      <c r="AF37" s="11">
        <f>69785.6595576919/(10^3)</f>
        <v>69.785659557691901</v>
      </c>
      <c r="AG37" s="11">
        <f>69148.7432412624/(10^3)</f>
        <v>69.148743241262409</v>
      </c>
      <c r="AH37" s="11">
        <f>68202.9711637505/(10^3)</f>
        <v>68.20297116375049</v>
      </c>
      <c r="AI37" s="11">
        <f>7114401.23947093/(10^3)</f>
        <v>7114.4012394709298</v>
      </c>
      <c r="AJ37" s="11">
        <f>69337.3232728393/(10^3)</f>
        <v>69.337323272839299</v>
      </c>
      <c r="AK37" s="11">
        <f>68981.086182302/(10^3)</f>
        <v>68.981086182301993</v>
      </c>
      <c r="AL37" s="11">
        <f>68533.7186369472/(10^3)</f>
        <v>68.533718636947199</v>
      </c>
      <c r="AM37" s="11">
        <f>66526.453548611/(10^3)</f>
        <v>66.526453548611002</v>
      </c>
      <c r="AN37" s="11">
        <f>69052.3000714065/(10^3)</f>
        <v>69.052300071406492</v>
      </c>
      <c r="AO37" s="11">
        <f>722.309236997645/(10^3)</f>
        <v>0.72230923699764504</v>
      </c>
      <c r="AP37" s="11">
        <f>74594.5412008476/(10^3)</f>
        <v>74.594541200847601</v>
      </c>
      <c r="AQ37" s="11">
        <f>73180.0981191716/(10^3)</f>
        <v>73.180098119171603</v>
      </c>
      <c r="AR37" s="11">
        <f>73815.3879346618/(10^3)</f>
        <v>73.8153879346618</v>
      </c>
      <c r="AS37" s="11">
        <f>74914.5569086159/(10^3)</f>
        <v>74.914556908615893</v>
      </c>
      <c r="AT37" s="11">
        <f>73927.4789295763/(10^3)</f>
        <v>73.92747892957631</v>
      </c>
      <c r="AU37" s="11">
        <f>7626561.97318426/(10^3)</f>
        <v>7626.5619731842598</v>
      </c>
      <c r="AV37" s="11">
        <f>76890.3471080579/(10^3)</f>
        <v>76.89034710805791</v>
      </c>
      <c r="AW37" s="11">
        <f>75518.0249154689/(10^3)</f>
        <v>75.518024915468899</v>
      </c>
      <c r="AX37" s="11">
        <f>76528.214354526/(10^3)</f>
        <v>76.528214354526</v>
      </c>
      <c r="AY37" s="11">
        <f>79491.5630536914/(10^3)</f>
        <v>79.491563053691394</v>
      </c>
      <c r="AZ37" s="11">
        <f>82413.4458156803/(10^3)</f>
        <v>82.413445815680305</v>
      </c>
      <c r="BA37" s="11">
        <f>858.000259721311/(10^3)</f>
        <v>0.858000259721311</v>
      </c>
      <c r="BB37" s="11">
        <f>83370.8545842302/(10^3)</f>
        <v>83.370854584230202</v>
      </c>
      <c r="BC37" s="11">
        <f>82916.0705904455/(10^3)</f>
        <v>82.9160705904455</v>
      </c>
      <c r="BD37" s="11">
        <f>82224.7047405898/(10^3)</f>
        <v>82.2247047405898</v>
      </c>
      <c r="BE37" s="11">
        <f>80737.8685572709/(10^3)</f>
        <v>80.737868557270886</v>
      </c>
      <c r="BF37" s="11">
        <f>81571.3902782246/(10^3)</f>
        <v>81.571390278224598</v>
      </c>
      <c r="BG37" s="11">
        <f>8394285.57732411/(10^3)</f>
        <v>8394.2855773241099</v>
      </c>
      <c r="BH37" s="11">
        <f>85190.1205387324/(10^3)</f>
        <v>85.190120538732401</v>
      </c>
      <c r="BI37" s="11">
        <f>82902.9300962141/(10^3)</f>
        <v>82.902930096214092</v>
      </c>
      <c r="BJ37" s="11">
        <f>84431.9646153946/(10^3)</f>
        <v>84.431964615394591</v>
      </c>
      <c r="BK37" s="11">
        <f>86581.2431080423/(10^3)</f>
        <v>86.581243108042301</v>
      </c>
      <c r="BL37" s="11">
        <f>87443.0495710327/(10^3)</f>
        <v>87.443049571032688</v>
      </c>
      <c r="BM37" s="11">
        <f>880.54325283677/(10^3)</f>
        <v>0.88054325283676993</v>
      </c>
      <c r="BN37" s="11">
        <f>88717.2872089323/(10^3)</f>
        <v>88.717287208932305</v>
      </c>
      <c r="BO37" s="11">
        <f>80567.3147074128/(10^3)</f>
        <v>80.567314707412805</v>
      </c>
      <c r="BP37" s="11">
        <f>76738.1480398967/(10^3)</f>
        <v>76.7381480398967</v>
      </c>
      <c r="BQ37" s="11">
        <f>75890.3112492439/(10^3)</f>
        <v>75.890311249243894</v>
      </c>
      <c r="BR37" s="11">
        <f>76267.0617987491/(10^3)</f>
        <v>76.267061798749097</v>
      </c>
      <c r="BS37" s="11">
        <f>7980403.88366599/(10^3)</f>
        <v>7980.4038836659902</v>
      </c>
      <c r="BT37" s="11">
        <f>83665.7585233667/(10^3)</f>
        <v>83.665758523366705</v>
      </c>
      <c r="BU37" s="11">
        <f>84837.1400395327/(10^3)</f>
        <v>84.837140039532699</v>
      </c>
      <c r="BV37" s="11">
        <f>91187.0052321787/(10^3)</f>
        <v>91.187005232178691</v>
      </c>
      <c r="BW37" s="11">
        <f>94116.1293785766/(10^3)</f>
        <v>94.116129378576602</v>
      </c>
      <c r="BX37" s="11">
        <f>97974.7649637518/(10^3)</f>
        <v>97.974764963751809</v>
      </c>
      <c r="BY37" s="11">
        <f>1004.51457683361/(10^3)</f>
        <v>1.0045145768336101</v>
      </c>
      <c r="BZ37" s="11">
        <f>100451.457683361/(10^3)</f>
        <v>100.451457683361</v>
      </c>
      <c r="CA37" s="11">
        <f>93179.5302769627/(10^3)</f>
        <v>93.179530276962709</v>
      </c>
      <c r="CB37" s="11">
        <f>89468.4195596795/(10^3)</f>
        <v>89.468419559679504</v>
      </c>
      <c r="CC37" s="12"/>
      <c r="CZ37" s="11">
        <v>74.156889527149204</v>
      </c>
      <c r="DA37" s="11">
        <v>83.072521004014519</v>
      </c>
      <c r="DB37" s="11">
        <v>72.230923699764489</v>
      </c>
      <c r="DC37" s="11">
        <v>85.800025972131124</v>
      </c>
      <c r="DD37" s="11">
        <v>88.054325283677017</v>
      </c>
      <c r="DE37" s="11">
        <v>100.45145768336063</v>
      </c>
      <c r="DG37" s="11">
        <v>64.300813896251157</v>
      </c>
      <c r="DH37" s="11">
        <v>71.263766021023926</v>
      </c>
      <c r="DI37" s="11">
        <v>71.144012394709321</v>
      </c>
      <c r="DJ37" s="11">
        <v>76.265619731842548</v>
      </c>
      <c r="DK37" s="11">
        <v>83.942855773241092</v>
      </c>
      <c r="DL37" s="11">
        <v>79.804038836659899</v>
      </c>
    </row>
    <row r="38" spans="4:116" outlineLevel="1" x14ac:dyDescent="0.25">
      <c r="D38" s="13" t="s">
        <v>11</v>
      </c>
      <c r="E38" s="13" t="s">
        <v>10</v>
      </c>
      <c r="F38" s="10" t="s">
        <v>150</v>
      </c>
      <c r="G38" s="13"/>
      <c r="H38" s="62" t="str">
        <f t="shared" si="2"/>
        <v xml:space="preserve">Atlanta </v>
      </c>
      <c r="I38" s="11">
        <f>38142/(10^3)</f>
        <v>38.142000000000003</v>
      </c>
      <c r="J38" s="11">
        <f>38892.5481398175/(10^3)</f>
        <v>38.892548139817507</v>
      </c>
      <c r="K38" s="11">
        <f>3808581.31685623/(10^3)</f>
        <v>3808.5813168562299</v>
      </c>
      <c r="L38" s="11">
        <f>38271.565122024/(10^3)</f>
        <v>38.271565122024001</v>
      </c>
      <c r="M38" s="11">
        <f>37757.5580136799/(10^3)</f>
        <v>37.757558013679905</v>
      </c>
      <c r="N38" s="11">
        <f>38666.3526309472/(10^3)</f>
        <v>38.666352630947202</v>
      </c>
      <c r="O38" s="11">
        <f>39494.9762354244/(10^3)</f>
        <v>39.494976235424403</v>
      </c>
      <c r="P38" s="11">
        <f>40817.4503503987/(10^3)</f>
        <v>40.817450350398701</v>
      </c>
      <c r="Q38" s="11">
        <f>412.525851404297/(10^3)</f>
        <v>0.41252585140429698</v>
      </c>
      <c r="R38" s="11">
        <f>41333.0063279498/(10^3)</f>
        <v>41.333006327949796</v>
      </c>
      <c r="S38" s="11">
        <f>37469.3819962292/(10^3)</f>
        <v>37.469381996229195</v>
      </c>
      <c r="T38" s="11">
        <f>35649.0474827618/(10^3)</f>
        <v>35.649047482761802</v>
      </c>
      <c r="U38" s="11">
        <f>35357.3155487254/(10^3)</f>
        <v>35.357315548725396</v>
      </c>
      <c r="V38" s="11">
        <f>36315.0568273889/(10^3)</f>
        <v>36.315056827388901</v>
      </c>
      <c r="W38" s="11">
        <f>3596014.1114013/(10^3)</f>
        <v>3596.0141114012999</v>
      </c>
      <c r="X38" s="11">
        <f>36677.5829043238/(10^3)</f>
        <v>36.677582904323799</v>
      </c>
      <c r="Y38" s="11">
        <f>38062.3335896609/(10^3)</f>
        <v>38.062333589660902</v>
      </c>
      <c r="Z38" s="11">
        <f>38545.112786829/(10^3)</f>
        <v>38.545112786829002</v>
      </c>
      <c r="AA38" s="11">
        <f>39282.7358593561/(10^3)</f>
        <v>39.282735859356102</v>
      </c>
      <c r="AB38" s="11">
        <f>41098.7314516279/(10^3)</f>
        <v>41.098731451627899</v>
      </c>
      <c r="AC38" s="11">
        <f>416.26154429704/(10^3)</f>
        <v>0.41626154429704004</v>
      </c>
      <c r="AD38" s="11">
        <f>41691.8240071977/(10^3)</f>
        <v>41.691824007197695</v>
      </c>
      <c r="AE38" s="11">
        <f>39479.4418329442/(10^3)</f>
        <v>39.479441832944197</v>
      </c>
      <c r="AF38" s="11">
        <f>37968.5648867825/(10^3)</f>
        <v>37.968564886782502</v>
      </c>
      <c r="AG38" s="11">
        <f>37650.2700554181/(10^3)</f>
        <v>37.650270055418098</v>
      </c>
      <c r="AH38" s="11">
        <f>39007.0099059161/(10^3)</f>
        <v>39.0070099059161</v>
      </c>
      <c r="AI38" s="11">
        <f>3849623.0228371/(10^3)</f>
        <v>3849.6230228371001</v>
      </c>
      <c r="AJ38" s="11">
        <f>40023.8743736104/(10^3)</f>
        <v>40.023874373610404</v>
      </c>
      <c r="AK38" s="11">
        <f>41781.2596158716/(10^3)</f>
        <v>41.781259615871598</v>
      </c>
      <c r="AL38" s="11">
        <f>42784.0411809511/(10^3)</f>
        <v>42.7840411809511</v>
      </c>
      <c r="AM38" s="11">
        <f>44695.1807518515/(10^3)</f>
        <v>44.695180751851495</v>
      </c>
      <c r="AN38" s="11">
        <f>45135.0066234473/(10^3)</f>
        <v>45.135006623447296</v>
      </c>
      <c r="AO38" s="11">
        <f>454.610608254337/(10^3)</f>
        <v>0.45461060825433702</v>
      </c>
      <c r="AP38" s="11">
        <f>45010.7162080144/(10^3)</f>
        <v>45.010716208014394</v>
      </c>
      <c r="AQ38" s="11">
        <f>46265.73069215/(10^3)</f>
        <v>46.265730692150001</v>
      </c>
      <c r="AR38" s="11">
        <f>45251.7598339667/(10^3)</f>
        <v>45.251759833966702</v>
      </c>
      <c r="AS38" s="11">
        <f>46691.8398286813/(10^3)</f>
        <v>46.691839828681303</v>
      </c>
      <c r="AT38" s="11">
        <f>47187.778437021/(10^3)</f>
        <v>47.187778437021002</v>
      </c>
      <c r="AU38" s="11">
        <f>4894153.82721105/(10^3)</f>
        <v>4894.1538272110502</v>
      </c>
      <c r="AV38" s="11">
        <f>48221.1946435861/(10^3)</f>
        <v>48.221194643586102</v>
      </c>
      <c r="AW38" s="11">
        <f>50022.6963729276/(10^3)</f>
        <v>50.022696372927605</v>
      </c>
      <c r="AX38" s="11">
        <f>54284.0969721515/(10^3)</f>
        <v>54.284096972151502</v>
      </c>
      <c r="AY38" s="11">
        <f>54734.9265919819/(10^3)</f>
        <v>54.734926591981903</v>
      </c>
      <c r="AZ38" s="11">
        <f>56674.3785570311/(10^3)</f>
        <v>56.674378557031098</v>
      </c>
      <c r="BA38" s="11">
        <f>592.67145520512/(10^3)</f>
        <v>0.59267145520511999</v>
      </c>
      <c r="BB38" s="11">
        <f>60110.5729398711/(10^3)</f>
        <v>60.110572939871098</v>
      </c>
      <c r="BC38" s="11">
        <f>58817.0253593997/(10^3)</f>
        <v>58.817025359399693</v>
      </c>
      <c r="BD38" s="11">
        <f>56256.0019811324/(10^3)</f>
        <v>56.2560019811324</v>
      </c>
      <c r="BE38" s="11">
        <f>55552.5039563918/(10^3)</f>
        <v>55.552503956391803</v>
      </c>
      <c r="BF38" s="11">
        <f>56621.4614735834/(10^3)</f>
        <v>56.621461473583395</v>
      </c>
      <c r="BG38" s="11">
        <f>5812449.10043542/(10^3)</f>
        <v>5812.4491004354195</v>
      </c>
      <c r="BH38" s="11">
        <f>60199.2260921485/(10^3)</f>
        <v>60.1992260921485</v>
      </c>
      <c r="BI38" s="11">
        <f>60314.3971943562/(10^3)</f>
        <v>60.314397194356197</v>
      </c>
      <c r="BJ38" s="11">
        <f>61862.7837189443/(10^3)</f>
        <v>61.8627837189443</v>
      </c>
      <c r="BK38" s="11">
        <f>64164.7338920824/(10^3)</f>
        <v>64.164733892082396</v>
      </c>
      <c r="BL38" s="11">
        <f>65222.407074446/(10^3)</f>
        <v>65.222407074445996</v>
      </c>
      <c r="BM38" s="11">
        <f>671.707660013945/(10^3)</f>
        <v>0.671707660013945</v>
      </c>
      <c r="BN38" s="11">
        <f>67527.3224640118/(10^3)</f>
        <v>67.527322464011803</v>
      </c>
      <c r="BO38" s="11">
        <f>63221.8560560613/(10^3)</f>
        <v>63.221856056061299</v>
      </c>
      <c r="BP38" s="11">
        <f>60921.7453546655/(10^3)</f>
        <v>60.921745354665504</v>
      </c>
      <c r="BQ38" s="11">
        <f>59617.0136185391/(10^3)</f>
        <v>59.617013618539104</v>
      </c>
      <c r="BR38" s="11">
        <f>59077.1199269699/(10^3)</f>
        <v>59.0771199269699</v>
      </c>
      <c r="BS38" s="11">
        <f>6160978.37109759/(10^3)</f>
        <v>6160.9783710975898</v>
      </c>
      <c r="BT38" s="11">
        <f>59950.3616551457/(10^3)</f>
        <v>59.950361655145699</v>
      </c>
      <c r="BU38" s="11">
        <f>58958.021416017/(10^3)</f>
        <v>58.958021416016997</v>
      </c>
      <c r="BV38" s="11">
        <f>63532.8141948907/(10^3)</f>
        <v>63.532814194890697</v>
      </c>
      <c r="BW38" s="11">
        <f>65229.5029261748/(10^3)</f>
        <v>65.229502926174803</v>
      </c>
      <c r="BX38" s="11">
        <f>68464.9222719638/(10^3)</f>
        <v>68.4649222719638</v>
      </c>
      <c r="BY38" s="11">
        <f>691.782093595889/(10^3)</f>
        <v>0.69178209359588905</v>
      </c>
      <c r="BZ38" s="11">
        <f>69178.2093595889/(10^3)</f>
        <v>69.178209359588905</v>
      </c>
      <c r="CA38" s="11">
        <f>68130.098062898/(10^3)</f>
        <v>68.130098062898</v>
      </c>
      <c r="CB38" s="11">
        <f>66640.4262046421/(10^3)</f>
        <v>66.640426204642111</v>
      </c>
      <c r="CC38" s="12"/>
      <c r="CZ38" s="11">
        <v>41.252585140429744</v>
      </c>
      <c r="DA38" s="11">
        <v>41.626154429704044</v>
      </c>
      <c r="DB38" s="11">
        <v>45.461060825433677</v>
      </c>
      <c r="DC38" s="11">
        <v>59.267145520511988</v>
      </c>
      <c r="DD38" s="11">
        <v>67.170766001394512</v>
      </c>
      <c r="DE38" s="11">
        <v>69.178209359588877</v>
      </c>
      <c r="DG38" s="11">
        <v>38.085813168562311</v>
      </c>
      <c r="DH38" s="11">
        <v>35.96014111401297</v>
      </c>
      <c r="DI38" s="11">
        <v>38.496230228370955</v>
      </c>
      <c r="DJ38" s="11">
        <v>48.941538272110549</v>
      </c>
      <c r="DK38" s="11">
        <v>58.124491004354212</v>
      </c>
      <c r="DL38" s="11">
        <v>61.609783710975904</v>
      </c>
    </row>
    <row r="39" spans="4:116" outlineLevel="1" x14ac:dyDescent="0.25">
      <c r="D39" s="13" t="s">
        <v>13</v>
      </c>
      <c r="E39" s="13" t="s">
        <v>12</v>
      </c>
      <c r="F39" s="10" t="s">
        <v>150</v>
      </c>
      <c r="G39" s="13"/>
      <c r="H39" s="62" t="str">
        <f t="shared" si="2"/>
        <v xml:space="preserve">Austin </v>
      </c>
      <c r="I39" s="11">
        <f>126472/(10^3)</f>
        <v>126.47199999999999</v>
      </c>
      <c r="J39" s="11">
        <f>128106.04712471/(10^3)</f>
        <v>128.10604712471002</v>
      </c>
      <c r="K39" s="11">
        <f>12677645.2311721/(10^3)</f>
        <v>12677.6452311721</v>
      </c>
      <c r="L39" s="11">
        <f>126159.128993255/(10^3)</f>
        <v>126.159128993255</v>
      </c>
      <c r="M39" s="11">
        <f>131283.925121373/(10^3)</f>
        <v>131.28392512137299</v>
      </c>
      <c r="N39" s="11">
        <f>143142.772042024/(10^3)</f>
        <v>143.14277204202401</v>
      </c>
      <c r="O39" s="11">
        <f>147166.636897429/(10^3)</f>
        <v>147.16663689742902</v>
      </c>
      <c r="P39" s="11">
        <f>150954.431614354/(10^3)</f>
        <v>150.95443161435398</v>
      </c>
      <c r="Q39" s="11">
        <f>1519.39347083092/(10^3)</f>
        <v>1.51939347083092</v>
      </c>
      <c r="R39" s="11">
        <f>151661.44648974/(10^3)</f>
        <v>151.66144648974</v>
      </c>
      <c r="S39" s="11">
        <f>137395.559714776/(10^3)</f>
        <v>137.395559714776</v>
      </c>
      <c r="T39" s="11">
        <f>131417.239286944/(10^3)</f>
        <v>131.41723928694401</v>
      </c>
      <c r="U39" s="11">
        <f>127997.334134965/(10^3)</f>
        <v>127.997334134965</v>
      </c>
      <c r="V39" s="11">
        <f>128460.627267732/(10^3)</f>
        <v>128.46062726773201</v>
      </c>
      <c r="W39" s="11">
        <f>12522389.0147854/(10^3)</f>
        <v>12522.3890147854</v>
      </c>
      <c r="X39" s="11">
        <f>123011.585899631/(10^3)</f>
        <v>123.011585899631</v>
      </c>
      <c r="Y39" s="11">
        <f>121765.794586905/(10^3)</f>
        <v>121.765794586905</v>
      </c>
      <c r="Z39" s="11">
        <f>128128.526492379/(10^3)</f>
        <v>128.128526492379</v>
      </c>
      <c r="AA39" s="11">
        <f>129363.300784319/(10^3)</f>
        <v>129.36330078431899</v>
      </c>
      <c r="AB39" s="11">
        <f>132990.452823356/(10^3)</f>
        <v>132.99045282335601</v>
      </c>
      <c r="AC39" s="11">
        <f>1369.23690201736/(10^3)</f>
        <v>1.36923690201736</v>
      </c>
      <c r="AD39" s="11">
        <f>138042.97921302/(10^3)</f>
        <v>138.04297921302</v>
      </c>
      <c r="AE39" s="11">
        <f>124863.471160153/(10^3)</f>
        <v>124.863471160153</v>
      </c>
      <c r="AF39" s="11">
        <f>121661.046858642/(10^3)</f>
        <v>121.66104685864201</v>
      </c>
      <c r="AG39" s="11">
        <f>118302.482616434/(10^3)</f>
        <v>118.30248261643401</v>
      </c>
      <c r="AH39" s="11">
        <f>122806.952806665/(10^3)</f>
        <v>122.806952806665</v>
      </c>
      <c r="AI39" s="11">
        <f>12739086.8816757/(10^3)</f>
        <v>12739.086881675699</v>
      </c>
      <c r="AJ39" s="11">
        <f>133449.294948196/(10^3)</f>
        <v>133.44929494819601</v>
      </c>
      <c r="AK39" s="11">
        <f>136877.844775387/(10^3)</f>
        <v>136.87784477538699</v>
      </c>
      <c r="AL39" s="11">
        <f>137868.338764914/(10^3)</f>
        <v>137.868338764914</v>
      </c>
      <c r="AM39" s="11">
        <f>141434.792238152/(10^3)</f>
        <v>141.434792238152</v>
      </c>
      <c r="AN39" s="11">
        <f>137986.203769516/(10^3)</f>
        <v>137.98620376951601</v>
      </c>
      <c r="AO39" s="11">
        <f>1346.39679076009/(10^3)</f>
        <v>1.34639679076009</v>
      </c>
      <c r="AP39" s="11">
        <f>138173.765522083/(10^3)</f>
        <v>138.17376552208302</v>
      </c>
      <c r="AQ39" s="11">
        <f>139202.963569826/(10^3)</f>
        <v>139.20296356982601</v>
      </c>
      <c r="AR39" s="11">
        <f>135457.934567108/(10^3)</f>
        <v>135.457934567108</v>
      </c>
      <c r="AS39" s="11">
        <f>136839.76590062/(10^3)</f>
        <v>136.83976590061999</v>
      </c>
      <c r="AT39" s="11">
        <f>135379.840095604/(10^3)</f>
        <v>135.37984009560401</v>
      </c>
      <c r="AU39" s="11">
        <f>14115205.323881/(10^3)</f>
        <v>14115.205323881</v>
      </c>
      <c r="AV39" s="11">
        <f>144066.261960922/(10^3)</f>
        <v>144.06626196092202</v>
      </c>
      <c r="AW39" s="11">
        <f>140122.586423444/(10^3)</f>
        <v>140.12258642344401</v>
      </c>
      <c r="AX39" s="11">
        <f>148418.31886543/(10^3)</f>
        <v>148.41831886543</v>
      </c>
      <c r="AY39" s="11">
        <f>153088.595187611/(10^3)</f>
        <v>153.08859518761099</v>
      </c>
      <c r="AZ39" s="11">
        <f>153818.267603984/(10^3)</f>
        <v>153.818267603984</v>
      </c>
      <c r="BA39" s="11">
        <f>1543.5660984738/(10^3)</f>
        <v>1.5435660984738</v>
      </c>
      <c r="BB39" s="11">
        <f>154640.325002838/(10^3)</f>
        <v>154.64032500283801</v>
      </c>
      <c r="BC39" s="11">
        <f>148828.7672547/(10^3)</f>
        <v>148.82876725470001</v>
      </c>
      <c r="BD39" s="11">
        <f>145321.91461415/(10^3)</f>
        <v>145.32191461415002</v>
      </c>
      <c r="BE39" s="11">
        <f>142272.585290225/(10^3)</f>
        <v>142.27258529022498</v>
      </c>
      <c r="BF39" s="11">
        <f>145684.220418905/(10^3)</f>
        <v>145.684220418905</v>
      </c>
      <c r="BG39" s="11">
        <f>14398685.0685351/(10^3)</f>
        <v>14398.6850685351</v>
      </c>
      <c r="BH39" s="11">
        <f>150199.284849786/(10^3)</f>
        <v>150.19928484978598</v>
      </c>
      <c r="BI39" s="11">
        <f>155891.042181344/(10^3)</f>
        <v>155.89104218134401</v>
      </c>
      <c r="BJ39" s="11">
        <f>159048.866141629/(10^3)</f>
        <v>159.04886614162899</v>
      </c>
      <c r="BK39" s="11">
        <f>163665.307005514/(10^3)</f>
        <v>163.66530700551402</v>
      </c>
      <c r="BL39" s="11">
        <f>166871.85594038/(10^3)</f>
        <v>166.87185594037999</v>
      </c>
      <c r="BM39" s="11">
        <f>1750.63097346128/(10^3)</f>
        <v>1.7506309734612802</v>
      </c>
      <c r="BN39" s="11">
        <f>180278.061486219/(10^3)</f>
        <v>180.278061486219</v>
      </c>
      <c r="BO39" s="11">
        <f>169031.111508709/(10^3)</f>
        <v>169.03111150870899</v>
      </c>
      <c r="BP39" s="11">
        <f>168158.530146537/(10^3)</f>
        <v>168.158530146537</v>
      </c>
      <c r="BQ39" s="11">
        <f>167037.11729434/(10^3)</f>
        <v>167.03711729433999</v>
      </c>
      <c r="BR39" s="11">
        <f>164758.971861359/(10^3)</f>
        <v>164.75897186135899</v>
      </c>
      <c r="BS39" s="11">
        <f>16523883.8643583/(10^3)</f>
        <v>16523.8838643583</v>
      </c>
      <c r="BT39" s="11">
        <f>169749.086205414/(10^3)</f>
        <v>169.74908620541399</v>
      </c>
      <c r="BU39" s="11">
        <f>175497.864608372/(10^3)</f>
        <v>175.497864608372</v>
      </c>
      <c r="BV39" s="11">
        <f>181447.191138818/(10^3)</f>
        <v>181.447191138818</v>
      </c>
      <c r="BW39" s="11">
        <f>181506.811626995/(10^3)</f>
        <v>181.50681162699502</v>
      </c>
      <c r="BX39" s="11">
        <f>181654.568289271/(10^3)</f>
        <v>181.654568289271</v>
      </c>
      <c r="BY39" s="11">
        <f>1923.29763220784/(10^3)</f>
        <v>1.9232976322078401</v>
      </c>
      <c r="BZ39" s="11">
        <f>192329.763220784/(10^3)</f>
        <v>192.329763220784</v>
      </c>
      <c r="CA39" s="11">
        <f>178036.670249133/(10^3)</f>
        <v>178.03667024913298</v>
      </c>
      <c r="CB39" s="11">
        <f>175763.793498087/(10^3)</f>
        <v>175.76379349808701</v>
      </c>
      <c r="CC39" s="12"/>
      <c r="CZ39" s="11">
        <v>151.93934708309186</v>
      </c>
      <c r="DA39" s="11">
        <v>136.92369020173638</v>
      </c>
      <c r="DB39" s="11">
        <v>134.63967907600889</v>
      </c>
      <c r="DC39" s="11">
        <v>154.3566098473805</v>
      </c>
      <c r="DD39" s="11">
        <v>175.06309734612807</v>
      </c>
      <c r="DE39" s="11">
        <v>192.3297632207844</v>
      </c>
      <c r="DG39" s="11">
        <v>126.77645231172143</v>
      </c>
      <c r="DH39" s="11">
        <v>125.22389014785375</v>
      </c>
      <c r="DI39" s="11">
        <v>127.39086881675699</v>
      </c>
      <c r="DJ39" s="11">
        <v>141.15205323881003</v>
      </c>
      <c r="DK39" s="11">
        <v>143.98685068535073</v>
      </c>
      <c r="DL39" s="11">
        <v>165.23883864358282</v>
      </c>
    </row>
    <row r="40" spans="4:116" outlineLevel="1" x14ac:dyDescent="0.25">
      <c r="D40" s="13" t="s">
        <v>15</v>
      </c>
      <c r="E40" s="13" t="s">
        <v>14</v>
      </c>
      <c r="F40" s="10" t="s">
        <v>150</v>
      </c>
      <c r="G40" s="13"/>
      <c r="H40" s="62" t="str">
        <f t="shared" si="2"/>
        <v xml:space="preserve">Baton Rouge </v>
      </c>
      <c r="I40" s="11">
        <f>38874/(10^3)</f>
        <v>38.874000000000002</v>
      </c>
      <c r="J40" s="11">
        <f>37813.44164729/(10^3)</f>
        <v>37.813441647289999</v>
      </c>
      <c r="K40" s="11">
        <f>3673689.79980489/(10^3)</f>
        <v>3673.6897998048898</v>
      </c>
      <c r="L40" s="11">
        <f>38543.7013142863/(10^3)</f>
        <v>38.543701314286302</v>
      </c>
      <c r="M40" s="11">
        <f>39129.6088233113/(10^3)</f>
        <v>39.129608823311294</v>
      </c>
      <c r="N40" s="11">
        <f>41210.4167271136/(10^3)</f>
        <v>41.210416727113603</v>
      </c>
      <c r="O40" s="11">
        <f>43202.4912643806/(10^3)</f>
        <v>43.202491264380605</v>
      </c>
      <c r="P40" s="11">
        <f>43381.9310619937/(10^3)</f>
        <v>43.381931061993704</v>
      </c>
      <c r="Q40" s="11">
        <f>451.447438130983/(10^3)</f>
        <v>0.45144743813098304</v>
      </c>
      <c r="R40" s="11">
        <f>45667.7654735913/(10^3)</f>
        <v>45.667765473591302</v>
      </c>
      <c r="S40" s="11">
        <f>45249.2580137482/(10^3)</f>
        <v>45.249258013748197</v>
      </c>
      <c r="T40" s="11">
        <f>44658.130470762/(10^3)</f>
        <v>44.658130470762003</v>
      </c>
      <c r="U40" s="11">
        <f>44483.2213434538/(10^3)</f>
        <v>44.483221343453799</v>
      </c>
      <c r="V40" s="11">
        <f>46415.2804865878/(10^3)</f>
        <v>46.415280486587797</v>
      </c>
      <c r="W40" s="11">
        <f>4656434.68207477/(10^3)</f>
        <v>4656.4346820747705</v>
      </c>
      <c r="X40" s="11">
        <f>45422.8640176478/(10^3)</f>
        <v>45.422864017647797</v>
      </c>
      <c r="Y40" s="11">
        <f>47673.7759352419/(10^3)</f>
        <v>47.673775935241899</v>
      </c>
      <c r="Z40" s="11">
        <f>50669.4642459807/(10^3)</f>
        <v>50.669464245980699</v>
      </c>
      <c r="AA40" s="11">
        <f>51336.0237916087/(10^3)</f>
        <v>51.336023791608696</v>
      </c>
      <c r="AB40" s="11">
        <f>53139.0719188361/(10^3)</f>
        <v>53.139071918836102</v>
      </c>
      <c r="AC40" s="11">
        <f>532.025907903153/(10^3)</f>
        <v>0.53202590790315296</v>
      </c>
      <c r="AD40" s="11">
        <f>52239.798093391/(10^3)</f>
        <v>52.239798093391002</v>
      </c>
      <c r="AE40" s="11">
        <f>49789.9412016892/(10^3)</f>
        <v>49.789941201689203</v>
      </c>
      <c r="AF40" s="11">
        <f>48676.8930826984/(10^3)</f>
        <v>48.676893082698399</v>
      </c>
      <c r="AG40" s="11">
        <f>47721.9709055198/(10^3)</f>
        <v>47.721970905519804</v>
      </c>
      <c r="AH40" s="11">
        <f>49852.3388413727/(10^3)</f>
        <v>49.852338841372699</v>
      </c>
      <c r="AI40" s="11">
        <f>5225129.93248621/(10^3)</f>
        <v>5225.1299324862102</v>
      </c>
      <c r="AJ40" s="11">
        <f>53638.9946363062/(10^3)</f>
        <v>53.638994636306194</v>
      </c>
      <c r="AK40" s="11">
        <f>54292.3425999143/(10^3)</f>
        <v>54.292342599914299</v>
      </c>
      <c r="AL40" s="11">
        <f>59670.0240899006/(10^3)</f>
        <v>59.6700240899006</v>
      </c>
      <c r="AM40" s="11">
        <f>61033.8309970469/(10^3)</f>
        <v>61.033830997046898</v>
      </c>
      <c r="AN40" s="11">
        <f>61823.5080702741/(10^3)</f>
        <v>61.823508070274102</v>
      </c>
      <c r="AO40" s="11">
        <f>628.945526683551/(10^3)</f>
        <v>0.62894552668355097</v>
      </c>
      <c r="AP40" s="11">
        <f>65574.2848419895/(10^3)</f>
        <v>65.574284841989495</v>
      </c>
      <c r="AQ40" s="11">
        <f>66329.6036374335/(10^3)</f>
        <v>66.329603637433493</v>
      </c>
      <c r="AR40" s="11">
        <f>66150.5456207479/(10^3)</f>
        <v>66.150545620747906</v>
      </c>
      <c r="AS40" s="11">
        <f>66170.4840147716/(10^3)</f>
        <v>66.170484014771603</v>
      </c>
      <c r="AT40" s="11">
        <f>64925.5199173308/(10^3)</f>
        <v>64.925519917330803</v>
      </c>
      <c r="AU40" s="11">
        <f>6661821.90307744/(10^3)</f>
        <v>6661.8219030774408</v>
      </c>
      <c r="AV40" s="11">
        <f>68167.5582041392/(10^3)</f>
        <v>68.167558204139198</v>
      </c>
      <c r="AW40" s="11">
        <f>71441.8321319687/(10^3)</f>
        <v>71.441832131968695</v>
      </c>
      <c r="AX40" s="11">
        <f>74801.5075482862/(10^3)</f>
        <v>74.801507548286196</v>
      </c>
      <c r="AY40" s="11">
        <f>76303.0801101217/(10^3)</f>
        <v>76.303080110121698</v>
      </c>
      <c r="AZ40" s="11">
        <f>78154.9440644816/(10^3)</f>
        <v>78.154944064481612</v>
      </c>
      <c r="BA40" s="11">
        <f>790.179749627536/(10^3)</f>
        <v>0.79017974962753601</v>
      </c>
      <c r="BB40" s="11">
        <f>81261.9981879186/(10^3)</f>
        <v>81.261998187918593</v>
      </c>
      <c r="BC40" s="11">
        <f>74321.5702941135/(10^3)</f>
        <v>74.321570294113499</v>
      </c>
      <c r="BD40" s="11">
        <f>71558.4207757749/(10^3)</f>
        <v>71.558420775774891</v>
      </c>
      <c r="BE40" s="11">
        <f>70049.3278451351/(10^3)</f>
        <v>70.04932784513511</v>
      </c>
      <c r="BF40" s="11">
        <f>70940.83967467/(10^3)</f>
        <v>70.940839674670002</v>
      </c>
      <c r="BG40" s="11">
        <f>7213205.23621876/(10^3)</f>
        <v>7213.2052362187596</v>
      </c>
      <c r="BH40" s="11">
        <f>71028.2018296098/(10^3)</f>
        <v>71.028201829609799</v>
      </c>
      <c r="BI40" s="11">
        <f>72861.0480495141/(10^3)</f>
        <v>72.861048049514096</v>
      </c>
      <c r="BJ40" s="11">
        <f>77960.2543382527/(10^3)</f>
        <v>77.960254338252696</v>
      </c>
      <c r="BK40" s="11">
        <f>78148.7100649807/(10^3)</f>
        <v>78.148710064980691</v>
      </c>
      <c r="BL40" s="11">
        <f>81930.5398997057/(10^3)</f>
        <v>81.930539899705707</v>
      </c>
      <c r="BM40" s="11">
        <f>853.151598993679/(10^3)</f>
        <v>0.85315159899367909</v>
      </c>
      <c r="BN40" s="11">
        <f>82896.0143050266/(10^3)</f>
        <v>82.896014305026611</v>
      </c>
      <c r="BO40" s="11">
        <f>74906.4283359434/(10^3)</f>
        <v>74.906428335943403</v>
      </c>
      <c r="BP40" s="11">
        <f>71915.3013189097/(10^3)</f>
        <v>71.915301318909698</v>
      </c>
      <c r="BQ40" s="11">
        <f>70523.2797327144/(10^3)</f>
        <v>70.523279732714414</v>
      </c>
      <c r="BR40" s="11">
        <f>72092.5396350147/(10^3)</f>
        <v>72.092539635014703</v>
      </c>
      <c r="BS40" s="11">
        <f>7029308.08139101/(10^3)</f>
        <v>7029.3080813910101</v>
      </c>
      <c r="BT40" s="11">
        <f>69870.4374609791/(10^3)</f>
        <v>69.870437460979105</v>
      </c>
      <c r="BU40" s="11">
        <f>73032.7712593489/(10^3)</f>
        <v>73.032771259348891</v>
      </c>
      <c r="BV40" s="11">
        <f>77892.1370375246/(10^3)</f>
        <v>77.892137037524606</v>
      </c>
      <c r="BW40" s="11">
        <f>81460.8364328175/(10^3)</f>
        <v>81.460836432817487</v>
      </c>
      <c r="BX40" s="11">
        <f>85293.6732215835/(10^3)</f>
        <v>85.293673221583504</v>
      </c>
      <c r="BY40" s="11">
        <f>915.772136397316/(10^3)</f>
        <v>0.91577213639731603</v>
      </c>
      <c r="BZ40" s="11">
        <f>91577.2136397316/(10^3)</f>
        <v>91.57721363973161</v>
      </c>
      <c r="CA40" s="11">
        <f>86134.0059118/(10^3)</f>
        <v>86.134005911800003</v>
      </c>
      <c r="CB40" s="11">
        <f>84369.1356663449/(10^3)</f>
        <v>84.369135666344903</v>
      </c>
      <c r="CC40" s="12"/>
      <c r="CZ40" s="11">
        <v>45.144743813098323</v>
      </c>
      <c r="DA40" s="11">
        <v>53.202590790315249</v>
      </c>
      <c r="DB40" s="11">
        <v>62.894552668355082</v>
      </c>
      <c r="DC40" s="11">
        <v>79.017974962753584</v>
      </c>
      <c r="DD40" s="11">
        <v>85.315159899367941</v>
      </c>
      <c r="DE40" s="11">
        <v>91.577213639731625</v>
      </c>
      <c r="DG40" s="11">
        <v>36.73689799804891</v>
      </c>
      <c r="DH40" s="11">
        <v>46.564346820747694</v>
      </c>
      <c r="DI40" s="11">
        <v>52.251299324862117</v>
      </c>
      <c r="DJ40" s="11">
        <v>66.618219030774412</v>
      </c>
      <c r="DK40" s="11">
        <v>72.132052362187636</v>
      </c>
      <c r="DL40" s="11">
        <v>70.293080813910066</v>
      </c>
    </row>
    <row r="41" spans="4:116" outlineLevel="1" x14ac:dyDescent="0.25">
      <c r="D41" s="13" t="s">
        <v>16</v>
      </c>
      <c r="E41" s="13" t="s">
        <v>2</v>
      </c>
      <c r="F41" s="10" t="s">
        <v>150</v>
      </c>
      <c r="G41" s="13"/>
      <c r="H41" s="62" t="str">
        <f t="shared" si="2"/>
        <v xml:space="preserve">Birmingham </v>
      </c>
      <c r="I41" s="11">
        <f>88935/(10^3)</f>
        <v>88.935000000000002</v>
      </c>
      <c r="J41" s="11">
        <f>87688.4725757636/(10^3)</f>
        <v>87.688472575763598</v>
      </c>
      <c r="K41" s="11">
        <f>8779998.07937906/(10^3)</f>
        <v>8779.9980793790601</v>
      </c>
      <c r="L41" s="11">
        <f>86961.2776914815/(10^3)</f>
        <v>86.961277691481499</v>
      </c>
      <c r="M41" s="11">
        <f>89362.6622452874/(10^3)</f>
        <v>89.362662245287396</v>
      </c>
      <c r="N41" s="11">
        <f>91160.1325877952/(10^3)</f>
        <v>91.160132587795204</v>
      </c>
      <c r="O41" s="11">
        <f>93852.4440780111/(10^3)</f>
        <v>93.852444078011104</v>
      </c>
      <c r="P41" s="11">
        <f>96211.4410105154/(10^3)</f>
        <v>96.211441010515401</v>
      </c>
      <c r="Q41" s="11">
        <f>971.6694822159/(10^3)</f>
        <v>0.97166948221589999</v>
      </c>
      <c r="R41" s="11">
        <f>96688.1002182402/(10^3)</f>
        <v>96.688100218240194</v>
      </c>
      <c r="S41" s="11">
        <f>92496.8344928984/(10^3)</f>
        <v>92.496834492898401</v>
      </c>
      <c r="T41" s="11">
        <f>90994.2447736934/(10^3)</f>
        <v>90.994244773693396</v>
      </c>
      <c r="U41" s="11">
        <f>88412.1357611804/(10^3)</f>
        <v>88.412135761180394</v>
      </c>
      <c r="V41" s="11">
        <f>86894.7012940859/(10^3)</f>
        <v>86.894701294085905</v>
      </c>
      <c r="W41" s="11">
        <f>8815344.30279069/(10^3)</f>
        <v>8815.3443027906906</v>
      </c>
      <c r="X41" s="11">
        <f>89473.9224826788/(10^3)</f>
        <v>89.473922482678802</v>
      </c>
      <c r="Y41" s="11">
        <f>91084.9824775743/(10^3)</f>
        <v>91.0849824775743</v>
      </c>
      <c r="Z41" s="11">
        <f>97026.3248636258/(10^3)</f>
        <v>97.026324863625803</v>
      </c>
      <c r="AA41" s="11">
        <f>100343.625998503/(10^3)</f>
        <v>100.343625998503</v>
      </c>
      <c r="AB41" s="11">
        <f>102246.546759224/(10^3)</f>
        <v>102.246546759224</v>
      </c>
      <c r="AC41" s="11">
        <f>1061.91437404676/(10^3)</f>
        <v>1.06191437404676</v>
      </c>
      <c r="AD41" s="11">
        <f>109687.60150418/(10^3)</f>
        <v>109.68760150417999</v>
      </c>
      <c r="AE41" s="11">
        <f>106539.761758062/(10^3)</f>
        <v>106.539761758062</v>
      </c>
      <c r="AF41" s="11">
        <f>106762.849857524/(10^3)</f>
        <v>106.76284985752399</v>
      </c>
      <c r="AG41" s="11">
        <f>111198.106826341/(10^3)</f>
        <v>111.198106826341</v>
      </c>
      <c r="AH41" s="11">
        <f>113956.100204511/(10^3)</f>
        <v>113.956100204511</v>
      </c>
      <c r="AI41" s="11">
        <f>11922852.8592648/(10^3)</f>
        <v>11922.8528592648</v>
      </c>
      <c r="AJ41" s="11">
        <f>123107.329477423/(10^3)</f>
        <v>123.10732947742301</v>
      </c>
      <c r="AK41" s="11">
        <f>122753.648641526/(10^3)</f>
        <v>122.753648641526</v>
      </c>
      <c r="AL41" s="11">
        <f>120707.312562122/(10^3)</f>
        <v>120.707312562122</v>
      </c>
      <c r="AM41" s="11">
        <f>121117.014898863/(10^3)</f>
        <v>121.11701489886299</v>
      </c>
      <c r="AN41" s="11">
        <f>123347.577844852/(10^3)</f>
        <v>123.347577844852</v>
      </c>
      <c r="AO41" s="11">
        <f>1241.63936096502/(10^3)</f>
        <v>1.24163936096502</v>
      </c>
      <c r="AP41" s="11">
        <f>128020.443916564/(10^3)</f>
        <v>128.02044391656401</v>
      </c>
      <c r="AQ41" s="11">
        <f>126138.442073942/(10^3)</f>
        <v>126.138442073942</v>
      </c>
      <c r="AR41" s="11">
        <f>127580.324793295/(10^3)</f>
        <v>127.58032479329501</v>
      </c>
      <c r="AS41" s="11">
        <f>126769.578215841/(10^3)</f>
        <v>126.76957821584099</v>
      </c>
      <c r="AT41" s="11">
        <f>123932.987503175/(10^3)</f>
        <v>123.932987503175</v>
      </c>
      <c r="AU41" s="11">
        <f>12674737.1255739/(10^3)</f>
        <v>12674.7371255739</v>
      </c>
      <c r="AV41" s="11">
        <f>132239.117475861/(10^3)</f>
        <v>132.23911747586101</v>
      </c>
      <c r="AW41" s="11">
        <f>133571.824187416/(10^3)</f>
        <v>133.57182418741601</v>
      </c>
      <c r="AX41" s="11">
        <f>140647.115176937/(10^3)</f>
        <v>140.64711517693698</v>
      </c>
      <c r="AY41" s="11">
        <f>146707.653967245/(10^3)</f>
        <v>146.70765396724499</v>
      </c>
      <c r="AZ41" s="11">
        <f>153590.065833406/(10^3)</f>
        <v>153.59006583340599</v>
      </c>
      <c r="BA41" s="11">
        <f>1559.97841411085/(10^3)</f>
        <v>1.5599784141108501</v>
      </c>
      <c r="BB41" s="11">
        <f>162117.74674821/(10^3)</f>
        <v>162.11774674820998</v>
      </c>
      <c r="BC41" s="11">
        <f>148094.495045918/(10^3)</f>
        <v>148.09449504591802</v>
      </c>
      <c r="BD41" s="11">
        <f>142639.797034499/(10^3)</f>
        <v>142.639797034499</v>
      </c>
      <c r="BE41" s="11">
        <f>141088.538859705/(10^3)</f>
        <v>141.08853885970501</v>
      </c>
      <c r="BF41" s="11">
        <f>137086.425256107/(10^3)</f>
        <v>137.08642525610699</v>
      </c>
      <c r="BG41" s="11">
        <f>13931824.0663648/(10^3)</f>
        <v>13931.824066364801</v>
      </c>
      <c r="BH41" s="11">
        <f>142944.11013656/(10^3)</f>
        <v>142.94411013656</v>
      </c>
      <c r="BI41" s="11">
        <f>148360.115951976/(10^3)</f>
        <v>148.36011595197601</v>
      </c>
      <c r="BJ41" s="11">
        <f>156751.605925693/(10^3)</f>
        <v>156.75160592569301</v>
      </c>
      <c r="BK41" s="11">
        <f>159028.454375074/(10^3)</f>
        <v>159.02845437507401</v>
      </c>
      <c r="BL41" s="11">
        <f>165476.695343963/(10^3)</f>
        <v>165.47669534396297</v>
      </c>
      <c r="BM41" s="11">
        <f>1725.13348667849/(10^3)</f>
        <v>1.72513348667849</v>
      </c>
      <c r="BN41" s="11">
        <f>174523.481100395/(10^3)</f>
        <v>174.523481100395</v>
      </c>
      <c r="BO41" s="11">
        <f>157192.517883409/(10^3)</f>
        <v>157.19251788340898</v>
      </c>
      <c r="BP41" s="11">
        <f>154694.824740205/(10^3)</f>
        <v>154.69482474020498</v>
      </c>
      <c r="BQ41" s="11">
        <f>152606.706752922/(10^3)</f>
        <v>152.60670675292201</v>
      </c>
      <c r="BR41" s="11">
        <f>159027.743197733/(10^3)</f>
        <v>159.027743197733</v>
      </c>
      <c r="BS41" s="11">
        <f>16063385.0454856/(10^3)</f>
        <v>16063.3850454856</v>
      </c>
      <c r="BT41" s="11">
        <f>162707.018729019/(10^3)</f>
        <v>162.70701872901901</v>
      </c>
      <c r="BU41" s="11">
        <f>164985.844970546/(10^3)</f>
        <v>164.985844970546</v>
      </c>
      <c r="BV41" s="11">
        <f>165205.873458109/(10^3)</f>
        <v>165.20587345810901</v>
      </c>
      <c r="BW41" s="11">
        <f>173359.682998199/(10^3)</f>
        <v>173.35968299819899</v>
      </c>
      <c r="BX41" s="11">
        <f>173434.831433948/(10^3)</f>
        <v>173.43483143394801</v>
      </c>
      <c r="BY41" s="11">
        <f>1854.79228721914/(10^3)</f>
        <v>1.85479228721914</v>
      </c>
      <c r="BZ41" s="11">
        <f>185479.228721914/(10^3)</f>
        <v>185.47922872191401</v>
      </c>
      <c r="CA41" s="11">
        <f>184813.765910902/(10^3)</f>
        <v>184.81376591090199</v>
      </c>
      <c r="CB41" s="11">
        <f>177961.161178807/(10^3)</f>
        <v>177.961161178807</v>
      </c>
      <c r="CC41" s="12"/>
      <c r="CZ41" s="11">
        <v>97.166948221590005</v>
      </c>
      <c r="DA41" s="11">
        <v>106.1914374046758</v>
      </c>
      <c r="DB41" s="11">
        <v>124.1639360965022</v>
      </c>
      <c r="DC41" s="11">
        <v>155.99784141108486</v>
      </c>
      <c r="DD41" s="11">
        <v>172.51334866784859</v>
      </c>
      <c r="DE41" s="11">
        <v>185.47922872191393</v>
      </c>
      <c r="DG41" s="11">
        <v>87.799980793790596</v>
      </c>
      <c r="DH41" s="11">
        <v>88.153443027906889</v>
      </c>
      <c r="DI41" s="11">
        <v>119.22852859264819</v>
      </c>
      <c r="DJ41" s="11">
        <v>126.74737125573937</v>
      </c>
      <c r="DK41" s="11">
        <v>139.3182406636476</v>
      </c>
      <c r="DL41" s="11">
        <v>160.63385045485609</v>
      </c>
    </row>
    <row r="42" spans="4:116" outlineLevel="1" x14ac:dyDescent="0.25">
      <c r="D42" s="13" t="s">
        <v>18</v>
      </c>
      <c r="E42" s="13" t="s">
        <v>17</v>
      </c>
      <c r="F42" s="10" t="s">
        <v>149</v>
      </c>
      <c r="G42" s="13"/>
      <c r="H42" s="62" t="str">
        <f t="shared" si="2"/>
        <v xml:space="preserve">Chicago </v>
      </c>
      <c r="I42" s="11">
        <f>11631/(10^3)</f>
        <v>11.631</v>
      </c>
      <c r="J42" s="11">
        <f>12120.8203566045/(10^3)</f>
        <v>12.120820356604499</v>
      </c>
      <c r="K42" s="11">
        <f>1202266.26126103/(10^3)</f>
        <v>1202.2662612610302</v>
      </c>
      <c r="L42" s="11">
        <f>12229.9076991998/(10^3)</f>
        <v>12.229907699199801</v>
      </c>
      <c r="M42" s="11">
        <f>12073.1364384403/(10^3)</f>
        <v>12.073136438440301</v>
      </c>
      <c r="N42" s="11">
        <f>12575.7608525854/(10^3)</f>
        <v>12.575760852585399</v>
      </c>
      <c r="O42" s="11">
        <f>12672.93684505/(10^3)</f>
        <v>12.67293684505</v>
      </c>
      <c r="P42" s="11">
        <f>12885.7882068291/(10^3)</f>
        <v>12.885788206829099</v>
      </c>
      <c r="Q42" s="11">
        <f>132.490426774895/(10^3)</f>
        <v>0.132490426774895</v>
      </c>
      <c r="R42" s="11">
        <f>13716.1447679003/(10^3)</f>
        <v>13.7161447679003</v>
      </c>
      <c r="S42" s="11">
        <f>13501.8049606608/(10^3)</f>
        <v>13.501804960660801</v>
      </c>
      <c r="T42" s="11">
        <f>13224.3788616208/(10^3)</f>
        <v>13.224378861620801</v>
      </c>
      <c r="U42" s="11">
        <f>12906.7465383413/(10^3)</f>
        <v>12.9067465383413</v>
      </c>
      <c r="V42" s="11">
        <f>12717.971933682/(10^3)</f>
        <v>12.717971933682</v>
      </c>
      <c r="W42" s="11">
        <f>1277301.73714221/(10^3)</f>
        <v>1277.30173714221</v>
      </c>
      <c r="X42" s="11">
        <f>13155.8956218657/(10^3)</f>
        <v>13.155895621865699</v>
      </c>
      <c r="Y42" s="11">
        <f>12778.2230524348/(10^3)</f>
        <v>12.7782230524348</v>
      </c>
      <c r="Z42" s="11">
        <f>13795.5769642426/(10^3)</f>
        <v>13.795576964242601</v>
      </c>
      <c r="AA42" s="11">
        <f>14341.3349577174/(10^3)</f>
        <v>14.3413349577174</v>
      </c>
      <c r="AB42" s="11">
        <f>14671.334931465/(10^3)</f>
        <v>14.671334931465001</v>
      </c>
      <c r="AC42" s="11">
        <f>152.264236112646/(10^3)</f>
        <v>0.152264236112646</v>
      </c>
      <c r="AD42" s="11">
        <f>15979.5916624139/(10^3)</f>
        <v>15.979591662413901</v>
      </c>
      <c r="AE42" s="11">
        <f>16454.908301937/(10^3)</f>
        <v>16.454908301936999</v>
      </c>
      <c r="AF42" s="11">
        <f>16543.1097843946/(10^3)</f>
        <v>16.543109784394602</v>
      </c>
      <c r="AG42" s="11">
        <f>17113.6709994397/(10^3)</f>
        <v>17.113670999439698</v>
      </c>
      <c r="AH42" s="11">
        <f>16881.9560901755/(10^3)</f>
        <v>16.8819560901755</v>
      </c>
      <c r="AI42" s="11">
        <f>1729931.40571672/(10^3)</f>
        <v>1729.9314057167201</v>
      </c>
      <c r="AJ42" s="11">
        <f>17079.788645972/(10^3)</f>
        <v>17.079788645971998</v>
      </c>
      <c r="AK42" s="11">
        <f>17246.9645905954/(10^3)</f>
        <v>17.246964590595397</v>
      </c>
      <c r="AL42" s="11">
        <f>17120.0146102444/(10^3)</f>
        <v>17.1200146102444</v>
      </c>
      <c r="AM42" s="11">
        <f>17490.3196722364/(10^3)</f>
        <v>17.490319672236399</v>
      </c>
      <c r="AN42" s="11">
        <f>17637.8753930688/(10^3)</f>
        <v>17.6378753930688</v>
      </c>
      <c r="AO42" s="11">
        <f>178.596506689986/(10^3)</f>
        <v>0.178596506689986</v>
      </c>
      <c r="AP42" s="11">
        <f>18343.2937382085/(10^3)</f>
        <v>18.343293738208502</v>
      </c>
      <c r="AQ42" s="11">
        <f>18287.7682233629/(10^3)</f>
        <v>18.2877682233629</v>
      </c>
      <c r="AR42" s="11">
        <f>18127.4467025736/(10^3)</f>
        <v>18.1274467025736</v>
      </c>
      <c r="AS42" s="11">
        <f>18167.0051639398/(10^3)</f>
        <v>18.167005163939802</v>
      </c>
      <c r="AT42" s="11">
        <f>18635.8922584558/(10^3)</f>
        <v>18.635892258455797</v>
      </c>
      <c r="AU42" s="11">
        <f>1943042.04989302/(10^3)</f>
        <v>1943.04204989302</v>
      </c>
      <c r="AV42" s="11">
        <f>19458.7490727988/(10^3)</f>
        <v>19.458749072798799</v>
      </c>
      <c r="AW42" s="11">
        <f>20349.7244474612/(10^3)</f>
        <v>20.349724447461202</v>
      </c>
      <c r="AX42" s="11">
        <f>20391.0487485264/(10^3)</f>
        <v>20.391048748526398</v>
      </c>
      <c r="AY42" s="11">
        <f>20462.0151510581/(10^3)</f>
        <v>20.4620151510581</v>
      </c>
      <c r="AZ42" s="11">
        <f>21312.9100858535/(10^3)</f>
        <v>21.312910085853499</v>
      </c>
      <c r="BA42" s="11">
        <f>220.62186764257/(10^3)</f>
        <v>0.22062186764257</v>
      </c>
      <c r="BB42" s="11">
        <f>21411.0579843501/(10^3)</f>
        <v>21.411057984350101</v>
      </c>
      <c r="BC42" s="11">
        <f>21179.037934341/(10^3)</f>
        <v>21.179037934341</v>
      </c>
      <c r="BD42" s="11">
        <f>21125.3587722527/(10^3)</f>
        <v>21.125358772252699</v>
      </c>
      <c r="BE42" s="11">
        <f>20926.5173910887/(10^3)</f>
        <v>20.926517391088698</v>
      </c>
      <c r="BF42" s="11">
        <f>21768.1444482788/(10^3)</f>
        <v>21.7681444482788</v>
      </c>
      <c r="BG42" s="11">
        <f>2277047.17366209/(10^3)</f>
        <v>2277.0471736620902</v>
      </c>
      <c r="BH42" s="11">
        <f>22089.6927952496/(10^3)</f>
        <v>22.089692795249601</v>
      </c>
      <c r="BI42" s="11">
        <f>22907.8075054544/(10^3)</f>
        <v>22.9078075054544</v>
      </c>
      <c r="BJ42" s="11">
        <f>24742.4331553762/(10^3)</f>
        <v>24.742433155376197</v>
      </c>
      <c r="BK42" s="11">
        <f>25029.5307534825/(10^3)</f>
        <v>25.029530753482501</v>
      </c>
      <c r="BL42" s="11">
        <f>25387.211380925/(10^3)</f>
        <v>25.387211380924999</v>
      </c>
      <c r="BM42" s="11">
        <f>259.862204466185/(10^3)</f>
        <v>0.25986220446618502</v>
      </c>
      <c r="BN42" s="11">
        <f>26369.6961865225/(10^3)</f>
        <v>26.3696961865225</v>
      </c>
      <c r="BO42" s="11">
        <f>24962.8738929226/(10^3)</f>
        <v>24.962873892922598</v>
      </c>
      <c r="BP42" s="11">
        <f>24048.803861191/(10^3)</f>
        <v>24.048803861191001</v>
      </c>
      <c r="BQ42" s="11">
        <f>23761.0131571059/(10^3)</f>
        <v>23.7610131571059</v>
      </c>
      <c r="BR42" s="11">
        <f>24402.1705262003/(10^3)</f>
        <v>24.402170526200301</v>
      </c>
      <c r="BS42" s="11">
        <f>2434700.98546125/(10^3)</f>
        <v>2434.7009854612497</v>
      </c>
      <c r="BT42" s="11">
        <f>23924.3728692607/(10^3)</f>
        <v>23.924372869260701</v>
      </c>
      <c r="BU42" s="11">
        <f>23667.4112473039/(10^3)</f>
        <v>23.6674112473039</v>
      </c>
      <c r="BV42" s="11">
        <f>24391.1442828795/(10^3)</f>
        <v>24.391144282879502</v>
      </c>
      <c r="BW42" s="11">
        <f>24774.6692504385/(10^3)</f>
        <v>24.7746692504385</v>
      </c>
      <c r="BX42" s="11">
        <f>25116.1186208653/(10^3)</f>
        <v>25.116118620865301</v>
      </c>
      <c r="BY42" s="11">
        <f>259.96603741728/(10^3)</f>
        <v>0.25996603741728003</v>
      </c>
      <c r="BZ42" s="11">
        <f>25996.603741728/(10^3)</f>
        <v>25.996603741727998</v>
      </c>
      <c r="CA42" s="11">
        <f>24682.9368685891/(10^3)</f>
        <v>24.682936868589099</v>
      </c>
      <c r="CB42" s="11">
        <f>23707.0234124652/(10^3)</f>
        <v>23.707023412465201</v>
      </c>
      <c r="CC42" s="12"/>
      <c r="CZ42" s="11">
        <v>13.24904267748947</v>
      </c>
      <c r="DA42" s="11">
        <v>15.226423611264563</v>
      </c>
      <c r="DB42" s="11">
        <v>17.859650668998558</v>
      </c>
      <c r="DC42" s="11">
        <v>22.062186764257042</v>
      </c>
      <c r="DD42" s="11">
        <v>25.986220446618471</v>
      </c>
      <c r="DE42" s="11">
        <v>25.996603741728009</v>
      </c>
      <c r="DG42" s="11">
        <v>12.022662612610333</v>
      </c>
      <c r="DH42" s="11">
        <v>12.773017371422057</v>
      </c>
      <c r="DI42" s="11">
        <v>17.299314057167201</v>
      </c>
      <c r="DJ42" s="11">
        <v>19.430420498930225</v>
      </c>
      <c r="DK42" s="11">
        <v>22.770471736620848</v>
      </c>
      <c r="DL42" s="11">
        <v>24.34700985461248</v>
      </c>
    </row>
    <row r="43" spans="4:116" outlineLevel="1" x14ac:dyDescent="0.25">
      <c r="D43" s="13" t="s">
        <v>20</v>
      </c>
      <c r="E43" s="13" t="s">
        <v>19</v>
      </c>
      <c r="F43" s="10" t="s">
        <v>151</v>
      </c>
      <c r="G43" s="13"/>
      <c r="H43" s="62" t="str">
        <f t="shared" si="2"/>
        <v xml:space="preserve">Colorado Springs </v>
      </c>
      <c r="I43" s="11">
        <f>8547/(10^3)</f>
        <v>8.5470000000000006</v>
      </c>
      <c r="J43" s="11">
        <f>8597.2885937607/(10^3)</f>
        <v>8.5972885937607</v>
      </c>
      <c r="K43" s="11">
        <f>842248.226160666/(10^3)</f>
        <v>842.24822616066592</v>
      </c>
      <c r="L43" s="11">
        <f>8428.01169210842/(10^3)</f>
        <v>8.42801169210842</v>
      </c>
      <c r="M43" s="11">
        <f>8743.20308851128/(10^3)</f>
        <v>8.7432030885112795</v>
      </c>
      <c r="N43" s="11">
        <f>8870.29055296078/(10^3)</f>
        <v>8.8702905529607801</v>
      </c>
      <c r="O43" s="11">
        <f>8898.46646629166/(10^3)</f>
        <v>8.8984664662916604</v>
      </c>
      <c r="P43" s="11">
        <f>9059.15041252801/(10^3)</f>
        <v>9.0591504125280107</v>
      </c>
      <c r="Q43" s="11">
        <f>92.2237962467284/(10^3)</f>
        <v>9.2223796246728398E-2</v>
      </c>
      <c r="R43" s="11">
        <f>9138.46936878571/(10^3)</f>
        <v>9.1384693687857101</v>
      </c>
      <c r="S43" s="11">
        <f>8650.23334127357/(10^3)</f>
        <v>8.6502333412735695</v>
      </c>
      <c r="T43" s="11">
        <f>8325.10389466203/(10^3)</f>
        <v>8.3251038946620302</v>
      </c>
      <c r="U43" s="11">
        <f>8177.6422473621/(10^3)</f>
        <v>8.1776422473620993</v>
      </c>
      <c r="V43" s="11">
        <f>8357.03357755834/(10^3)</f>
        <v>8.3570335775583402</v>
      </c>
      <c r="W43" s="11">
        <f>817607.292768166/(10^3)</f>
        <v>817.60729276816608</v>
      </c>
      <c r="X43" s="11">
        <f>8388.57255393894/(10^3)</f>
        <v>8.3885725539389409</v>
      </c>
      <c r="Y43" s="11">
        <f>8558.26300795657/(10^3)</f>
        <v>8.5582630079565689</v>
      </c>
      <c r="Z43" s="11">
        <f>8800.55454637144/(10^3)</f>
        <v>8.8005545463714405</v>
      </c>
      <c r="AA43" s="11">
        <f>9055.42585012218/(10^3)</f>
        <v>9.0554258501221785</v>
      </c>
      <c r="AB43" s="11">
        <f>9162.09372993139/(10^3)</f>
        <v>9.1620937299313905</v>
      </c>
      <c r="AC43" s="11">
        <f>94.6913713275757/(10^3)</f>
        <v>9.4691371327575699E-2</v>
      </c>
      <c r="AD43" s="11">
        <f>9317.79943096405/(10^3)</f>
        <v>9.3177994309640511</v>
      </c>
      <c r="AE43" s="11">
        <f>9345.90247253024/(10^3)</f>
        <v>9.3459024725302413</v>
      </c>
      <c r="AF43" s="11">
        <f>9689.47130932641/(10^3)</f>
        <v>9.6894713093264109</v>
      </c>
      <c r="AG43" s="11">
        <f>9715.42925552592/(10^3)</f>
        <v>9.7154292555259207</v>
      </c>
      <c r="AH43" s="11">
        <f>9764.49216142547/(10^3)</f>
        <v>9.7644921614254709</v>
      </c>
      <c r="AI43" s="11">
        <f>978744.193705106/(10^3)</f>
        <v>978.744193705106</v>
      </c>
      <c r="AJ43" s="11">
        <f>9838.58645516705/(10^3)</f>
        <v>9.8385864551670501</v>
      </c>
      <c r="AK43" s="11">
        <f>10179.5016275912/(10^3)</f>
        <v>10.1795016275912</v>
      </c>
      <c r="AL43" s="11">
        <f>10176.4856171577/(10^3)</f>
        <v>10.176485617157699</v>
      </c>
      <c r="AM43" s="11">
        <f>10360.6802389283/(10^3)</f>
        <v>10.3606802389283</v>
      </c>
      <c r="AN43" s="11">
        <f>10865.6815255803/(10^3)</f>
        <v>10.8656815255803</v>
      </c>
      <c r="AO43" s="11">
        <f>108.794540090395/(10^3)</f>
        <v>0.10879454009039501</v>
      </c>
      <c r="AP43" s="11">
        <f>10970.2669549689/(10^3)</f>
        <v>10.970266954968899</v>
      </c>
      <c r="AQ43" s="11">
        <f>10883.0882194166/(10^3)</f>
        <v>10.883088219416601</v>
      </c>
      <c r="AR43" s="11">
        <f>10672.4857972262/(10^3)</f>
        <v>10.6724857972262</v>
      </c>
      <c r="AS43" s="11">
        <f>10997.9438116307/(10^3)</f>
        <v>10.9979438116307</v>
      </c>
      <c r="AT43" s="11">
        <f>11098.1765334924/(10^3)</f>
        <v>11.098176533492401</v>
      </c>
      <c r="AU43" s="11">
        <f>1102660.12124945/(10^3)</f>
        <v>1102.66012124945</v>
      </c>
      <c r="AV43" s="11">
        <f>11375.6447373498/(10^3)</f>
        <v>11.3756447373498</v>
      </c>
      <c r="AW43" s="11">
        <f>11357.9541118684/(10^3)</f>
        <v>11.357954111868398</v>
      </c>
      <c r="AX43" s="11">
        <f>11871.8345168153/(10^3)</f>
        <v>11.8718345168153</v>
      </c>
      <c r="AY43" s="11">
        <f>12352.7958579171/(10^3)</f>
        <v>12.352795857917101</v>
      </c>
      <c r="AZ43" s="11">
        <f>12426.7467653446/(10^3)</f>
        <v>12.4267467653446</v>
      </c>
      <c r="BA43" s="11">
        <f>126.252901256047/(10^3)</f>
        <v>0.12625290125604699</v>
      </c>
      <c r="BB43" s="11">
        <f>12649.9578909341/(10^3)</f>
        <v>12.6499578909341</v>
      </c>
      <c r="BC43" s="11">
        <f>11928.7091828105/(10^3)</f>
        <v>11.928709182810501</v>
      </c>
      <c r="BD43" s="11">
        <f>11670.6279498118/(10^3)</f>
        <v>11.6706279498118</v>
      </c>
      <c r="BE43" s="11">
        <f>11573.1928756998/(10^3)</f>
        <v>11.573192875699801</v>
      </c>
      <c r="BF43" s="11">
        <f>11721.660842824/(10^3)</f>
        <v>11.721660842823999</v>
      </c>
      <c r="BG43" s="11">
        <f>1226408.96976448/(10^3)</f>
        <v>1226.4089697644799</v>
      </c>
      <c r="BH43" s="11">
        <f>12813.9386412034/(10^3)</f>
        <v>12.8139386412034</v>
      </c>
      <c r="BI43" s="11">
        <f>12536.9700506686/(10^3)</f>
        <v>12.5369700506686</v>
      </c>
      <c r="BJ43" s="11">
        <f>13620.6236018014/(10^3)</f>
        <v>13.6206236018014</v>
      </c>
      <c r="BK43" s="11">
        <f>14051.701421508/(10^3)</f>
        <v>14.051701421508</v>
      </c>
      <c r="BL43" s="11">
        <f>14290.1225836565/(10^3)</f>
        <v>14.290122583656501</v>
      </c>
      <c r="BM43" s="11">
        <f>149.698892025085/(10^3)</f>
        <v>0.14969889202508499</v>
      </c>
      <c r="BN43" s="11">
        <f>15627.4448631303/(10^3)</f>
        <v>15.6274448631303</v>
      </c>
      <c r="BO43" s="11">
        <f>14846.5336706321/(10^3)</f>
        <v>14.8465336706321</v>
      </c>
      <c r="BP43" s="11">
        <f>14190.825992231/(10^3)</f>
        <v>14.190825992231002</v>
      </c>
      <c r="BQ43" s="11">
        <f>13886.0284041918/(10^3)</f>
        <v>13.8860284041918</v>
      </c>
      <c r="BR43" s="11">
        <f>14060.984368616/(10^3)</f>
        <v>14.060984368615999</v>
      </c>
      <c r="BS43" s="11">
        <f>1416185.31593486/(10^3)</f>
        <v>1416.18531593486</v>
      </c>
      <c r="BT43" s="11">
        <f>14594.6270143547/(10^3)</f>
        <v>14.594627014354701</v>
      </c>
      <c r="BU43" s="11">
        <f>14799.0385958509/(10^3)</f>
        <v>14.799038595850899</v>
      </c>
      <c r="BV43" s="11">
        <f>15132.6589689621/(10^3)</f>
        <v>15.132658968962099</v>
      </c>
      <c r="BW43" s="11">
        <f>15419.6472725879/(10^3)</f>
        <v>15.4196472725879</v>
      </c>
      <c r="BX43" s="11">
        <f>15913.9278225137/(10^3)</f>
        <v>15.913927822513701</v>
      </c>
      <c r="BY43" s="11">
        <f>157.658690485284/(10^3)</f>
        <v>0.15765869048528403</v>
      </c>
      <c r="BZ43" s="11">
        <f>15765.8690485284/(10^3)</f>
        <v>15.765869048528401</v>
      </c>
      <c r="CA43" s="11">
        <f>15988.3136249901/(10^3)</f>
        <v>15.9883136249901</v>
      </c>
      <c r="CB43" s="11">
        <f>16669.7212649389/(10^3)</f>
        <v>16.6697212649389</v>
      </c>
      <c r="CC43" s="12"/>
      <c r="CZ43" s="11">
        <v>9.222379624672838</v>
      </c>
      <c r="DA43" s="11">
        <v>9.4691371327575737</v>
      </c>
      <c r="DB43" s="11">
        <v>10.879454009039458</v>
      </c>
      <c r="DC43" s="11">
        <v>12.625290125604733</v>
      </c>
      <c r="DD43" s="11">
        <v>14.969889202508455</v>
      </c>
      <c r="DE43" s="11">
        <v>15.765869048528394</v>
      </c>
      <c r="DG43" s="11">
        <v>8.4224822616066621</v>
      </c>
      <c r="DH43" s="11">
        <v>8.1760729276816591</v>
      </c>
      <c r="DI43" s="11">
        <v>9.7874419370510601</v>
      </c>
      <c r="DJ43" s="11">
        <v>11.0266012124945</v>
      </c>
      <c r="DK43" s="11">
        <v>12.264089697644778</v>
      </c>
      <c r="DL43" s="11">
        <v>14.161853159348567</v>
      </c>
    </row>
    <row r="44" spans="4:116" outlineLevel="1" x14ac:dyDescent="0.25">
      <c r="D44" s="13" t="s">
        <v>21</v>
      </c>
      <c r="E44" s="13" t="s">
        <v>12</v>
      </c>
      <c r="F44" s="10" t="s">
        <v>150</v>
      </c>
      <c r="G44" s="13"/>
      <c r="H44" s="62" t="str">
        <f t="shared" si="2"/>
        <v xml:space="preserve">Dallas </v>
      </c>
      <c r="I44" s="11">
        <f>3873/(10^3)</f>
        <v>3.8730000000000002</v>
      </c>
      <c r="J44" s="11">
        <f>3963.58476468704/(10^3)</f>
        <v>3.9635847646870404</v>
      </c>
      <c r="K44" s="11">
        <f>410422.669276306/(10^3)</f>
        <v>410.42266927630601</v>
      </c>
      <c r="L44" s="11">
        <f>4186.86352790048/(10^3)</f>
        <v>4.1868635279004804</v>
      </c>
      <c r="M44" s="11">
        <f>4282.41329021539/(10^3)</f>
        <v>4.2824132902153895</v>
      </c>
      <c r="N44" s="11">
        <f>4399.35584976757/(10^3)</f>
        <v>4.39935584976757</v>
      </c>
      <c r="O44" s="11">
        <f>4511.269580497/(10^3)</f>
        <v>4.5112695804970002</v>
      </c>
      <c r="P44" s="11">
        <f>4631.65923109303/(10^3)</f>
        <v>4.63165923109303</v>
      </c>
      <c r="Q44" s="11">
        <f>48.2034975017675/(10^3)</f>
        <v>4.82034975017675E-2</v>
      </c>
      <c r="R44" s="11">
        <f>5053.32926822926/(10^3)</f>
        <v>5.0533292682292608</v>
      </c>
      <c r="S44" s="11">
        <f>4806.69206896633/(10^3)</f>
        <v>4.8066920689663304</v>
      </c>
      <c r="T44" s="11">
        <f>4743.5855694347/(10^3)</f>
        <v>4.7435855694346998</v>
      </c>
      <c r="U44" s="11">
        <f>4629.22151786515/(10^3)</f>
        <v>4.6292215178651501</v>
      </c>
      <c r="V44" s="11">
        <f>4787.84419462789/(10^3)</f>
        <v>4.7878441946278896</v>
      </c>
      <c r="W44" s="11">
        <f>477101.644371767/(10^3)</f>
        <v>477.10164437176701</v>
      </c>
      <c r="X44" s="11">
        <f>4853.65676024913/(10^3)</f>
        <v>4.8536567602491294</v>
      </c>
      <c r="Y44" s="11">
        <f>4737.12052476524/(10^3)</f>
        <v>4.7371205247652393</v>
      </c>
      <c r="Z44" s="11">
        <f>4911.63699938157/(10^3)</f>
        <v>4.9116369993815701</v>
      </c>
      <c r="AA44" s="11">
        <f>5004.29534325295/(10^3)</f>
        <v>5.0042953432529504</v>
      </c>
      <c r="AB44" s="11">
        <f>5250.9433743542/(10^3)</f>
        <v>5.2509433743542004</v>
      </c>
      <c r="AC44" s="11">
        <f>54.3749259627071/(10^3)</f>
        <v>5.4374925962707106E-2</v>
      </c>
      <c r="AD44" s="11">
        <f>5483.63623168444/(10^3)</f>
        <v>5.4836362316844394</v>
      </c>
      <c r="AE44" s="11">
        <f>5471.9880562171/(10^3)</f>
        <v>5.4719880562170999</v>
      </c>
      <c r="AF44" s="11">
        <f>5625.08168351704/(10^3)</f>
        <v>5.6250816835170401</v>
      </c>
      <c r="AG44" s="11">
        <f>5504.74025727876/(10^3)</f>
        <v>5.50474025727876</v>
      </c>
      <c r="AH44" s="11">
        <f>5432.26645545027/(10^3)</f>
        <v>5.4322664554502698</v>
      </c>
      <c r="AI44" s="11">
        <f>557889.137704989/(10^3)</f>
        <v>557.88913770498903</v>
      </c>
      <c r="AJ44" s="11">
        <f>5486.44399524804/(10^3)</f>
        <v>5.4864439952480399</v>
      </c>
      <c r="AK44" s="11">
        <f>5402.65329259303/(10^3)</f>
        <v>5.4026532925930297</v>
      </c>
      <c r="AL44" s="11">
        <f>5308.6556115556/(10^3)</f>
        <v>5.3086556115556007</v>
      </c>
      <c r="AM44" s="11">
        <f>5433.85253240215/(10^3)</f>
        <v>5.4338525324021498</v>
      </c>
      <c r="AN44" s="11">
        <f>5642.81205536485/(10^3)</f>
        <v>5.6428120553648498</v>
      </c>
      <c r="AO44" s="11">
        <f>56.8380470470696/(10^3)</f>
        <v>5.6838047047069601E-2</v>
      </c>
      <c r="AP44" s="11">
        <f>5530.02919799945/(10^3)</f>
        <v>5.5300291979994496</v>
      </c>
      <c r="AQ44" s="11">
        <f>5555.57235831307/(10^3)</f>
        <v>5.5555723583130705</v>
      </c>
      <c r="AR44" s="11">
        <f>5553.62637896259/(10^3)</f>
        <v>5.5536263789625897</v>
      </c>
      <c r="AS44" s="11">
        <f>5413.80079023428/(10^3)</f>
        <v>5.41380079023428</v>
      </c>
      <c r="AT44" s="11">
        <f>5622.45761859631/(10^3)</f>
        <v>5.62245761859631</v>
      </c>
      <c r="AU44" s="11">
        <f>572205.691139534/(10^3)</f>
        <v>572.205691139534</v>
      </c>
      <c r="AV44" s="11">
        <f>5808.06091113603/(10^3)</f>
        <v>5.80806091113603</v>
      </c>
      <c r="AW44" s="11">
        <f>5909.82335549362/(10^3)</f>
        <v>5.9098233554936197</v>
      </c>
      <c r="AX44" s="11">
        <f>5998.94289727161/(10^3)</f>
        <v>5.9989428972716095</v>
      </c>
      <c r="AY44" s="11">
        <f>6198.46256911315/(10^3)</f>
        <v>6.1984625691131496</v>
      </c>
      <c r="AZ44" s="11">
        <f>6298.04018042657/(10^3)</f>
        <v>6.29804018042657</v>
      </c>
      <c r="BA44" s="11">
        <f>63.9104592790099/(10^3)</f>
        <v>6.3910459279009901E-2</v>
      </c>
      <c r="BB44" s="11">
        <f>6289.57925079665/(10^3)</f>
        <v>6.2895792507966499</v>
      </c>
      <c r="BC44" s="11">
        <f>6210.80461367511/(10^3)</f>
        <v>6.2108046136751103</v>
      </c>
      <c r="BD44" s="11">
        <f>6160.32011886565/(10^3)</f>
        <v>6.1603201188656502</v>
      </c>
      <c r="BE44" s="11">
        <f>6006.2088884359/(10^3)</f>
        <v>6.0062088884359</v>
      </c>
      <c r="BF44" s="11">
        <f>6139.51359133242/(10^3)</f>
        <v>6.1395135913324204</v>
      </c>
      <c r="BG44" s="11">
        <f>640189.061376236/(10^3)</f>
        <v>640.18906137623605</v>
      </c>
      <c r="BH44" s="11">
        <f>6576.57208497151/(10^3)</f>
        <v>6.5765720849715095</v>
      </c>
      <c r="BI44" s="11">
        <f>6650.4187306148/(10^3)</f>
        <v>6.6504187306147999</v>
      </c>
      <c r="BJ44" s="11">
        <f>7286.93103848622/(10^3)</f>
        <v>7.2869310384862205</v>
      </c>
      <c r="BK44" s="11">
        <f>7367.75414347517/(10^3)</f>
        <v>7.3677541434751701</v>
      </c>
      <c r="BL44" s="11">
        <f>7727.17414308627/(10^3)</f>
        <v>7.7271741430862706</v>
      </c>
      <c r="BM44" s="11">
        <f>79.4617405124392/(10^3)</f>
        <v>7.9461740512439205E-2</v>
      </c>
      <c r="BN44" s="11">
        <f>8088.71228568146/(10^3)</f>
        <v>8.0887122856814599</v>
      </c>
      <c r="BO44" s="11">
        <f>8067.97205314992/(10^3)</f>
        <v>8.0679720531499193</v>
      </c>
      <c r="BP44" s="11">
        <f>7972.31796726496/(10^3)</f>
        <v>7.97231796726496</v>
      </c>
      <c r="BQ44" s="11">
        <f>7928.57282777924/(10^3)</f>
        <v>7.9285728277792398</v>
      </c>
      <c r="BR44" s="11">
        <f>8177.68829091873/(10^3)</f>
        <v>8.177688290918729</v>
      </c>
      <c r="BS44" s="11">
        <f>848206.119221747/(10^3)</f>
        <v>848.20611922174703</v>
      </c>
      <c r="BT44" s="11">
        <f>8442.25309376845/(10^3)</f>
        <v>8.4422530937684499</v>
      </c>
      <c r="BU44" s="11">
        <f>8390.29644615297/(10^3)</f>
        <v>8.3902964461529699</v>
      </c>
      <c r="BV44" s="11">
        <f>9135.80996846024/(10^3)</f>
        <v>9.1358099684602401</v>
      </c>
      <c r="BW44" s="11">
        <f>9258.32982990473/(10^3)</f>
        <v>9.2583298299047296</v>
      </c>
      <c r="BX44" s="11">
        <f>9617.29685389422/(10^3)</f>
        <v>9.6172968538942207</v>
      </c>
      <c r="BY44" s="11">
        <f>96.9788442944904/(10^3)</f>
        <v>9.6978844294490399E-2</v>
      </c>
      <c r="BZ44" s="11">
        <f>9697.88442944904/(10^3)</f>
        <v>9.6978844294490401</v>
      </c>
      <c r="CA44" s="11">
        <f>9730.14600268273/(10^3)</f>
        <v>9.73014600268273</v>
      </c>
      <c r="CB44" s="11">
        <f>9715.57932732975/(10^3)</f>
        <v>9.715579327329749</v>
      </c>
      <c r="CC44" s="12"/>
      <c r="CZ44" s="11">
        <v>4.8203497501767449</v>
      </c>
      <c r="DA44" s="11">
        <v>5.4374925962707072</v>
      </c>
      <c r="DB44" s="11">
        <v>5.6838047047069615</v>
      </c>
      <c r="DC44" s="11">
        <v>6.3910459279009935</v>
      </c>
      <c r="DD44" s="11">
        <v>7.9461740512439203</v>
      </c>
      <c r="DE44" s="11">
        <v>9.6978844294490436</v>
      </c>
      <c r="DG44" s="11">
        <v>4.1042266927630573</v>
      </c>
      <c r="DH44" s="11">
        <v>4.771016443717671</v>
      </c>
      <c r="DI44" s="11">
        <v>5.5788913770498869</v>
      </c>
      <c r="DJ44" s="11">
        <v>5.7220569113953426</v>
      </c>
      <c r="DK44" s="11">
        <v>6.4018906137623617</v>
      </c>
      <c r="DL44" s="11">
        <v>8.482061192217472</v>
      </c>
    </row>
    <row r="45" spans="4:116" outlineLevel="1" x14ac:dyDescent="0.25">
      <c r="D45" s="13" t="s">
        <v>22</v>
      </c>
      <c r="E45" s="13" t="s">
        <v>19</v>
      </c>
      <c r="F45" s="10" t="s">
        <v>151</v>
      </c>
      <c r="G45" s="13"/>
      <c r="H45" s="62" t="str">
        <f t="shared" si="2"/>
        <v xml:space="preserve">Denver </v>
      </c>
      <c r="I45" s="11">
        <f>14129/(10^3)</f>
        <v>14.129</v>
      </c>
      <c r="J45" s="11">
        <f>14191.1480210142/(10^3)</f>
        <v>14.1911480210142</v>
      </c>
      <c r="K45" s="11">
        <f>1452531.5023539/(10^3)</f>
        <v>1452.5315023539001</v>
      </c>
      <c r="L45" s="11">
        <f>14253.2037834054/(10^3)</f>
        <v>14.2532037834054</v>
      </c>
      <c r="M45" s="11">
        <f>14674.9477379626/(10^3)</f>
        <v>14.674947737962601</v>
      </c>
      <c r="N45" s="11">
        <f>14755.7781853296/(10^3)</f>
        <v>14.7557781853296</v>
      </c>
      <c r="O45" s="11">
        <f>15408.1108136368/(10^3)</f>
        <v>15.408110813636799</v>
      </c>
      <c r="P45" s="11">
        <f>15829.8352639023/(10^3)</f>
        <v>15.8298352639023</v>
      </c>
      <c r="Q45" s="11">
        <f>159.863653188096/(10^3)</f>
        <v>0.15986365318809601</v>
      </c>
      <c r="R45" s="11">
        <f>15882.4627185683/(10^3)</f>
        <v>15.8824627185683</v>
      </c>
      <c r="S45" s="11">
        <f>16250.2222029375/(10^3)</f>
        <v>16.250222202937501</v>
      </c>
      <c r="T45" s="11">
        <f>15976.9182376558/(10^3)</f>
        <v>15.9769182376558</v>
      </c>
      <c r="U45" s="11">
        <f>16493.5921627798/(10^3)</f>
        <v>16.493592162779802</v>
      </c>
      <c r="V45" s="11">
        <f>16334.7017748978/(10^3)</f>
        <v>16.334701774897798</v>
      </c>
      <c r="W45" s="11">
        <f>1673783.40558836/(10^3)</f>
        <v>1673.78340558836</v>
      </c>
      <c r="X45" s="11">
        <f>16700.6890218766/(10^3)</f>
        <v>16.700689021876599</v>
      </c>
      <c r="Y45" s="11">
        <f>16444.1683349813/(10^3)</f>
        <v>16.444168334981299</v>
      </c>
      <c r="Z45" s="11">
        <f>17724.7732773834/(10^3)</f>
        <v>17.724773277383399</v>
      </c>
      <c r="AA45" s="11">
        <f>17765.7507174199/(10^3)</f>
        <v>17.765750717419902</v>
      </c>
      <c r="AB45" s="11">
        <f>18254.8303272338/(10^3)</f>
        <v>18.254830327233801</v>
      </c>
      <c r="AC45" s="11">
        <f>182.679550008659/(10^3)</f>
        <v>0.18267955000865899</v>
      </c>
      <c r="AD45" s="11">
        <f>18632.5133172658/(10^3)</f>
        <v>18.632513317265797</v>
      </c>
      <c r="AE45" s="11">
        <f>18376.9087193529/(10^3)</f>
        <v>18.376908719352901</v>
      </c>
      <c r="AF45" s="11">
        <f>18241.2681641965/(10^3)</f>
        <v>18.241268164196498</v>
      </c>
      <c r="AG45" s="11">
        <f>17853.061129953/(10^3)</f>
        <v>17.853061129952998</v>
      </c>
      <c r="AH45" s="11">
        <f>18715.1939595466/(10^3)</f>
        <v>18.7151939595466</v>
      </c>
      <c r="AI45" s="11">
        <f>1829045.96188958/(10^3)</f>
        <v>1829.04596188958</v>
      </c>
      <c r="AJ45" s="11">
        <f>18138.6046061475/(10^3)</f>
        <v>18.138604606147499</v>
      </c>
      <c r="AK45" s="11">
        <f>18757.5661113576/(10^3)</f>
        <v>18.757566111357598</v>
      </c>
      <c r="AL45" s="11">
        <f>19297.5443969771/(10^3)</f>
        <v>19.297544396977102</v>
      </c>
      <c r="AM45" s="11">
        <f>19743.8183483142/(10^3)</f>
        <v>19.7438183483142</v>
      </c>
      <c r="AN45" s="11">
        <f>20714.417320581/(10^3)</f>
        <v>20.714417320580999</v>
      </c>
      <c r="AO45" s="11">
        <f>216.39262425474/(10^3)</f>
        <v>0.21639262425474001</v>
      </c>
      <c r="AP45" s="11">
        <f>22707.9576780142/(10^3)</f>
        <v>22.7079576780142</v>
      </c>
      <c r="AQ45" s="11">
        <f>23824.7277722045/(10^3)</f>
        <v>23.824727772204501</v>
      </c>
      <c r="AR45" s="11">
        <f>24283.2573670238/(10^3)</f>
        <v>24.283257367023801</v>
      </c>
      <c r="AS45" s="11">
        <f>25457.949467027/(10^3)</f>
        <v>25.457949467026999</v>
      </c>
      <c r="AT45" s="11">
        <f>25749.4893299829/(10^3)</f>
        <v>25.749489329982897</v>
      </c>
      <c r="AU45" s="11">
        <f>2691961.76532104/(10^3)</f>
        <v>2691.9617653210403</v>
      </c>
      <c r="AV45" s="11">
        <f>26735.7802362933/(10^3)</f>
        <v>26.735780236293301</v>
      </c>
      <c r="AW45" s="11">
        <f>26420.0788428245/(10^3)</f>
        <v>26.420078842824498</v>
      </c>
      <c r="AX45" s="11">
        <f>28679.9252109185/(10^3)</f>
        <v>28.679925210918501</v>
      </c>
      <c r="AY45" s="11">
        <f>30045.5703930142/(10^3)</f>
        <v>30.045570393014202</v>
      </c>
      <c r="AZ45" s="11">
        <f>30265.0473589915/(10^3)</f>
        <v>30.265047358991499</v>
      </c>
      <c r="BA45" s="11">
        <f>310.931744069582/(10^3)</f>
        <v>0.31093174406958202</v>
      </c>
      <c r="BB45" s="11">
        <f>30351.8264114562/(10^3)</f>
        <v>30.351826411456202</v>
      </c>
      <c r="BC45" s="11">
        <f>28914.7224836339/(10^3)</f>
        <v>28.914722483633902</v>
      </c>
      <c r="BD45" s="11">
        <f>28715.2946462719/(10^3)</f>
        <v>28.7152946462719</v>
      </c>
      <c r="BE45" s="11">
        <f>27925.9099595052/(10^3)</f>
        <v>27.925909959505198</v>
      </c>
      <c r="BF45" s="11">
        <f>29178.9793801007/(10^3)</f>
        <v>29.178979380100699</v>
      </c>
      <c r="BG45" s="11">
        <f>2993631.78709634/(10^3)</f>
        <v>2993.6317870963403</v>
      </c>
      <c r="BH45" s="11">
        <f>29810.1177786952/(10^3)</f>
        <v>29.810117778695201</v>
      </c>
      <c r="BI45" s="11">
        <f>30877.7158723322/(10^3)</f>
        <v>30.8777158723322</v>
      </c>
      <c r="BJ45" s="11">
        <f>31480.2906993496/(10^3)</f>
        <v>31.480290699349599</v>
      </c>
      <c r="BK45" s="11">
        <f>32662.7533174864/(10^3)</f>
        <v>32.662753317486398</v>
      </c>
      <c r="BL45" s="11">
        <f>33335.9005850788/(10^3)</f>
        <v>33.335900585078804</v>
      </c>
      <c r="BM45" s="11">
        <f>335.148434022894/(10^3)</f>
        <v>0.33514843402289396</v>
      </c>
      <c r="BN45" s="11">
        <f>33736.9758222224/(10^3)</f>
        <v>33.736975822222398</v>
      </c>
      <c r="BO45" s="11">
        <f>30593.6409333999/(10^3)</f>
        <v>30.5936409333999</v>
      </c>
      <c r="BP45" s="11">
        <f>29884.5069096256/(10^3)</f>
        <v>29.8845069096256</v>
      </c>
      <c r="BQ45" s="11">
        <f>29558.7432222461/(10^3)</f>
        <v>29.5587432222461</v>
      </c>
      <c r="BR45" s="11">
        <f>30755.0754357338/(10^3)</f>
        <v>30.755075435733801</v>
      </c>
      <c r="BS45" s="11">
        <f>3034006.78267265/(10^3)</f>
        <v>3034.0067826726504</v>
      </c>
      <c r="BT45" s="11">
        <f>30324.1071843544/(10^3)</f>
        <v>30.3241071843544</v>
      </c>
      <c r="BU45" s="11">
        <f>29868.7942958273/(10^3)</f>
        <v>29.8687942958273</v>
      </c>
      <c r="BV45" s="11">
        <f>32759.3375869957/(10^3)</f>
        <v>32.759337586995699</v>
      </c>
      <c r="BW45" s="11">
        <f>33823.7422094179/(10^3)</f>
        <v>33.823742209417901</v>
      </c>
      <c r="BX45" s="11">
        <f>34230.2312895643/(10^3)</f>
        <v>34.230231289564294</v>
      </c>
      <c r="BY45" s="11">
        <f>341.652624555487/(10^3)</f>
        <v>0.34165262455548701</v>
      </c>
      <c r="BZ45" s="11">
        <f>34165.2624555487/(10^3)</f>
        <v>34.165262455548699</v>
      </c>
      <c r="CA45" s="11">
        <f>35192.6194380747/(10^3)</f>
        <v>35.192619438074694</v>
      </c>
      <c r="CB45" s="11">
        <f>35363.9195660963/(10^3)</f>
        <v>35.3639195660963</v>
      </c>
      <c r="CC45" s="12"/>
      <c r="CZ45" s="11">
        <v>15.986365318809591</v>
      </c>
      <c r="DA45" s="11">
        <v>18.267955000865875</v>
      </c>
      <c r="DB45" s="11">
        <v>21.639262425473998</v>
      </c>
      <c r="DC45" s="11">
        <v>31.093174406958216</v>
      </c>
      <c r="DD45" s="11">
        <v>33.514843402289358</v>
      </c>
      <c r="DE45" s="11">
        <v>34.165262455548671</v>
      </c>
      <c r="DG45" s="11">
        <v>14.525315023539045</v>
      </c>
      <c r="DH45" s="11">
        <v>16.737834055883585</v>
      </c>
      <c r="DI45" s="11">
        <v>18.29045961889577</v>
      </c>
      <c r="DJ45" s="11">
        <v>26.919617653210437</v>
      </c>
      <c r="DK45" s="11">
        <v>29.936317870963407</v>
      </c>
      <c r="DL45" s="11">
        <v>30.3400678267265</v>
      </c>
    </row>
    <row r="46" spans="4:116" outlineLevel="1" x14ac:dyDescent="0.25">
      <c r="D46" s="13" t="s">
        <v>24</v>
      </c>
      <c r="E46" s="13" t="s">
        <v>23</v>
      </c>
      <c r="F46" s="10" t="s">
        <v>149</v>
      </c>
      <c r="G46" s="13"/>
      <c r="H46" s="62" t="str">
        <f t="shared" si="2"/>
        <v xml:space="preserve">Des Moines </v>
      </c>
      <c r="I46" s="11">
        <f>9021/(10^3)</f>
        <v>9.0210000000000008</v>
      </c>
      <c r="J46" s="11">
        <f>8829.82505395545/(10^3)</f>
        <v>8.8298250539554495</v>
      </c>
      <c r="K46" s="11">
        <f>871257.11053177/(10^3)</f>
        <v>871.25711053177008</v>
      </c>
      <c r="L46" s="11">
        <f>8962.96449948715/(10^3)</f>
        <v>8.9629644994871498</v>
      </c>
      <c r="M46" s="11">
        <f>8842.6135225878/(10^3)</f>
        <v>8.8426135225878006</v>
      </c>
      <c r="N46" s="11">
        <f>9020.70303499169/(10^3)</f>
        <v>9.0207030349916888</v>
      </c>
      <c r="O46" s="11">
        <f>8790.37380968185/(10^3)</f>
        <v>8.7903738096818511</v>
      </c>
      <c r="P46" s="11">
        <f>8550.33954547081/(10^3)</f>
        <v>8.5503395454708091</v>
      </c>
      <c r="Q46" s="11">
        <f>88.9284467821273/(10^3)</f>
        <v>8.8928446782127302E-2</v>
      </c>
      <c r="R46" s="11">
        <f>8746.54582217501/(10^3)</f>
        <v>8.7465458221750101</v>
      </c>
      <c r="S46" s="11">
        <f>8722.88451627276/(10^3)</f>
        <v>8.7228845162727602</v>
      </c>
      <c r="T46" s="11">
        <f>9050.48667788886/(10^3)</f>
        <v>9.0504866778888609</v>
      </c>
      <c r="U46" s="11">
        <f>8794.18776435603/(10^3)</f>
        <v>8.79418776435603</v>
      </c>
      <c r="V46" s="11">
        <f>8537.18304952614/(10^3)</f>
        <v>8.5371830495261403</v>
      </c>
      <c r="W46" s="11">
        <f>877543.072596034/(10^3)</f>
        <v>877.54307259603399</v>
      </c>
      <c r="X46" s="11">
        <f>9210.35654310906/(10^3)</f>
        <v>9.210356543109059</v>
      </c>
      <c r="Y46" s="11">
        <f>9017.97035589993/(10^3)</f>
        <v>9.01797035589993</v>
      </c>
      <c r="Z46" s="11">
        <f>9259.71525131342/(10^3)</f>
        <v>9.2597152513134198</v>
      </c>
      <c r="AA46" s="11">
        <f>9615.15522968383/(10^3)</f>
        <v>9.6151552296838307</v>
      </c>
      <c r="AB46" s="11">
        <f>9784.56608194809/(10^3)</f>
        <v>9.7845660819480909</v>
      </c>
      <c r="AC46" s="11">
        <f>99.2612165290682/(10^3)</f>
        <v>9.9261216529068191E-2</v>
      </c>
      <c r="AD46" s="11">
        <f>9757.50075783411/(10^3)</f>
        <v>9.7575007578341104</v>
      </c>
      <c r="AE46" s="11">
        <f>9856.35681145216/(10^3)</f>
        <v>9.8563568114521605</v>
      </c>
      <c r="AF46" s="11">
        <f>10272.1452015297/(10^3)</f>
        <v>10.2721452015297</v>
      </c>
      <c r="AG46" s="11">
        <f>10399.6004413374/(10^3)</f>
        <v>10.3996004413374</v>
      </c>
      <c r="AH46" s="11">
        <f>10542.0623408278/(10^3)</f>
        <v>10.542062340827801</v>
      </c>
      <c r="AI46" s="11">
        <f>1032649.84230035/(10^3)</f>
        <v>1032.64984230035</v>
      </c>
      <c r="AJ46" s="11">
        <f>10496.6966595583/(10^3)</f>
        <v>10.4966966595583</v>
      </c>
      <c r="AK46" s="11">
        <f>10570.7721095656/(10^3)</f>
        <v>10.570772109565599</v>
      </c>
      <c r="AL46" s="11">
        <f>11014.9651348723/(10^3)</f>
        <v>11.0149651348723</v>
      </c>
      <c r="AM46" s="11">
        <f>11203.7057422483/(10^3)</f>
        <v>11.2037057422483</v>
      </c>
      <c r="AN46" s="11">
        <f>11282.841170604/(10^3)</f>
        <v>11.282841170604</v>
      </c>
      <c r="AO46" s="11">
        <f>116.738499510236/(10^3)</f>
        <v>0.116738499510236</v>
      </c>
      <c r="AP46" s="11">
        <f>11471.0616823973/(10^3)</f>
        <v>11.4710616823973</v>
      </c>
      <c r="AQ46" s="11">
        <f>11966.7525786447/(10^3)</f>
        <v>11.9667525786447</v>
      </c>
      <c r="AR46" s="11">
        <f>11838.7158099876/(10^3)</f>
        <v>11.838715809987599</v>
      </c>
      <c r="AS46" s="11">
        <f>11878.6939215423/(10^3)</f>
        <v>11.8786939215423</v>
      </c>
      <c r="AT46" s="11">
        <f>11647.7620379498/(10^3)</f>
        <v>11.6477620379498</v>
      </c>
      <c r="AU46" s="11">
        <f>1150928.86337577/(10^3)</f>
        <v>1150.9288633757699</v>
      </c>
      <c r="AV46" s="11">
        <f>11362.2603630724/(10^3)</f>
        <v>11.362260363072402</v>
      </c>
      <c r="AW46" s="11">
        <f>11812.0904327962/(10^3)</f>
        <v>11.8120904327962</v>
      </c>
      <c r="AX46" s="11">
        <f>12656.365495854/(10^3)</f>
        <v>12.656365495853999</v>
      </c>
      <c r="AY46" s="11">
        <f>13094.2538935757/(10^3)</f>
        <v>13.094253893575701</v>
      </c>
      <c r="AZ46" s="11">
        <f>13722.2793516132/(10^3)</f>
        <v>13.722279351613201</v>
      </c>
      <c r="BA46" s="11">
        <f>137.758529543507/(10^3)</f>
        <v>0.13775852954350701</v>
      </c>
      <c r="BB46" s="11">
        <f>14214.9548851356/(10^3)</f>
        <v>14.214954885135599</v>
      </c>
      <c r="BC46" s="11">
        <f>13969.2791564937/(10^3)</f>
        <v>13.9692791564937</v>
      </c>
      <c r="BD46" s="11">
        <f>13858.8411039557/(10^3)</f>
        <v>13.858841103955699</v>
      </c>
      <c r="BE46" s="11">
        <f>13540.3734407338/(10^3)</f>
        <v>13.5403734407338</v>
      </c>
      <c r="BF46" s="11">
        <f>14033.5824395778/(10^3)</f>
        <v>14.033582439577801</v>
      </c>
      <c r="BG46" s="11">
        <f>1472725.9001832/(10^3)</f>
        <v>1472.7259001831999</v>
      </c>
      <c r="BH46" s="11">
        <f>14714.4883143668/(10^3)</f>
        <v>14.714488314366799</v>
      </c>
      <c r="BI46" s="11">
        <f>14405.8336655321/(10^3)</f>
        <v>14.4058336655321</v>
      </c>
      <c r="BJ46" s="11">
        <f>15280.9564973177/(10^3)</f>
        <v>15.2809564973177</v>
      </c>
      <c r="BK46" s="11">
        <f>16003.1269524402/(10^3)</f>
        <v>16.003126952440201</v>
      </c>
      <c r="BL46" s="11">
        <f>16359.075433477/(10^3)</f>
        <v>16.359075433477003</v>
      </c>
      <c r="BM46" s="11">
        <f>166.223906905601/(10^3)</f>
        <v>0.16622390690560102</v>
      </c>
      <c r="BN46" s="11">
        <f>16676.416976618/(10^3)</f>
        <v>16.676416976617997</v>
      </c>
      <c r="BO46" s="11">
        <f>15442.454506307/(10^3)</f>
        <v>15.442454506307</v>
      </c>
      <c r="BP46" s="11">
        <f>14967.4246897544/(10^3)</f>
        <v>14.967424689754401</v>
      </c>
      <c r="BQ46" s="11">
        <f>14692.8921302041/(10^3)</f>
        <v>14.6928921302041</v>
      </c>
      <c r="BR46" s="11">
        <f>14304.6881403372/(10^3)</f>
        <v>14.3046881403372</v>
      </c>
      <c r="BS46" s="11">
        <f>1421618.92199707/(10^3)</f>
        <v>1421.6189219970702</v>
      </c>
      <c r="BT46" s="11">
        <f>13992.7225965133/(10^3)</f>
        <v>13.9927225965133</v>
      </c>
      <c r="BU46" s="11">
        <f>13696.7723497219/(10^3)</f>
        <v>13.696772349721899</v>
      </c>
      <c r="BV46" s="11">
        <f>14427.8754069393/(10^3)</f>
        <v>14.4278754069393</v>
      </c>
      <c r="BW46" s="11">
        <f>15030.8841402792/(10^3)</f>
        <v>15.0308841402792</v>
      </c>
      <c r="BX46" s="11">
        <f>15555.2330716273/(10^3)</f>
        <v>15.555233071627301</v>
      </c>
      <c r="BY46" s="11">
        <f>165.310138461905/(10^3)</f>
        <v>0.16531013846190501</v>
      </c>
      <c r="BZ46" s="11">
        <f>16531.0138461904/(10^3)</f>
        <v>16.531013846190397</v>
      </c>
      <c r="CA46" s="11">
        <f>17248.1973022764/(10^3)</f>
        <v>17.248197302276399</v>
      </c>
      <c r="CB46" s="11">
        <f>17526.1065168317/(10^3)</f>
        <v>17.5261065168317</v>
      </c>
      <c r="CC46" s="12"/>
      <c r="CZ46" s="11">
        <v>8.8928446782127271</v>
      </c>
      <c r="DA46" s="11">
        <v>9.926121652906815</v>
      </c>
      <c r="DB46" s="11">
        <v>11.673849951023596</v>
      </c>
      <c r="DC46" s="11">
        <v>13.775852954350661</v>
      </c>
      <c r="DD46" s="11">
        <v>16.62239069056006</v>
      </c>
      <c r="DE46" s="11">
        <v>16.531013846190451</v>
      </c>
      <c r="DG46" s="11">
        <v>8.7125711053176964</v>
      </c>
      <c r="DH46" s="11">
        <v>8.7754307259603355</v>
      </c>
      <c r="DI46" s="11">
        <v>10.326498423003533</v>
      </c>
      <c r="DJ46" s="11">
        <v>11.509288633757722</v>
      </c>
      <c r="DK46" s="11">
        <v>14.72725900183203</v>
      </c>
      <c r="DL46" s="11">
        <v>14.216189219970737</v>
      </c>
    </row>
    <row r="47" spans="4:116" outlineLevel="1" x14ac:dyDescent="0.25">
      <c r="D47" s="13" t="s">
        <v>26</v>
      </c>
      <c r="E47" s="13" t="s">
        <v>25</v>
      </c>
      <c r="F47" s="10" t="s">
        <v>149</v>
      </c>
      <c r="G47" s="13"/>
      <c r="H47" s="62" t="str">
        <f t="shared" si="2"/>
        <v xml:space="preserve">Detroit </v>
      </c>
      <c r="I47" s="11">
        <f>3297/(10^3)</f>
        <v>3.2970000000000002</v>
      </c>
      <c r="J47" s="11">
        <f>3283.10942419749/(10^3)</f>
        <v>3.2831094241974901</v>
      </c>
      <c r="K47" s="11">
        <f>320325.129561002/(10^3)</f>
        <v>320.32512956100203</v>
      </c>
      <c r="L47" s="11">
        <f>3305.57729470536/(10^3)</f>
        <v>3.3055772947053601</v>
      </c>
      <c r="M47" s="11">
        <f>3301.54208809813/(10^3)</f>
        <v>3.3015420880981301</v>
      </c>
      <c r="N47" s="11">
        <f>3334.67479985359/(10^3)</f>
        <v>3.3346747998535897</v>
      </c>
      <c r="O47" s="11">
        <f>3448.86735778431/(10^3)</f>
        <v>3.4488673577843101</v>
      </c>
      <c r="P47" s="11">
        <f>3393.76249282315/(10^3)</f>
        <v>3.39376249282315</v>
      </c>
      <c r="Q47" s="11">
        <f>33.4680072578179/(10^3)</f>
        <v>3.34680072578179E-2</v>
      </c>
      <c r="R47" s="11">
        <f>3322.11433714691/(10^3)</f>
        <v>3.3221143371469104</v>
      </c>
      <c r="S47" s="11">
        <f>3446.54795830508/(10^3)</f>
        <v>3.44654795830508</v>
      </c>
      <c r="T47" s="11">
        <f>3474.66257539325/(10^3)</f>
        <v>3.4746625753932499</v>
      </c>
      <c r="U47" s="11">
        <f>3551.58169130366/(10^3)</f>
        <v>3.5515816913036602</v>
      </c>
      <c r="V47" s="11">
        <f>3576.52377112818/(10^3)</f>
        <v>3.5765237711281803</v>
      </c>
      <c r="W47" s="11">
        <f>364960.495357591/(10^3)</f>
        <v>364.96049535759101</v>
      </c>
      <c r="X47" s="11">
        <f>3636.04823906304/(10^3)</f>
        <v>3.6360482390630402</v>
      </c>
      <c r="Y47" s="11">
        <f>3669.16631918497/(10^3)</f>
        <v>3.6691663191849697</v>
      </c>
      <c r="Z47" s="11">
        <f>4028.57218825076/(10^3)</f>
        <v>4.0285721882507604</v>
      </c>
      <c r="AA47" s="11">
        <f>4095.07926109927/(10^3)</f>
        <v>4.0950792610992695</v>
      </c>
      <c r="AB47" s="11">
        <f>4290.53472268733/(10^3)</f>
        <v>4.2905347226873296</v>
      </c>
      <c r="AC47" s="11">
        <f>43.4081672192781/(10^3)</f>
        <v>4.34081672192781E-2</v>
      </c>
      <c r="AD47" s="11">
        <f>4334.8871423337/(10^3)</f>
        <v>4.3348871423336997</v>
      </c>
      <c r="AE47" s="11">
        <f>4475.5072007833/(10^3)</f>
        <v>4.4755072007832997</v>
      </c>
      <c r="AF47" s="11">
        <f>4551.23775780964/(10^3)</f>
        <v>4.5512377578096403</v>
      </c>
      <c r="AG47" s="11">
        <f>4433.11829959206/(10^3)</f>
        <v>4.4331182995920599</v>
      </c>
      <c r="AH47" s="11">
        <f>4516.82762378587/(10^3)</f>
        <v>4.5168276237858702</v>
      </c>
      <c r="AI47" s="11">
        <f>450942.685694143/(10^3)</f>
        <v>450.94268569414299</v>
      </c>
      <c r="AJ47" s="11">
        <f>4573.99491505497/(10^3)</f>
        <v>4.5739949150549704</v>
      </c>
      <c r="AK47" s="11">
        <f>4535.62960018491/(10^3)</f>
        <v>4.5356296001849099</v>
      </c>
      <c r="AL47" s="11">
        <f>4482.8311570751/(10^3)</f>
        <v>4.4828311570751005</v>
      </c>
      <c r="AM47" s="11">
        <f>4659.35605628651/(10^3)</f>
        <v>4.6593560562865095</v>
      </c>
      <c r="AN47" s="11">
        <f>4760.47707327027/(10^3)</f>
        <v>4.7604770732702697</v>
      </c>
      <c r="AO47" s="11">
        <f>47.8882765719769/(10^3)</f>
        <v>4.7888276571976904E-2</v>
      </c>
      <c r="AP47" s="11">
        <f>4937.73744041558/(10^3)</f>
        <v>4.9377374404155798</v>
      </c>
      <c r="AQ47" s="11">
        <f>5140.11582830044/(10^3)</f>
        <v>5.1401158283004396</v>
      </c>
      <c r="AR47" s="11">
        <f>5351.92586268485/(10^3)</f>
        <v>5.3519258626848494</v>
      </c>
      <c r="AS47" s="11">
        <f>5618.79019820191/(10^3)</f>
        <v>5.6187901982019106</v>
      </c>
      <c r="AT47" s="11">
        <f>5563.95714811909/(10^3)</f>
        <v>5.5639571481190897</v>
      </c>
      <c r="AU47" s="11">
        <f>543197.068395529/(10^3)</f>
        <v>543.19706839552896</v>
      </c>
      <c r="AV47" s="11">
        <f>5473.65866744246/(10^3)</f>
        <v>5.4736586674424599</v>
      </c>
      <c r="AW47" s="11">
        <f>5554.36154305526/(10^3)</f>
        <v>5.5543615430552595</v>
      </c>
      <c r="AX47" s="11">
        <f>5923.43307617489/(10^3)</f>
        <v>5.9234330761748897</v>
      </c>
      <c r="AY47" s="11">
        <f>5985.79108411441/(10^3)</f>
        <v>5.9857910841144104</v>
      </c>
      <c r="AZ47" s="11">
        <f>6044.94912882207/(10^3)</f>
        <v>6.0449491288220694</v>
      </c>
      <c r="BA47" s="11">
        <f>61.2970967113945/(10^3)</f>
        <v>6.1297096711394501E-2</v>
      </c>
      <c r="BB47" s="11">
        <f>6369.26426891543/(10^3)</f>
        <v>6.3692642689154297</v>
      </c>
      <c r="BC47" s="11">
        <f>5974.60174562747/(10^3)</f>
        <v>5.9746017456274707</v>
      </c>
      <c r="BD47" s="11">
        <f>5382.83401244583/(10^3)</f>
        <v>5.38283401244583</v>
      </c>
      <c r="BE47" s="11">
        <f>5207.85904323827/(10^3)</f>
        <v>5.2078590432382699</v>
      </c>
      <c r="BF47" s="11">
        <f>5428.80733412915/(10^3)</f>
        <v>5.4288073341291501</v>
      </c>
      <c r="BG47" s="11">
        <f>564567.51651338/(10^3)</f>
        <v>564.56751651338004</v>
      </c>
      <c r="BH47" s="11">
        <f>5874.02744043756/(10^3)</f>
        <v>5.8740274404375592</v>
      </c>
      <c r="BI47" s="11">
        <f>6124.29392652907/(10^3)</f>
        <v>6.1242939265290701</v>
      </c>
      <c r="BJ47" s="11">
        <f>6436.28747924558/(10^3)</f>
        <v>6.4362874792455793</v>
      </c>
      <c r="BK47" s="11">
        <f>6617.72590406198/(10^3)</f>
        <v>6.61772590406198</v>
      </c>
      <c r="BL47" s="11">
        <f>6836.22383602001/(10^3)</f>
        <v>6.83622383602001</v>
      </c>
      <c r="BM47" s="11">
        <f>69.4524724895442/(10^3)</f>
        <v>6.9452472489544212E-2</v>
      </c>
      <c r="BN47" s="11">
        <f>6943.3684149295/(10^3)</f>
        <v>6.9433684149295001</v>
      </c>
      <c r="BO47" s="11">
        <f>6565.0682297837/(10^3)</f>
        <v>6.5650682297836997</v>
      </c>
      <c r="BP47" s="11">
        <f>6373.40106057449/(10^3)</f>
        <v>6.3734010605744897</v>
      </c>
      <c r="BQ47" s="11">
        <f>6256.09820609719/(10^3)</f>
        <v>6.2560982060971897</v>
      </c>
      <c r="BR47" s="11">
        <f>6166.28652322865/(10^3)</f>
        <v>6.1662865232286501</v>
      </c>
      <c r="BS47" s="11">
        <f>608770.180501227/(10^3)</f>
        <v>608.77018050122706</v>
      </c>
      <c r="BT47" s="11">
        <f>6044.84631736966/(10^3)</f>
        <v>6.04484631736966</v>
      </c>
      <c r="BU47" s="11">
        <f>6163.52906565489/(10^3)</f>
        <v>6.16352906565489</v>
      </c>
      <c r="BV47" s="11">
        <f>6761.54008488155/(10^3)</f>
        <v>6.7615400848815499</v>
      </c>
      <c r="BW47" s="11">
        <f>6764.34819355281/(10^3)</f>
        <v>6.7643481935528094</v>
      </c>
      <c r="BX47" s="11">
        <f>6928.92124150057/(10^3)</f>
        <v>6.9289212415005705</v>
      </c>
      <c r="BY47" s="11">
        <f>73.5162927912726/(10^3)</f>
        <v>7.35162927912726E-2</v>
      </c>
      <c r="BZ47" s="11">
        <f>7351.62927912726/(10^3)</f>
        <v>7.3516292791272599</v>
      </c>
      <c r="CA47" s="11">
        <f>7553.30805769541/(10^3)</f>
        <v>7.5533080576954097</v>
      </c>
      <c r="CB47" s="11">
        <f>7875.30378315502/(10^3)</f>
        <v>7.8753037831550197</v>
      </c>
      <c r="CC47" s="12"/>
      <c r="CZ47" s="11">
        <v>3.3468007257817929</v>
      </c>
      <c r="DA47" s="11">
        <v>4.3408167219278146</v>
      </c>
      <c r="DB47" s="11">
        <v>4.7888276571976949</v>
      </c>
      <c r="DC47" s="11">
        <v>6.1297096711394454</v>
      </c>
      <c r="DD47" s="11">
        <v>6.9452472489544164</v>
      </c>
      <c r="DE47" s="11">
        <v>7.3516292791272608</v>
      </c>
      <c r="DG47" s="11">
        <v>3.2032512956100225</v>
      </c>
      <c r="DH47" s="11">
        <v>3.6496049535759059</v>
      </c>
      <c r="DI47" s="11">
        <v>4.5094268569414346</v>
      </c>
      <c r="DJ47" s="11">
        <v>5.431970683955293</v>
      </c>
      <c r="DK47" s="11">
        <v>5.6456751651338024</v>
      </c>
      <c r="DL47" s="11">
        <v>6.0877018050122755</v>
      </c>
    </row>
    <row r="48" spans="4:116" outlineLevel="1" x14ac:dyDescent="0.25">
      <c r="D48" s="13" t="s">
        <v>28</v>
      </c>
      <c r="E48" s="13" t="s">
        <v>27</v>
      </c>
      <c r="F48" s="10" t="s">
        <v>149</v>
      </c>
      <c r="G48" s="13"/>
      <c r="H48" s="62" t="str">
        <f t="shared" si="2"/>
        <v xml:space="preserve">Fort Wayne </v>
      </c>
      <c r="I48" s="11">
        <f>9801/(10^3)</f>
        <v>9.8010000000000002</v>
      </c>
      <c r="J48" s="11">
        <f>10013.829594804/(10^3)</f>
        <v>10.013829594803999</v>
      </c>
      <c r="K48" s="11">
        <f>985417.230893603/(10^3)</f>
        <v>985.41723089360289</v>
      </c>
      <c r="L48" s="11">
        <f>10093.8677435981/(10^3)</f>
        <v>10.0938677435981</v>
      </c>
      <c r="M48" s="11">
        <f>10062.8638736757/(10^3)</f>
        <v>10.062863873675701</v>
      </c>
      <c r="N48" s="11">
        <f>9979.02696902874/(10^3)</f>
        <v>9.979026969028741</v>
      </c>
      <c r="O48" s="11">
        <f>10427.1751118534/(10^3)</f>
        <v>10.4271751118534</v>
      </c>
      <c r="P48" s="11">
        <f>10561.9149166641/(10^3)</f>
        <v>10.561914916664101</v>
      </c>
      <c r="Q48" s="11">
        <f>105.495047149954/(10^3)</f>
        <v>0.105495047149954</v>
      </c>
      <c r="R48" s="11">
        <f>10691.3865664597/(10^3)</f>
        <v>10.6913865664597</v>
      </c>
      <c r="S48" s="11">
        <f>11169.138315075/(10^3)</f>
        <v>11.169138315075001</v>
      </c>
      <c r="T48" s="11">
        <f>11456.923017662/(10^3)</f>
        <v>11.456923017662</v>
      </c>
      <c r="U48" s="11">
        <f>11216.042293082/(10^3)</f>
        <v>11.216042293082001</v>
      </c>
      <c r="V48" s="11">
        <f>11603.775702764/(10^3)</f>
        <v>11.603775702764</v>
      </c>
      <c r="W48" s="11">
        <f>1166047.42905833/(10^3)</f>
        <v>1166.04742905833</v>
      </c>
      <c r="X48" s="11">
        <f>12239.1267179114/(10^3)</f>
        <v>12.2391267179114</v>
      </c>
      <c r="Y48" s="11">
        <f>12516.281535361/(10^3)</f>
        <v>12.516281535361001</v>
      </c>
      <c r="Z48" s="11">
        <f>13121.1029120355/(10^3)</f>
        <v>13.1211029120355</v>
      </c>
      <c r="AA48" s="11">
        <f>13228.5369863264/(10^3)</f>
        <v>13.2285369863264</v>
      </c>
      <c r="AB48" s="11">
        <f>13875.569859974/(10^3)</f>
        <v>13.875569859974</v>
      </c>
      <c r="AC48" s="11">
        <f>139.390310663371/(10^3)</f>
        <v>0.13939031066337099</v>
      </c>
      <c r="AD48" s="11">
        <f>14257.3276558057/(10^3)</f>
        <v>14.2573276558057</v>
      </c>
      <c r="AE48" s="11">
        <f>14160.4531364808/(10^3)</f>
        <v>14.1604531364808</v>
      </c>
      <c r="AF48" s="11">
        <f>14342.2105296353/(10^3)</f>
        <v>14.342210529635301</v>
      </c>
      <c r="AG48" s="11">
        <f>14994.9371516409/(10^3)</f>
        <v>14.994937151640899</v>
      </c>
      <c r="AH48" s="11">
        <f>15587.0999492815/(10^3)</f>
        <v>15.587099949281502</v>
      </c>
      <c r="AI48" s="11">
        <f>1592836.76014245/(10^3)</f>
        <v>1592.83676014245</v>
      </c>
      <c r="AJ48" s="11">
        <f>15962.2375103134/(10^3)</f>
        <v>15.9622375103134</v>
      </c>
      <c r="AK48" s="11">
        <f>15807.5700878243/(10^3)</f>
        <v>15.807570087824301</v>
      </c>
      <c r="AL48" s="11">
        <f>15350.4307180254/(10^3)</f>
        <v>15.3504307180254</v>
      </c>
      <c r="AM48" s="11">
        <f>15521.5376581957/(10^3)</f>
        <v>15.521537658195701</v>
      </c>
      <c r="AN48" s="11">
        <f>16289.2349133417/(10^3)</f>
        <v>16.289234913341698</v>
      </c>
      <c r="AO48" s="11">
        <f>163.351827338881/(10^3)</f>
        <v>0.16335182733888101</v>
      </c>
      <c r="AP48" s="11">
        <f>16366.4154935713/(10^3)</f>
        <v>16.366415493571299</v>
      </c>
      <c r="AQ48" s="11">
        <f>16078.5649007321/(10^3)</f>
        <v>16.078564900732101</v>
      </c>
      <c r="AR48" s="11">
        <f>16717.0680483126/(10^3)</f>
        <v>16.717068048312601</v>
      </c>
      <c r="AS48" s="11">
        <f>16253.9197046016/(10^3)</f>
        <v>16.2539197046016</v>
      </c>
      <c r="AT48" s="11">
        <f>16889.1776624887/(10^3)</f>
        <v>16.889177662488699</v>
      </c>
      <c r="AU48" s="11">
        <f>1660763.13999274/(10^3)</f>
        <v>1660.76313999274</v>
      </c>
      <c r="AV48" s="11">
        <f>16977.0015475813/(10^3)</f>
        <v>16.977001547581303</v>
      </c>
      <c r="AW48" s="11">
        <f>17178.6735237029/(10^3)</f>
        <v>17.178673523702898</v>
      </c>
      <c r="AX48" s="11">
        <f>17980.5958057021/(10^3)</f>
        <v>17.980595805702102</v>
      </c>
      <c r="AY48" s="11">
        <f>18664.2967359318/(10^3)</f>
        <v>18.664296735931799</v>
      </c>
      <c r="AZ48" s="11">
        <f>18742.9193560509/(10^3)</f>
        <v>18.742919356050901</v>
      </c>
      <c r="BA48" s="11">
        <f>192.696408076612/(10^3)</f>
        <v>0.19269640807661198</v>
      </c>
      <c r="BB48" s="11">
        <f>20195.4612698582/(10^3)</f>
        <v>20.1954612698582</v>
      </c>
      <c r="BC48" s="11">
        <f>18176.8847384015/(10^3)</f>
        <v>18.176884738401498</v>
      </c>
      <c r="BD48" s="11">
        <f>17011.9534872211/(10^3)</f>
        <v>17.011953487221099</v>
      </c>
      <c r="BE48" s="11">
        <f>16542.8018188986/(10^3)</f>
        <v>16.542801818898599</v>
      </c>
      <c r="BF48" s="11">
        <f>16102.851194752/(10^3)</f>
        <v>16.102851194751999</v>
      </c>
      <c r="BG48" s="11">
        <f>1613424.88346332/(10^3)</f>
        <v>1613.4248834633202</v>
      </c>
      <c r="BH48" s="11">
        <f>16149.5998957313/(10^3)</f>
        <v>16.149599895731299</v>
      </c>
      <c r="BI48" s="11">
        <f>16713.5170589999/(10^3)</f>
        <v>16.713517058999901</v>
      </c>
      <c r="BJ48" s="11">
        <f>17845.2269725386/(10^3)</f>
        <v>17.845226972538601</v>
      </c>
      <c r="BK48" s="11">
        <f>18119.320346776/(10^3)</f>
        <v>18.119320346776</v>
      </c>
      <c r="BL48" s="11">
        <f>18915.1718523477/(10^3)</f>
        <v>18.915171852347701</v>
      </c>
      <c r="BM48" s="11">
        <f>192.081277990292/(10^3)</f>
        <v>0.19208127799029198</v>
      </c>
      <c r="BN48" s="11">
        <f>19676.4407631197/(10^3)</f>
        <v>19.6764407631197</v>
      </c>
      <c r="BO48" s="11">
        <f>18288.4103451984/(10^3)</f>
        <v>18.2884103451984</v>
      </c>
      <c r="BP48" s="11">
        <f>17591.1139014498/(10^3)</f>
        <v>17.591113901449802</v>
      </c>
      <c r="BQ48" s="11">
        <f>17421.3576900347/(10^3)</f>
        <v>17.4213576900347</v>
      </c>
      <c r="BR48" s="11">
        <f>17253.287924491/(10^3)</f>
        <v>17.253287924491001</v>
      </c>
      <c r="BS48" s="11">
        <f>1724899.69876054/(10^3)</f>
        <v>1724.8996987605401</v>
      </c>
      <c r="BT48" s="11">
        <f>16926.4315683194/(10^3)</f>
        <v>16.926431568319401</v>
      </c>
      <c r="BU48" s="11">
        <f>17501.4470972674/(10^3)</f>
        <v>17.501447097267398</v>
      </c>
      <c r="BV48" s="11">
        <f>18760.77048277/(10^3)</f>
        <v>18.760770482769999</v>
      </c>
      <c r="BW48" s="11">
        <f>19372.4115493069/(10^3)</f>
        <v>19.3724115493069</v>
      </c>
      <c r="BX48" s="11">
        <f>20064.8210598204/(10^3)</f>
        <v>20.0648210598204</v>
      </c>
      <c r="BY48" s="11">
        <f>206.136961234018/(10^3)</f>
        <v>0.20613696123401801</v>
      </c>
      <c r="BZ48" s="11">
        <f>20613.6961234018/(10^3)</f>
        <v>20.613696123401802</v>
      </c>
      <c r="CA48" s="11">
        <f>20674.1339722996/(10^3)</f>
        <v>20.6741339722996</v>
      </c>
      <c r="CB48" s="11">
        <f>21326.9833882863/(10^3)</f>
        <v>21.326983388286298</v>
      </c>
      <c r="CC48" s="12"/>
      <c r="CZ48" s="11">
        <v>10.549504714995393</v>
      </c>
      <c r="DA48" s="11">
        <v>13.939031066337085</v>
      </c>
      <c r="DB48" s="11">
        <v>16.335182733888086</v>
      </c>
      <c r="DC48" s="11">
        <v>19.269640807661208</v>
      </c>
      <c r="DD48" s="11">
        <v>19.208127799029185</v>
      </c>
      <c r="DE48" s="11">
        <v>20.613696123401834</v>
      </c>
      <c r="DG48" s="11">
        <v>9.8541723089360289</v>
      </c>
      <c r="DH48" s="11">
        <v>11.660474290583339</v>
      </c>
      <c r="DI48" s="11">
        <v>15.928367601424521</v>
      </c>
      <c r="DJ48" s="11">
        <v>16.607631399927367</v>
      </c>
      <c r="DK48" s="11">
        <v>16.134248834633162</v>
      </c>
      <c r="DL48" s="11">
        <v>17.248996987605381</v>
      </c>
    </row>
    <row r="49" spans="4:116" outlineLevel="1" x14ac:dyDescent="0.25">
      <c r="D49" s="13" t="s">
        <v>30</v>
      </c>
      <c r="E49" s="13" t="s">
        <v>29</v>
      </c>
      <c r="F49" s="10" t="s">
        <v>150</v>
      </c>
      <c r="G49" s="13"/>
      <c r="H49" s="62" t="str">
        <f t="shared" si="2"/>
        <v xml:space="preserve">Frankfort 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>
        <f>494.756498483366/(10^3)</f>
        <v>0.494756498483366</v>
      </c>
      <c r="AE49" s="11">
        <f>455.636474756108/(10^3)</f>
        <v>0.45563647475610797</v>
      </c>
      <c r="AF49" s="11">
        <f>434.82312673707/(10^3)</f>
        <v>0.43482312673707002</v>
      </c>
      <c r="AG49" s="11">
        <f>430.103325027242/(10^3)</f>
        <v>0.43010332502724202</v>
      </c>
      <c r="AH49" s="11">
        <f>430.504352730254/(10^3)</f>
        <v>0.430504352730254</v>
      </c>
      <c r="AI49" s="11">
        <f>43659.9698269685/(10^3)</f>
        <v>43.659969826968506</v>
      </c>
      <c r="AJ49" s="11">
        <f>454.192835713878/(10^3)</f>
        <v>0.45419283571387803</v>
      </c>
      <c r="AK49" s="11">
        <f>461.58213443993/(10^3)</f>
        <v>0.46158213443992996</v>
      </c>
      <c r="AL49" s="11">
        <f>497.545808357809/(10^3)</f>
        <v>0.49754580835780898</v>
      </c>
      <c r="AM49" s="11">
        <f>497.686645692624/(10^3)</f>
        <v>0.497686645692624</v>
      </c>
      <c r="AN49" s="11">
        <f>500.85594180562/(10^3)</f>
        <v>0.50085594180561999</v>
      </c>
      <c r="AO49" s="11">
        <f>5.06038024793617/(10^3)</f>
        <v>5.0603802479361696E-3</v>
      </c>
      <c r="AP49" s="11">
        <f>520.3051303059/(10^3)</f>
        <v>0.52030513030589998</v>
      </c>
      <c r="AQ49" s="11">
        <f>484.979946886137/(10^3)</f>
        <v>0.48497994688613699</v>
      </c>
      <c r="AR49" s="11">
        <f>473.128489826166/(10^3)</f>
        <v>0.47312848982616601</v>
      </c>
      <c r="AS49" s="11">
        <f>462.754332435947/(10^3)</f>
        <v>0.46275433243594699</v>
      </c>
      <c r="AT49" s="11">
        <f>481.592657056815/(10^3)</f>
        <v>0.48159265705681503</v>
      </c>
      <c r="AU49" s="11">
        <f>47898.9436324766/(10^3)</f>
        <v>47.898943632476602</v>
      </c>
      <c r="AV49" s="11">
        <f>498.675720725613/(10^3)</f>
        <v>0.498675720725613</v>
      </c>
      <c r="AW49" s="11">
        <f>515.642146139107/(10^3)</f>
        <v>0.51564214613910697</v>
      </c>
      <c r="AX49" s="11">
        <f>566.928751331825/(10^3)</f>
        <v>0.56692875133182496</v>
      </c>
      <c r="AY49" s="11">
        <f>578.685805627727/(10^3)</f>
        <v>0.57868580562772698</v>
      </c>
      <c r="AZ49" s="11">
        <f>590.507594555786/(10^3)</f>
        <v>0.59050759455578605</v>
      </c>
      <c r="BA49" s="11">
        <f>6.13464419854516/(10^3)</f>
        <v>6.1346441985451593E-3</v>
      </c>
      <c r="BB49" s="11">
        <f>604.878158005889/(10^3)</f>
        <v>0.60487815800588896</v>
      </c>
      <c r="BC49" s="11">
        <f>567.371373789783/(10^3)</f>
        <v>0.56737137378978297</v>
      </c>
      <c r="BD49" s="11">
        <f>538.990261889527/(10^3)</f>
        <v>0.53899026188952703</v>
      </c>
      <c r="BE49" s="11">
        <f>496.857799641033/(10^3)</f>
        <v>0.49685779964103299</v>
      </c>
      <c r="BF49" s="11">
        <f>510.248167764314/(10^3)</f>
        <v>0.51024816776431403</v>
      </c>
      <c r="BG49" s="11">
        <f>49778.6993374258/(10^3)</f>
        <v>49.778699337425799</v>
      </c>
      <c r="BH49" s="11">
        <f>498.31688929485/(10^3)</f>
        <v>0.49831688929485002</v>
      </c>
      <c r="BI49" s="11">
        <f>505.094893513386/(10^3)</f>
        <v>0.50509489351338599</v>
      </c>
      <c r="BJ49" s="11">
        <f>553.56286346844/(10^3)</f>
        <v>0.55356286346843997</v>
      </c>
      <c r="BK49" s="11">
        <f>571.005223289563/(10^3)</f>
        <v>0.57100522328956305</v>
      </c>
      <c r="BL49" s="11">
        <f>586.912071981864/(10^3)</f>
        <v>0.58691207198186401</v>
      </c>
      <c r="BM49" s="11">
        <f>5.93857655692684/(10^3)</f>
        <v>5.9385765569268398E-3</v>
      </c>
      <c r="BN49" s="11">
        <f>592.827937087441/(10^3)</f>
        <v>0.59282793708744097</v>
      </c>
      <c r="BO49" s="11">
        <f>557.949624116986/(10^3)</f>
        <v>0.55794962411698601</v>
      </c>
      <c r="BP49" s="11">
        <f>550.003122985354/(10^3)</f>
        <v>0.55000312298535403</v>
      </c>
      <c r="BQ49" s="11">
        <f>546.769959277312/(10^3)</f>
        <v>0.54676995927731198</v>
      </c>
      <c r="BR49" s="11">
        <f>532.222119930569/(10^3)</f>
        <v>0.532222119930569</v>
      </c>
      <c r="BS49" s="11">
        <f>52109.7362744571/(10^3)</f>
        <v>52.109736274457099</v>
      </c>
      <c r="BT49" s="11">
        <f>508.735267556605/(10^3)</f>
        <v>0.50873526755660503</v>
      </c>
      <c r="BU49" s="11">
        <f>516.791360610361/(10^3)</f>
        <v>0.51679136061036102</v>
      </c>
      <c r="BV49" s="11">
        <f>541.43504418502/(10^3)</f>
        <v>0.54143504418502009</v>
      </c>
      <c r="BW49" s="11">
        <f>551.254398481029/(10^3)</f>
        <v>0.55125439848102908</v>
      </c>
      <c r="BX49" s="11">
        <f>562.193037030577/(10^3)</f>
        <v>0.56219303703057699</v>
      </c>
      <c r="BY49" s="11">
        <f>5.62436658623082/(10^3)</f>
        <v>5.6243665862308195E-3</v>
      </c>
      <c r="BZ49" s="11">
        <f>562.436658623082/(10^3)</f>
        <v>0.56243665862308201</v>
      </c>
      <c r="CA49" s="11">
        <f>516.01422439569/(10^3)</f>
        <v>0.51601422439569</v>
      </c>
      <c r="CB49" s="11">
        <f>510.089847433544/(10^3)</f>
        <v>0.51008984743354402</v>
      </c>
      <c r="CC49" s="12"/>
      <c r="CZ49" s="11">
        <v>0.38367030761331583</v>
      </c>
      <c r="DA49" s="11">
        <v>0.49111864048158399</v>
      </c>
      <c r="DB49" s="11">
        <v>0.50603802479361659</v>
      </c>
      <c r="DC49" s="11">
        <v>0.61346441985451572</v>
      </c>
      <c r="DD49" s="11">
        <v>0.59385765569268401</v>
      </c>
      <c r="DE49" s="11">
        <v>0.56243665862308223</v>
      </c>
      <c r="DG49" s="11">
        <v>0.36462325108455257</v>
      </c>
      <c r="DH49" s="11">
        <v>0.42195163928156587</v>
      </c>
      <c r="DI49" s="11">
        <v>0.4365996982696852</v>
      </c>
      <c r="DJ49" s="11">
        <v>0.47898943632476643</v>
      </c>
      <c r="DK49" s="11">
        <v>0.49778699337425775</v>
      </c>
      <c r="DL49" s="11">
        <v>0.52109736274457108</v>
      </c>
    </row>
    <row r="50" spans="4:116" outlineLevel="1" x14ac:dyDescent="0.25">
      <c r="D50" s="13" t="s">
        <v>31</v>
      </c>
      <c r="E50" s="13">
        <v>1</v>
      </c>
      <c r="F50" s="10" t="s">
        <v>150</v>
      </c>
      <c r="G50" s="13"/>
      <c r="H50" s="62" t="str">
        <f t="shared" si="2"/>
        <v xml:space="preserve">Houston </v>
      </c>
      <c r="I50" s="11">
        <f>1305/(10^3)</f>
        <v>1.3049999999999999</v>
      </c>
      <c r="J50" s="11">
        <f>1354.22361268069/(10^3)</f>
        <v>1.3542236126806899</v>
      </c>
      <c r="K50" s="11">
        <f>137354.686846063/(10^3)</f>
        <v>137.354686846063</v>
      </c>
      <c r="L50" s="11">
        <f>1354.68829227785/(10^3)</f>
        <v>1.35468829227785</v>
      </c>
      <c r="M50" s="11">
        <f>1361.41322932611/(10^3)</f>
        <v>1.3614132293261101</v>
      </c>
      <c r="N50" s="11">
        <f>1342.47409598859/(10^3)</f>
        <v>1.3424740959885901</v>
      </c>
      <c r="O50" s="11">
        <f>1385.99115451935/(10^3)</f>
        <v>1.38599115451935</v>
      </c>
      <c r="P50" s="11">
        <f>1402.67445480358/(10^3)</f>
        <v>1.4026744548035799</v>
      </c>
      <c r="Q50" s="11">
        <f>13.6807555294973/(10^3)</f>
        <v>1.3680755529497301E-2</v>
      </c>
      <c r="R50" s="11">
        <f>1400.45535891972/(10^3)</f>
        <v>1.4004553589197202</v>
      </c>
      <c r="S50" s="11">
        <f>1466.13258478699/(10^3)</f>
        <v>1.4661325847869899</v>
      </c>
      <c r="T50" s="11">
        <f>1459.48493101056/(10^3)</f>
        <v>1.4594849310105602</v>
      </c>
      <c r="U50" s="11">
        <f>1463.46910313637/(10^3)</f>
        <v>1.46346910313637</v>
      </c>
      <c r="V50" s="11">
        <f>1433.86933494708/(10^3)</f>
        <v>1.4338693349470799</v>
      </c>
      <c r="W50" s="11">
        <f>149173.773854674/(10^3)</f>
        <v>149.17377385467398</v>
      </c>
      <c r="X50" s="11">
        <f>1495.87484835939/(10^3)</f>
        <v>1.49587484835939</v>
      </c>
      <c r="Y50" s="11">
        <f>1504.43738060575/(10^3)</f>
        <v>1.5044373806057498</v>
      </c>
      <c r="Z50" s="11">
        <f>1644.26465370251/(10^3)</f>
        <v>1.6442646537025101</v>
      </c>
      <c r="AA50" s="11">
        <f>1645.14249318922/(10^3)</f>
        <v>1.64514249318922</v>
      </c>
      <c r="AB50" s="11">
        <f>1708.74720900761/(10^3)</f>
        <v>1.7087472090076101</v>
      </c>
      <c r="AC50" s="11">
        <f>17.6290421490639/(10^3)</f>
        <v>1.7629042149063898E-2</v>
      </c>
      <c r="AD50" s="11">
        <f>1836.91980837266/(10^3)</f>
        <v>1.8369198083726601</v>
      </c>
      <c r="AE50" s="11">
        <f>1702.69500007917/(10^3)</f>
        <v>1.7026950000791701</v>
      </c>
      <c r="AF50" s="11">
        <f>1668.74284845063/(10^3)</f>
        <v>1.6687428484506299</v>
      </c>
      <c r="AG50" s="11">
        <f>1637.62158780336/(10^3)</f>
        <v>1.63762158780336</v>
      </c>
      <c r="AH50" s="11">
        <f>1658.18335417143/(10^3)</f>
        <v>1.6581833541714299</v>
      </c>
      <c r="AI50" s="11">
        <f>167026.042144989/(10^3)</f>
        <v>167.02604214498902</v>
      </c>
      <c r="AJ50" s="11">
        <f>1640.57109197114/(10^3)</f>
        <v>1.64057109197114</v>
      </c>
      <c r="AK50" s="11">
        <f>1627.66497288094/(10^3)</f>
        <v>1.62766497288094</v>
      </c>
      <c r="AL50" s="11">
        <f>1666.55047042652/(10^3)</f>
        <v>1.6665504704265199</v>
      </c>
      <c r="AM50" s="11">
        <f>1668.24822405695/(10^3)</f>
        <v>1.6682482240569501</v>
      </c>
      <c r="AN50" s="11">
        <f>1703.59287654981/(10^3)</f>
        <v>1.7035928765498098</v>
      </c>
      <c r="AO50" s="11">
        <f>17.8448368422796/(10^3)</f>
        <v>1.7844836842279603E-2</v>
      </c>
      <c r="AP50" s="11">
        <f>1829.97951778994/(10^3)</f>
        <v>1.8299795177899401</v>
      </c>
      <c r="AQ50" s="11">
        <f>1754.83386099714/(10^3)</f>
        <v>1.7548338609971399</v>
      </c>
      <c r="AR50" s="11">
        <f>1712.75534268522/(10^3)</f>
        <v>1.71275534268522</v>
      </c>
      <c r="AS50" s="11">
        <f>1697.51652659063/(10^3)</f>
        <v>1.69751652659063</v>
      </c>
      <c r="AT50" s="11">
        <f>1732.43104710071/(10^3)</f>
        <v>1.7324310471007101</v>
      </c>
      <c r="AU50" s="11">
        <f>181277.892623196/(10^3)</f>
        <v>181.27789262319601</v>
      </c>
      <c r="AV50" s="11">
        <f>1852.83100512765/(10^3)</f>
        <v>1.85283100512765</v>
      </c>
      <c r="AW50" s="11">
        <f>1927.55005965053/(10^3)</f>
        <v>1.9275500596505302</v>
      </c>
      <c r="AX50" s="11">
        <f>1998.38271659789/(10^3)</f>
        <v>1.99838271659789</v>
      </c>
      <c r="AY50" s="11">
        <f>2043.20275758076/(10^3)</f>
        <v>2.0432027575807599</v>
      </c>
      <c r="AZ50" s="11">
        <f>2060.40078005071/(10^3)</f>
        <v>2.0604007800507103</v>
      </c>
      <c r="BA50" s="11">
        <f>20.6083765370908/(10^3)</f>
        <v>2.0608376537090797E-2</v>
      </c>
      <c r="BB50" s="11">
        <f>2136.5913814708/(10^3)</f>
        <v>2.1365913814708</v>
      </c>
      <c r="BC50" s="11">
        <f>2056.81814396112/(10^3)</f>
        <v>2.0568181439611197</v>
      </c>
      <c r="BD50" s="11">
        <f>2005.90531583786/(10^3)</f>
        <v>2.0059053158378601</v>
      </c>
      <c r="BE50" s="11">
        <f>1967.92586162429/(10^3)</f>
        <v>1.9679258616242901</v>
      </c>
      <c r="BF50" s="11">
        <f>2048.05139358345/(10^3)</f>
        <v>2.0480513935834503</v>
      </c>
      <c r="BG50" s="11">
        <f>200634.335130407/(10^3)</f>
        <v>200.63433513040701</v>
      </c>
      <c r="BH50" s="11">
        <f>2042.03896095809/(10^3)</f>
        <v>2.0420389609580898</v>
      </c>
      <c r="BI50" s="11">
        <f>2064.79677206073/(10^3)</f>
        <v>2.0647967720607299</v>
      </c>
      <c r="BJ50" s="11">
        <f>2180.8768101648/(10^3)</f>
        <v>2.1808768101648002</v>
      </c>
      <c r="BK50" s="11">
        <f>2226.0421932191/(10^3)</f>
        <v>2.2260421932191004</v>
      </c>
      <c r="BL50" s="11">
        <f>2294.7913553934/(10^3)</f>
        <v>2.2947913553934001</v>
      </c>
      <c r="BM50" s="11">
        <f>23.1000429498548/(10^3)</f>
        <v>2.31000429498548E-2</v>
      </c>
      <c r="BN50" s="11">
        <f>2331.64505975287/(10^3)</f>
        <v>2.3316450597528702</v>
      </c>
      <c r="BO50" s="11">
        <f>2136.74151153562/(10^3)</f>
        <v>2.1367415115356199</v>
      </c>
      <c r="BP50" s="11">
        <f>2067.09667606732/(10^3)</f>
        <v>2.0670966760673202</v>
      </c>
      <c r="BQ50" s="11">
        <f>2047.50551516245/(10^3)</f>
        <v>2.0475055151624497</v>
      </c>
      <c r="BR50" s="11">
        <f>2035.34011564352/(10^3)</f>
        <v>2.0353401156435198</v>
      </c>
      <c r="BS50" s="11">
        <f>200948.694299611/(10^3)</f>
        <v>200.94869429961099</v>
      </c>
      <c r="BT50" s="11">
        <f>1985.7128464067/(10^3)</f>
        <v>1.9857128464067</v>
      </c>
      <c r="BU50" s="11">
        <f>2051.62260480696/(10^3)</f>
        <v>2.0516226048069601</v>
      </c>
      <c r="BV50" s="11">
        <f>2184.45372910454/(10^3)</f>
        <v>2.1844537291045398</v>
      </c>
      <c r="BW50" s="11">
        <f>2247.61094015471/(10^3)</f>
        <v>2.24761094015471</v>
      </c>
      <c r="BX50" s="11">
        <f>2335.232263649/(10^3)</f>
        <v>2.3352322636489999</v>
      </c>
      <c r="BY50" s="11">
        <f>23.930553869198/(10^3)</f>
        <v>2.3930553869198002E-2</v>
      </c>
      <c r="BZ50" s="11">
        <f>2393.0553869198/(10^3)</f>
        <v>2.3930553869198001</v>
      </c>
      <c r="CA50" s="11">
        <f>2374.34568724426/(10^3)</f>
        <v>2.3743456872442597</v>
      </c>
      <c r="CB50" s="11">
        <f>2299.7799251594/(10^3)</f>
        <v>2.2997799251594002</v>
      </c>
      <c r="CC50" s="12"/>
      <c r="CZ50" s="11">
        <v>1.3680755529497253</v>
      </c>
      <c r="DA50" s="11">
        <v>1.7629042149063905</v>
      </c>
      <c r="DB50" s="11">
        <v>1.7844836842279554</v>
      </c>
      <c r="DC50" s="11">
        <v>2.0608376537090836</v>
      </c>
      <c r="DD50" s="11">
        <v>2.3100042949854793</v>
      </c>
      <c r="DE50" s="11">
        <v>2.3930553869197957</v>
      </c>
      <c r="DG50" s="11">
        <v>1.3735468684606296</v>
      </c>
      <c r="DH50" s="11">
        <v>1.4917377385467443</v>
      </c>
      <c r="DI50" s="11">
        <v>1.6702604214498906</v>
      </c>
      <c r="DJ50" s="11">
        <v>1.8127789262319616</v>
      </c>
      <c r="DK50" s="11">
        <v>2.0063433513040745</v>
      </c>
      <c r="DL50" s="11">
        <v>2.0094869429961113</v>
      </c>
    </row>
    <row r="51" spans="4:116" outlineLevel="1" x14ac:dyDescent="0.25">
      <c r="D51" s="13" t="s">
        <v>32</v>
      </c>
      <c r="E51" s="13" t="s">
        <v>27</v>
      </c>
      <c r="F51" s="10" t="s">
        <v>149</v>
      </c>
      <c r="G51" s="13"/>
      <c r="H51" s="62" t="str">
        <f t="shared" si="2"/>
        <v xml:space="preserve">Indianapolis 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>
        <f>1018.18370482859/(10^3)</f>
        <v>1.01818370482859</v>
      </c>
      <c r="AU51" s="11">
        <f>100379.824563193/(10^3)</f>
        <v>100.379824563193</v>
      </c>
      <c r="AV51" s="11">
        <f>987.115938457596/(10^3)</f>
        <v>0.98711593845759604</v>
      </c>
      <c r="AW51" s="11">
        <f>1033.99941736539/(10^3)</f>
        <v>1.0339994173653899</v>
      </c>
      <c r="AX51" s="11">
        <f>1074.03126307903/(10^3)</f>
        <v>1.0740312630790299</v>
      </c>
      <c r="AY51" s="11">
        <f>1116.32614264745/(10^3)</f>
        <v>1.11632614264745</v>
      </c>
      <c r="AZ51" s="11">
        <f>1133.20798573573/(10^3)</f>
        <v>1.13320798573573</v>
      </c>
      <c r="BA51" s="11">
        <f>11.2915184741677/(10^3)</f>
        <v>1.12915184741677E-2</v>
      </c>
      <c r="BB51" s="11">
        <f>1128.77275835917/(10^3)</f>
        <v>1.12877275835917</v>
      </c>
      <c r="BC51" s="11">
        <f>1122.01883252662/(10^3)</f>
        <v>1.1220188325266198</v>
      </c>
      <c r="BD51" s="11">
        <f>1119.83052283948/(10^3)</f>
        <v>1.11983052283948</v>
      </c>
      <c r="BE51" s="11">
        <f>1034.35901595319/(10^3)</f>
        <v>1.0343590159531899</v>
      </c>
      <c r="BF51" s="11">
        <f>1047.92801426/(10^3)</f>
        <v>1.04792801426</v>
      </c>
      <c r="BG51" s="11">
        <f>102290.70111174/(10^3)</f>
        <v>102.29070111173999</v>
      </c>
      <c r="BH51" s="11">
        <f>1001.74923120999/(10^3)</f>
        <v>1.00174923120999</v>
      </c>
      <c r="BI51" s="11">
        <f>1027.9253824972/(10^3)</f>
        <v>1.0279253824971999</v>
      </c>
      <c r="BJ51" s="11">
        <f>1129.75637927188/(10^3)</f>
        <v>1.1297563792718799</v>
      </c>
      <c r="BK51" s="11">
        <f>1146.16560735629/(10^3)</f>
        <v>1.1461656073562898</v>
      </c>
      <c r="BL51" s="11">
        <f>1149.56524488483/(10^3)</f>
        <v>1.1495652448848299</v>
      </c>
      <c r="BM51" s="11">
        <f>11.5336993092376/(10^3)</f>
        <v>1.1533699309237599E-2</v>
      </c>
      <c r="BN51" s="11">
        <f>1139.31401892466/(10^3)</f>
        <v>1.13931401892466</v>
      </c>
      <c r="BO51" s="11">
        <f>1132.95596275093/(10^3)</f>
        <v>1.13295596275093</v>
      </c>
      <c r="BP51" s="11">
        <f>1123.88820020749/(10^3)</f>
        <v>1.1238882002074899</v>
      </c>
      <c r="BQ51" s="11">
        <f>1103.3101083616/(10^3)</f>
        <v>1.1033101083615999</v>
      </c>
      <c r="BR51" s="11">
        <f>1084.589037137/(10^3)</f>
        <v>1.0845890371370002</v>
      </c>
      <c r="BS51" s="11">
        <f>108256.046783215/(10^3)</f>
        <v>108.256046783215</v>
      </c>
      <c r="BT51" s="11">
        <f>1059.17042895869/(10^3)</f>
        <v>1.0591704289586901</v>
      </c>
      <c r="BU51" s="11">
        <f>1037.89422832658/(10^3)</f>
        <v>1.0378942283265802</v>
      </c>
      <c r="BV51" s="11">
        <f>1127.13142325373/(10^3)</f>
        <v>1.1271314232537299</v>
      </c>
      <c r="BW51" s="11">
        <f>1181.81370396748/(10^3)</f>
        <v>1.1818137039674801</v>
      </c>
      <c r="BX51" s="11">
        <f>1183.20009569467/(10^3)</f>
        <v>1.18320009569467</v>
      </c>
      <c r="BY51" s="11">
        <f>12.6003830516774/(10^3)</f>
        <v>1.26003830516774E-2</v>
      </c>
      <c r="BZ51" s="11">
        <f>1260.03830516774/(10^3)</f>
        <v>1.26003830516774</v>
      </c>
      <c r="CA51" s="11">
        <f>1250.72903364198/(10^3)</f>
        <v>1.2507290336419801</v>
      </c>
      <c r="CB51" s="11">
        <f>1214.62395225518/(10^3)</f>
        <v>1.2146239522551801</v>
      </c>
      <c r="CC51" s="12"/>
      <c r="CZ51" s="11">
        <v>0.79540843441563425</v>
      </c>
      <c r="DA51" s="11">
        <v>1.1243380085994867</v>
      </c>
      <c r="DB51" s="11">
        <v>1.1378172671220332</v>
      </c>
      <c r="DC51" s="11">
        <v>1.1291518474167652</v>
      </c>
      <c r="DD51" s="11">
        <v>1.1533699309237648</v>
      </c>
      <c r="DE51" s="11">
        <v>1.2600383051677384</v>
      </c>
      <c r="DG51" s="11">
        <v>0.72660572929113498</v>
      </c>
      <c r="DH51" s="11">
        <v>0.9231735062709443</v>
      </c>
      <c r="DI51" s="11">
        <v>0.98675704875340342</v>
      </c>
      <c r="DJ51" s="11">
        <v>1.0037982456319274</v>
      </c>
      <c r="DK51" s="11">
        <v>1.0229070111173979</v>
      </c>
      <c r="DL51" s="11">
        <v>1.082560467832151</v>
      </c>
    </row>
    <row r="52" spans="4:116" outlineLevel="1" x14ac:dyDescent="0.25">
      <c r="D52" s="13" t="s">
        <v>34</v>
      </c>
      <c r="E52" s="13" t="s">
        <v>33</v>
      </c>
      <c r="F52" s="10" t="s">
        <v>150</v>
      </c>
      <c r="G52" s="13"/>
      <c r="H52" s="62" t="str">
        <f t="shared" si="2"/>
        <v xml:space="preserve">Jackson 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>
        <f>8.59733089124487/(10^3)</f>
        <v>8.5973308912448698E-3</v>
      </c>
      <c r="BB52" s="11">
        <f>878.501638682409/(10^3)</f>
        <v>0.87850163868240894</v>
      </c>
      <c r="BC52" s="11">
        <f>855.752781370791/(10^3)</f>
        <v>0.85575278137079103</v>
      </c>
      <c r="BD52" s="11">
        <f>821.843334540762/(10^3)</f>
        <v>0.82184333454076208</v>
      </c>
      <c r="BE52" s="11">
        <f>783.414226840093/(10^3)</f>
        <v>0.78341422684009299</v>
      </c>
      <c r="BF52" s="11">
        <f>813.315697647968/(10^3)</f>
        <v>0.81331569764796807</v>
      </c>
      <c r="BG52" s="11">
        <f>84336.3492554194/(10^3)</f>
        <v>84.336349255419393</v>
      </c>
      <c r="BH52" s="11">
        <f>878.95713783347/(10^3)</f>
        <v>0.87895713783347007</v>
      </c>
      <c r="BI52" s="11">
        <f>883.668751911304/(10^3)</f>
        <v>0.88366875191130401</v>
      </c>
      <c r="BJ52" s="11">
        <f>898.087009898801/(10^3)</f>
        <v>0.89808700989880108</v>
      </c>
      <c r="BK52" s="11">
        <f>918.301910050102/(10^3)</f>
        <v>0.91830191005010209</v>
      </c>
      <c r="BL52" s="11">
        <f>948.579975596082/(10^3)</f>
        <v>0.94857997559608198</v>
      </c>
      <c r="BM52" s="11">
        <f>9.69061941875833/(10^3)</f>
        <v>9.6906194187583294E-3</v>
      </c>
      <c r="BN52" s="11">
        <f>992.523056355016/(10^3)</f>
        <v>0.99252305635501603</v>
      </c>
      <c r="BO52" s="11">
        <f>941.191186200098/(10^3)</f>
        <v>0.9411911862000979</v>
      </c>
      <c r="BP52" s="11">
        <f>919.572452909526/(10^3)</f>
        <v>0.91957245290952594</v>
      </c>
      <c r="BQ52" s="11">
        <f>919.549870187248/(10^3)</f>
        <v>0.91954987018724799</v>
      </c>
      <c r="BR52" s="11">
        <f>910.989246949806/(10^3)</f>
        <v>0.91098924694980599</v>
      </c>
      <c r="BS52" s="11">
        <f>89150.5608971332/(10^3)</f>
        <v>89.150560897133204</v>
      </c>
      <c r="BT52" s="11">
        <f>886.121640677477/(10^3)</f>
        <v>0.88612164067747701</v>
      </c>
      <c r="BU52" s="11">
        <f>913.410469524263/(10^3)</f>
        <v>0.91341046952426297</v>
      </c>
      <c r="BV52" s="11">
        <f>977.580956623992/(10^3)</f>
        <v>0.97758095662399203</v>
      </c>
      <c r="BW52" s="11">
        <f>1001.22499346396/(10^3)</f>
        <v>1.0012249934639601</v>
      </c>
      <c r="BX52" s="11">
        <f>1046.08409397434/(10^3)</f>
        <v>1.0460840939743401</v>
      </c>
      <c r="BY52" s="11">
        <f>10.5648378794853/(10^3)</f>
        <v>1.0564837879485299E-2</v>
      </c>
      <c r="BZ52" s="11">
        <f>1056.48378794853/(10^3)</f>
        <v>1.05648378794853</v>
      </c>
      <c r="CA52" s="11">
        <f>951.152748020201/(10^3)</f>
        <v>0.951152748020201</v>
      </c>
      <c r="CB52" s="11">
        <f>933.569460267483/(10^3)</f>
        <v>0.933569460267483</v>
      </c>
      <c r="CC52" s="12"/>
      <c r="CZ52" s="11">
        <v>0.64719788905665121</v>
      </c>
      <c r="DA52" s="11">
        <v>0.80260053313543345</v>
      </c>
      <c r="DB52" s="11">
        <v>0.92039329244076096</v>
      </c>
      <c r="DC52" s="11">
        <v>0.85973308912448654</v>
      </c>
      <c r="DD52" s="11">
        <v>0.96906194187583261</v>
      </c>
      <c r="DE52" s="11">
        <v>1.0564837879485254</v>
      </c>
      <c r="DG52" s="11">
        <v>0.595659226969531</v>
      </c>
      <c r="DH52" s="11">
        <v>0.66358464230997127</v>
      </c>
      <c r="DI52" s="11">
        <v>0.76154380015214762</v>
      </c>
      <c r="DJ52" s="11">
        <v>0.79974281736412067</v>
      </c>
      <c r="DK52" s="11">
        <v>0.84336349255419374</v>
      </c>
      <c r="DL52" s="11">
        <v>0.8915056089713318</v>
      </c>
    </row>
    <row r="53" spans="4:116" outlineLevel="1" x14ac:dyDescent="0.25">
      <c r="D53" s="13" t="s">
        <v>36</v>
      </c>
      <c r="E53" s="13" t="s">
        <v>35</v>
      </c>
      <c r="F53" s="10" t="s">
        <v>150</v>
      </c>
      <c r="G53" s="13"/>
      <c r="H53" s="62" t="str">
        <f t="shared" si="2"/>
        <v xml:space="preserve">Jacksonville </v>
      </c>
      <c r="I53" s="11">
        <f>917/(10^3)</f>
        <v>0.91700000000000004</v>
      </c>
      <c r="J53" s="11">
        <f>927.316237191708/(10^3)</f>
        <v>0.92731623719170797</v>
      </c>
      <c r="K53" s="11">
        <f>95789.8131674846/(10^3)</f>
        <v>95.789813167484596</v>
      </c>
      <c r="L53" s="11">
        <f>997.139055510187/(10^3)</f>
        <v>0.997139055510187</v>
      </c>
      <c r="M53" s="11">
        <f>987.618316935446/(10^3)</f>
        <v>0.98761831693544599</v>
      </c>
      <c r="N53" s="11">
        <f>1001.39285453049/(10^3)</f>
        <v>1.00139285453049</v>
      </c>
      <c r="O53" s="11">
        <f>1021.0560364748/(10^3)</f>
        <v>1.0210560364748</v>
      </c>
      <c r="P53" s="11">
        <f>1052.79332172763/(10^3)</f>
        <v>1.05279332172763</v>
      </c>
      <c r="Q53" s="11">
        <f>11.0263723487764/(10^3)</f>
        <v>1.10263723487764E-2</v>
      </c>
      <c r="R53" s="11">
        <f>1121.73686895856/(10^3)</f>
        <v>1.1217368689585601</v>
      </c>
      <c r="S53" s="11">
        <f>1109.85494670776/(10^3)</f>
        <v>1.1098549467077601</v>
      </c>
      <c r="T53" s="11">
        <f>1088.58381432097/(10^3)</f>
        <v>1.0885838143209701</v>
      </c>
      <c r="U53" s="11">
        <f>1099.82215719183/(10^3)</f>
        <v>1.0998221571918301</v>
      </c>
      <c r="V53" s="11">
        <f>1085.93904064338/(10^3)</f>
        <v>1.08593904064338</v>
      </c>
      <c r="W53" s="11">
        <f>110320.194519781/(10^3)</f>
        <v>110.320194519781</v>
      </c>
      <c r="X53" s="11">
        <f>1109.68173201072/(10^3)</f>
        <v>1.10968173201072</v>
      </c>
      <c r="Y53" s="11">
        <f>1134.08180751061/(10^3)</f>
        <v>1.1340818075106098</v>
      </c>
      <c r="Z53" s="11">
        <f>1189.82180763216/(10^3)</f>
        <v>1.1898218076321601</v>
      </c>
      <c r="AA53" s="11">
        <f>1217.18463810939/(10^3)</f>
        <v>1.21718463810939</v>
      </c>
      <c r="AB53" s="11">
        <f>1223.78757088853/(10^3)</f>
        <v>1.22378757088853</v>
      </c>
      <c r="AC53" s="11">
        <f>12.4801305268222/(10^3)</f>
        <v>1.2480130526822199E-2</v>
      </c>
      <c r="AD53" s="11">
        <f>1286.35183761806/(10^3)</f>
        <v>1.28635183761806</v>
      </c>
      <c r="AE53" s="11">
        <f>1201.14006187984/(10^3)</f>
        <v>1.20114006187984</v>
      </c>
      <c r="AF53" s="11">
        <f>1153.89913405901/(10^3)</f>
        <v>1.1538991340590101</v>
      </c>
      <c r="AG53" s="11">
        <f>1146.04610005641/(10^3)</f>
        <v>1.1460461000564102</v>
      </c>
      <c r="AH53" s="11">
        <f>1193.25437175556/(10^3)</f>
        <v>1.1932543717555599</v>
      </c>
      <c r="AI53" s="11">
        <f>119175.300652932/(10^3)</f>
        <v>119.17530065293199</v>
      </c>
      <c r="AJ53" s="11">
        <f>1166.1705804158/(10^3)</f>
        <v>1.1661705804158</v>
      </c>
      <c r="AK53" s="11">
        <f>1195.30502268116/(10^3)</f>
        <v>1.1953050226811599</v>
      </c>
      <c r="AL53" s="11">
        <f>1293.97239804956/(10^3)</f>
        <v>1.2939723980495601</v>
      </c>
      <c r="AM53" s="11">
        <f>1357.86823578482/(10^3)</f>
        <v>1.35786823578482</v>
      </c>
      <c r="AN53" s="11">
        <f>1418.43661476462/(10^3)</f>
        <v>1.4184366147646199</v>
      </c>
      <c r="AO53" s="11">
        <f>14.3185208730739/(10^3)</f>
        <v>1.4318520873073901E-2</v>
      </c>
      <c r="AP53" s="11">
        <f>1449.58694800563/(10^3)</f>
        <v>1.4495869480056298</v>
      </c>
      <c r="AQ53" s="11">
        <f>1434.74784999829/(10^3)</f>
        <v>1.43474784999829</v>
      </c>
      <c r="AR53" s="11">
        <f>1417.54914232451/(10^3)</f>
        <v>1.4175491423245101</v>
      </c>
      <c r="AS53" s="11">
        <f>1409.62719731745/(10^3)</f>
        <v>1.4096271973174501</v>
      </c>
      <c r="AT53" s="11">
        <f>1387.13659304435/(10^3)</f>
        <v>1.38713659304435</v>
      </c>
      <c r="AU53" s="11">
        <f>137273.007112616/(10^3)</f>
        <v>137.273007112616</v>
      </c>
      <c r="AV53" s="11">
        <f>1414.37700320486/(10^3)</f>
        <v>1.4143770032048602</v>
      </c>
      <c r="AW53" s="11">
        <f>1469.29307622407/(10^3)</f>
        <v>1.4692930762240701</v>
      </c>
      <c r="AX53" s="11">
        <f>1540.68121851195/(10^3)</f>
        <v>1.5406812185119501</v>
      </c>
      <c r="AY53" s="11">
        <f>1577.65006624793/(10^3)</f>
        <v>1.57765006624793</v>
      </c>
      <c r="AZ53" s="11">
        <f>1556.47561805783/(10^3)</f>
        <v>1.5564756180578299</v>
      </c>
      <c r="BA53" s="11">
        <f>15.8648670523104/(10^3)</f>
        <v>1.58648670523104E-2</v>
      </c>
      <c r="BB53" s="11">
        <f>1608.56090404023/(10^3)</f>
        <v>1.60856090404023</v>
      </c>
      <c r="BC53" s="11">
        <f>1564.24313495579/(10^3)</f>
        <v>1.5642431349557901</v>
      </c>
      <c r="BD53" s="11">
        <f>1535.80435952845/(10^3)</f>
        <v>1.5358043595284501</v>
      </c>
      <c r="BE53" s="11">
        <f>1497.70934200472/(10^3)</f>
        <v>1.4977093420047198</v>
      </c>
      <c r="BF53" s="11">
        <f>1474.30761379114/(10^3)</f>
        <v>1.4743076137911399</v>
      </c>
      <c r="BG53" s="11">
        <f>144081.286437705/(10^3)</f>
        <v>144.08128643770502</v>
      </c>
      <c r="BH53" s="11">
        <f>1510.09861555871/(10^3)</f>
        <v>1.5100986155587099</v>
      </c>
      <c r="BI53" s="11">
        <f>1480.49228258266/(10^3)</f>
        <v>1.4804922825826601</v>
      </c>
      <c r="BJ53" s="11">
        <f>1496.15607878596/(10^3)</f>
        <v>1.49615607878596</v>
      </c>
      <c r="BK53" s="11">
        <f>1569.46620114535/(10^3)</f>
        <v>1.56946620114535</v>
      </c>
      <c r="BL53" s="11">
        <f>1619.23915793293/(10^3)</f>
        <v>1.6192391579329302</v>
      </c>
      <c r="BM53" s="11">
        <f>16.4016815778001/(10^3)</f>
        <v>1.6401681577800101E-2</v>
      </c>
      <c r="BN53" s="11">
        <f>1715.15846333245/(10^3)</f>
        <v>1.7151584633324501</v>
      </c>
      <c r="BO53" s="11">
        <f>1660.67684792745/(10^3)</f>
        <v>1.6606768479274499</v>
      </c>
      <c r="BP53" s="11">
        <f>1609.87612409929/(10^3)</f>
        <v>1.60987612409929</v>
      </c>
      <c r="BQ53" s="11">
        <f>1599.25795854645/(10^3)</f>
        <v>1.5992579585464499</v>
      </c>
      <c r="BR53" s="11">
        <f>1610.90645979715/(10^3)</f>
        <v>1.6109064597971501</v>
      </c>
      <c r="BS53" s="11">
        <f>165010.052455181/(10^3)</f>
        <v>165.01005245518098</v>
      </c>
      <c r="BT53" s="11">
        <f>1629.24272303941/(10^3)</f>
        <v>1.62924272303941</v>
      </c>
      <c r="BU53" s="11">
        <f>1673.43729079201/(10^3)</f>
        <v>1.6734372907920099</v>
      </c>
      <c r="BV53" s="11">
        <f>1750.34976686813/(10^3)</f>
        <v>1.75034976686813</v>
      </c>
      <c r="BW53" s="11">
        <f>1819.24947146177/(10^3)</f>
        <v>1.8192494714617702</v>
      </c>
      <c r="BX53" s="11">
        <f>1836.91290054814/(10^3)</f>
        <v>1.8369129005481399</v>
      </c>
      <c r="BY53" s="11">
        <f>19.4036588345203/(10^3)</f>
        <v>1.9403658834520301E-2</v>
      </c>
      <c r="BZ53" s="11">
        <f>1940.36588345203/(10^3)</f>
        <v>1.9403658834520299</v>
      </c>
      <c r="CA53" s="11">
        <f>1805.00066391481/(10^3)</f>
        <v>1.80500066391481</v>
      </c>
      <c r="CB53" s="11">
        <f>1785.13006695511/(10^3)</f>
        <v>1.78513006695511</v>
      </c>
      <c r="CC53" s="12"/>
      <c r="CZ53" s="11">
        <v>1.1026372348776445</v>
      </c>
      <c r="DA53" s="11">
        <v>1.2480130526822151</v>
      </c>
      <c r="DB53" s="11">
        <v>1.4318520873073866</v>
      </c>
      <c r="DC53" s="11">
        <v>1.5864867052310374</v>
      </c>
      <c r="DD53" s="11">
        <v>1.6401681577800111</v>
      </c>
      <c r="DE53" s="11">
        <v>1.9403658834520285</v>
      </c>
      <c r="DG53" s="11">
        <v>0.95789813167484594</v>
      </c>
      <c r="DH53" s="11">
        <v>1.103201945197805</v>
      </c>
      <c r="DI53" s="11">
        <v>1.191753006529324</v>
      </c>
      <c r="DJ53" s="11">
        <v>1.3727300711261607</v>
      </c>
      <c r="DK53" s="11">
        <v>1.4408128643770468</v>
      </c>
      <c r="DL53" s="11">
        <v>1.6501005245518134</v>
      </c>
    </row>
    <row r="54" spans="4:116" outlineLevel="1" x14ac:dyDescent="0.25">
      <c r="D54" s="13" t="s">
        <v>38</v>
      </c>
      <c r="E54" s="13" t="s">
        <v>37</v>
      </c>
      <c r="F54" s="10" t="s">
        <v>149</v>
      </c>
      <c r="G54" s="13"/>
      <c r="H54" s="62" t="str">
        <f t="shared" si="2"/>
        <v xml:space="preserve">Jefferson City 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>
        <f>389.443696057955/(10^3)</f>
        <v>0.38944369605795498</v>
      </c>
      <c r="AU54" s="11">
        <f>40177.4369628765/(10^3)</f>
        <v>40.177436962876499</v>
      </c>
      <c r="AV54" s="11">
        <f>412.447723877507/(10^3)</f>
        <v>0.412447723877507</v>
      </c>
      <c r="AW54" s="11">
        <f>400.646561236333/(10^3)</f>
        <v>0.40064656123633302</v>
      </c>
      <c r="AX54" s="11">
        <f>417.449946916623/(10^3)</f>
        <v>0.41744994691662302</v>
      </c>
      <c r="AY54" s="11">
        <f>429.015898128702/(10^3)</f>
        <v>0.429015898128702</v>
      </c>
      <c r="AZ54" s="11">
        <f>442.992754108751/(10^3)</f>
        <v>0.442992754108751</v>
      </c>
      <c r="BA54" s="11">
        <f>4.4093583415624/(10^3)</f>
        <v>4.4093583415623994E-3</v>
      </c>
      <c r="BB54" s="11">
        <f>449.114667259105/(10^3)</f>
        <v>0.44911466725910498</v>
      </c>
      <c r="BC54" s="11">
        <f>406.053489786431/(10^3)</f>
        <v>0.40605348978643097</v>
      </c>
      <c r="BD54" s="11">
        <f>392.968575414119/(10^3)</f>
        <v>0.392968575414119</v>
      </c>
      <c r="BE54" s="11">
        <f>381.246266987048/(10^3)</f>
        <v>0.381246266987048</v>
      </c>
      <c r="BF54" s="11">
        <f>377.73746039264/(10^3)</f>
        <v>0.37773746039264</v>
      </c>
      <c r="BG54" s="11">
        <f>38975.6077244514/(10^3)</f>
        <v>38.9756077244514</v>
      </c>
      <c r="BH54" s="11">
        <f>392.567550568662/(10^3)</f>
        <v>0.39256755056866199</v>
      </c>
      <c r="BI54" s="11">
        <f>393.517279119635/(10^3)</f>
        <v>0.39351727911963502</v>
      </c>
      <c r="BJ54" s="11">
        <f>404.202784027221/(10^3)</f>
        <v>0.40420278402722104</v>
      </c>
      <c r="BK54" s="11">
        <f>414.271904502031/(10^3)</f>
        <v>0.414271904502031</v>
      </c>
      <c r="BL54" s="11">
        <f>419.709234824488/(10^3)</f>
        <v>0.41970923482448802</v>
      </c>
      <c r="BM54" s="11">
        <f>4.29231790228866/(10^3)</f>
        <v>4.2923179022886608E-3</v>
      </c>
      <c r="BN54" s="11">
        <f>427.844503138414/(10^3)</f>
        <v>0.42784450313841399</v>
      </c>
      <c r="BO54" s="11">
        <f>415.938705099346/(10^3)</f>
        <v>0.415938705099346</v>
      </c>
      <c r="BP54" s="11">
        <f>403.429497628233/(10^3)</f>
        <v>0.40342949762823299</v>
      </c>
      <c r="BQ54" s="11">
        <f>392.776534638551/(10^3)</f>
        <v>0.392776534638551</v>
      </c>
      <c r="BR54" s="11">
        <f>396.642518114718/(10^3)</f>
        <v>0.39664251811471796</v>
      </c>
      <c r="BS54" s="11">
        <f>40384.8089066627/(10^3)</f>
        <v>40.384808906662698</v>
      </c>
      <c r="BT54" s="11">
        <f>394.071258663987/(10^3)</f>
        <v>0.39407125866398701</v>
      </c>
      <c r="BU54" s="11">
        <f>401.733177747436/(10^3)</f>
        <v>0.401733177747436</v>
      </c>
      <c r="BV54" s="11">
        <f>427.284926682372/(10^3)</f>
        <v>0.427284926682372</v>
      </c>
      <c r="BW54" s="11">
        <f>444.200710889485/(10^3)</f>
        <v>0.44420071088948498</v>
      </c>
      <c r="BX54" s="11">
        <f>450.741511516152/(10^3)</f>
        <v>0.45074151151615199</v>
      </c>
      <c r="BY54" s="11">
        <f>4.7411415189249/(10^3)</f>
        <v>4.7411415189249004E-3</v>
      </c>
      <c r="BZ54" s="11">
        <f>474.11415189249/(10^3)</f>
        <v>0.47411415189249001</v>
      </c>
      <c r="CA54" s="11">
        <f>443.911007775644/(10^3)</f>
        <v>0.44391100777564402</v>
      </c>
      <c r="CB54" s="11">
        <f>427.034821437318/(10^3)</f>
        <v>0.42703482143731797</v>
      </c>
      <c r="CC54" s="12"/>
      <c r="CZ54" s="11">
        <v>0.33782059090850614</v>
      </c>
      <c r="DA54" s="11">
        <v>0.38609761210957899</v>
      </c>
      <c r="DB54" s="11">
        <v>0.39958156284511143</v>
      </c>
      <c r="DC54" s="11">
        <v>0.44093583415624016</v>
      </c>
      <c r="DD54" s="11">
        <v>0.42923179022886587</v>
      </c>
      <c r="DE54" s="11">
        <v>0.47411415189249051</v>
      </c>
      <c r="DG54" s="11">
        <v>0.36631045398847495</v>
      </c>
      <c r="DH54" s="11">
        <v>0.33987381574883896</v>
      </c>
      <c r="DI54" s="11">
        <v>0.36680440475595855</v>
      </c>
      <c r="DJ54" s="11">
        <v>0.4017743696287655</v>
      </c>
      <c r="DK54" s="11">
        <v>0.38975607724451405</v>
      </c>
      <c r="DL54" s="11">
        <v>0.40384808906662706</v>
      </c>
    </row>
    <row r="55" spans="4:116" outlineLevel="1" x14ac:dyDescent="0.25">
      <c r="D55" s="13" t="s">
        <v>39</v>
      </c>
      <c r="E55" s="13" t="s">
        <v>37</v>
      </c>
      <c r="F55" s="10" t="s">
        <v>149</v>
      </c>
      <c r="G55" s="13"/>
      <c r="H55" s="62" t="str">
        <f t="shared" si="2"/>
        <v xml:space="preserve">Kansas City </v>
      </c>
      <c r="I55" s="11">
        <f>911/(10^3)</f>
        <v>0.91100000000000003</v>
      </c>
      <c r="J55" s="11">
        <f>929.784645346033/(10^3)</f>
        <v>0.929784645346033</v>
      </c>
      <c r="K55" s="11">
        <f>95113.7047617576/(10^3)</f>
        <v>95.113704761757603</v>
      </c>
      <c r="L55" s="11">
        <f>926.444709070321/(10^3)</f>
        <v>0.92644470907032095</v>
      </c>
      <c r="M55" s="11">
        <f>931.576202103939/(10^3)</f>
        <v>0.93157620210393899</v>
      </c>
      <c r="N55" s="11">
        <f>903.836242676838/(10^3)</f>
        <v>0.90383624267683793</v>
      </c>
      <c r="O55" s="11">
        <f>890.037959843588/(10^3)</f>
        <v>0.89003795984358802</v>
      </c>
      <c r="P55" s="11">
        <f>909.039495794454/(10^3)</f>
        <v>0.90903949579445398</v>
      </c>
      <c r="Q55" s="11">
        <f>9.15195119457103/(10^3)</f>
        <v>9.1519511945710296E-3</v>
      </c>
      <c r="R55" s="11">
        <f>918.699738923377/(10^3)</f>
        <v>0.91869973892337697</v>
      </c>
      <c r="S55" s="11">
        <f>934.366205101884/(10^3)</f>
        <v>0.93436620510188406</v>
      </c>
      <c r="T55" s="11">
        <f>971.973984547436/(10^3)</f>
        <v>0.971973984547436</v>
      </c>
      <c r="U55" s="11">
        <f>976.789801166597/(10^3)</f>
        <v>0.97678980116659708</v>
      </c>
      <c r="V55" s="11">
        <f>951.32719467794/(10^3)</f>
        <v>0.95132719467794002</v>
      </c>
      <c r="W55" s="11">
        <f>97225.0013890901/(10^3)</f>
        <v>97.225001389090096</v>
      </c>
      <c r="X55" s="11">
        <f>1006.68821014699/(10^3)</f>
        <v>1.0066882101469898</v>
      </c>
      <c r="Y55" s="11">
        <f>1003.35941708334/(10^3)</f>
        <v>1.00335941708334</v>
      </c>
      <c r="Z55" s="11">
        <f>1082.27336765002/(10^3)</f>
        <v>1.08227336765002</v>
      </c>
      <c r="AA55" s="11">
        <f>1105.97527357028/(10^3)</f>
        <v>1.1059752735702799</v>
      </c>
      <c r="AB55" s="11">
        <f>1120.71288576052/(10^3)</f>
        <v>1.12071288576052</v>
      </c>
      <c r="AC55" s="11">
        <f>11.6152551064305/(10^3)</f>
        <v>1.16152551064305E-2</v>
      </c>
      <c r="AD55" s="11">
        <f>1186.96203145137/(10^3)</f>
        <v>1.18696203145137</v>
      </c>
      <c r="AE55" s="11">
        <f>1157.76316083901/(10^3)</f>
        <v>1.15776316083901</v>
      </c>
      <c r="AF55" s="11">
        <f>1122.65447648807/(10^3)</f>
        <v>1.1226544764880699</v>
      </c>
      <c r="AG55" s="11">
        <f>1098.37325172022/(10^3)</f>
        <v>1.09837325172022</v>
      </c>
      <c r="AH55" s="11">
        <f>1089.1078365202/(10^3)</f>
        <v>1.0891078365202</v>
      </c>
      <c r="AI55" s="11">
        <f>112296.363302592/(10^3)</f>
        <v>112.296363302592</v>
      </c>
      <c r="AJ55" s="11">
        <f>1135.14433789477/(10^3)</f>
        <v>1.1351443378947699</v>
      </c>
      <c r="AK55" s="11">
        <f>1150.78982562766/(10^3)</f>
        <v>1.1507898256276601</v>
      </c>
      <c r="AL55" s="11">
        <f>1212.76365942874/(10^3)</f>
        <v>1.2127636594287401</v>
      </c>
      <c r="AM55" s="11">
        <f>1231.90624776259/(10^3)</f>
        <v>1.2319062477625899</v>
      </c>
      <c r="AN55" s="11">
        <f>1245.1167844782/(10^3)</f>
        <v>1.2451167844782001</v>
      </c>
      <c r="AO55" s="11">
        <f>12.637350779032/(10^3)</f>
        <v>1.2637350779031999E-2</v>
      </c>
      <c r="AP55" s="11">
        <f>1323.81139204964/(10^3)</f>
        <v>1.3238113920496402</v>
      </c>
      <c r="AQ55" s="11">
        <f>1307.72390143189/(10^3)</f>
        <v>1.30772390143189</v>
      </c>
      <c r="AR55" s="11">
        <f>1285.39433085101/(10^3)</f>
        <v>1.2853943308510098</v>
      </c>
      <c r="AS55" s="11">
        <f>1281.93434602376/(10^3)</f>
        <v>1.28193434602376</v>
      </c>
      <c r="AT55" s="11">
        <f>1320.59885677334/(10^3)</f>
        <v>1.32059885677334</v>
      </c>
      <c r="AU55" s="11">
        <f>130387.863418364/(10^3)</f>
        <v>130.38786341836399</v>
      </c>
      <c r="AV55" s="11">
        <f>1325.31983969276/(10^3)</f>
        <v>1.3253198396927601</v>
      </c>
      <c r="AW55" s="11">
        <f>1386.99497747716/(10^3)</f>
        <v>1.3869949774771602</v>
      </c>
      <c r="AX55" s="11">
        <f>1439.03771561094/(10^3)</f>
        <v>1.43903771561094</v>
      </c>
      <c r="AY55" s="11">
        <f>1445.0392583072/(10^3)</f>
        <v>1.4450392583072</v>
      </c>
      <c r="AZ55" s="11">
        <f>1472.45643944109/(10^3)</f>
        <v>1.4724564394410899</v>
      </c>
      <c r="BA55" s="11">
        <f>15.3820766465899/(10^3)</f>
        <v>1.5382076646589899E-2</v>
      </c>
      <c r="BB55" s="11">
        <f>1528.76266541697/(10^3)</f>
        <v>1.5287626654169701</v>
      </c>
      <c r="BC55" s="11">
        <f>1394.62109777693/(10^3)</f>
        <v>1.39462109777693</v>
      </c>
      <c r="BD55" s="11">
        <f>1352.76612163299/(10^3)</f>
        <v>1.35276612163299</v>
      </c>
      <c r="BE55" s="11">
        <f>1318.91355525399/(10^3)</f>
        <v>1.3189135552539899</v>
      </c>
      <c r="BF55" s="11">
        <f>1315.61427933412/(10^3)</f>
        <v>1.3156142793341201</v>
      </c>
      <c r="BG55" s="11">
        <f>128038.257613849/(10^3)</f>
        <v>128.038257613849</v>
      </c>
      <c r="BH55" s="11">
        <f>1266.77043713186/(10^3)</f>
        <v>1.26677043713186</v>
      </c>
      <c r="BI55" s="11">
        <f>1246.78172957185/(10^3)</f>
        <v>1.24678172957185</v>
      </c>
      <c r="BJ55" s="11">
        <f>1352.64000520281/(10^3)</f>
        <v>1.35264000520281</v>
      </c>
      <c r="BK55" s="11">
        <f>1376.00135796605/(10^3)</f>
        <v>1.3760013579660499</v>
      </c>
      <c r="BL55" s="11">
        <f>1389.41680615711/(10^3)</f>
        <v>1.3894168061571099</v>
      </c>
      <c r="BM55" s="11">
        <f>14.2400666606034/(10^3)</f>
        <v>1.4240066660603399E-2</v>
      </c>
      <c r="BN55" s="11">
        <f>1457.44559430998/(10^3)</f>
        <v>1.45744559430998</v>
      </c>
      <c r="BO55" s="11">
        <f>1401.86330211573/(10^3)</f>
        <v>1.4018633021157301</v>
      </c>
      <c r="BP55" s="11">
        <f>1332.20628033867/(10^3)</f>
        <v>1.3322062803386701</v>
      </c>
      <c r="BQ55" s="11">
        <f>1312.34024665061/(10^3)</f>
        <v>1.31234024665061</v>
      </c>
      <c r="BR55" s="11">
        <f>1289.5412112505/(10^3)</f>
        <v>1.2895412112505</v>
      </c>
      <c r="BS55" s="11">
        <f>127441.585886279/(10^3)</f>
        <v>127.441585886279</v>
      </c>
      <c r="BT55" s="11">
        <f>1247.13392967625/(10^3)</f>
        <v>1.24713392967625</v>
      </c>
      <c r="BU55" s="11">
        <f>1270.60820371558/(10^3)</f>
        <v>1.2706082037155799</v>
      </c>
      <c r="BV55" s="11">
        <f>1295.7112189662/(10^3)</f>
        <v>1.2957112189662001</v>
      </c>
      <c r="BW55" s="11">
        <f>1332.50543393895/(10^3)</f>
        <v>1.3325054339389502</v>
      </c>
      <c r="BX55" s="11">
        <f>1369.96736250334/(10^3)</f>
        <v>1.3699673625033399</v>
      </c>
      <c r="BY55" s="11">
        <f>13.5118877269043/(10^3)</f>
        <v>1.3511887726904301E-2</v>
      </c>
      <c r="BZ55" s="11">
        <f>1351.18877269043/(10^3)</f>
        <v>1.3511887726904299</v>
      </c>
      <c r="CA55" s="11">
        <f>1274.75644088493/(10^3)</f>
        <v>1.2747564408849301</v>
      </c>
      <c r="CB55" s="11">
        <f>1246.7511109937/(10^3)</f>
        <v>1.2467511109937</v>
      </c>
      <c r="CC55" s="12"/>
      <c r="CZ55" s="11">
        <v>0.91519511945710297</v>
      </c>
      <c r="DA55" s="11">
        <v>1.1615255106430487</v>
      </c>
      <c r="DB55" s="11">
        <v>1.2637350779031962</v>
      </c>
      <c r="DC55" s="11">
        <v>1.5382076646589944</v>
      </c>
      <c r="DD55" s="11">
        <v>1.424006666060339</v>
      </c>
      <c r="DE55" s="11">
        <v>1.3511887726904321</v>
      </c>
      <c r="DG55" s="11">
        <v>0.95113704761757623</v>
      </c>
      <c r="DH55" s="11">
        <v>0.97225001389090149</v>
      </c>
      <c r="DI55" s="11">
        <v>1.1229636330259209</v>
      </c>
      <c r="DJ55" s="11">
        <v>1.3038786341836373</v>
      </c>
      <c r="DK55" s="11">
        <v>1.2803825761384939</v>
      </c>
      <c r="DL55" s="11">
        <v>1.2744158588627932</v>
      </c>
    </row>
    <row r="56" spans="4:116" outlineLevel="1" x14ac:dyDescent="0.25">
      <c r="D56" s="13" t="s">
        <v>40</v>
      </c>
      <c r="E56" s="13" t="s">
        <v>25</v>
      </c>
      <c r="F56" s="10" t="s">
        <v>149</v>
      </c>
      <c r="G56" s="13"/>
      <c r="H56" s="62" t="str">
        <f t="shared" si="2"/>
        <v xml:space="preserve">Lansing </v>
      </c>
      <c r="I56" s="11">
        <f>1558/(10^3)</f>
        <v>1.5580000000000001</v>
      </c>
      <c r="J56" s="11">
        <f>1567.48190831713/(10^3)</f>
        <v>1.5674819083171301</v>
      </c>
      <c r="K56" s="11">
        <f>163187.488846896/(10^3)</f>
        <v>163.187488846896</v>
      </c>
      <c r="L56" s="11">
        <f>1699.13371083739/(10^3)</f>
        <v>1.6991337108373901</v>
      </c>
      <c r="M56" s="11">
        <f>1651.72489868738/(10^3)</f>
        <v>1.6517248986873798</v>
      </c>
      <c r="N56" s="11">
        <f>1652.19855927112/(10^3)</f>
        <v>1.6521985592711201</v>
      </c>
      <c r="O56" s="11">
        <f>1691.80561325708/(10^3)</f>
        <v>1.69180561325708</v>
      </c>
      <c r="P56" s="11">
        <f>1774.38200205163/(10^3)</f>
        <v>1.7743820020516301</v>
      </c>
      <c r="Q56" s="11">
        <f>18.220306753705/(10^3)</f>
        <v>1.8220306753705E-2</v>
      </c>
      <c r="R56" s="11">
        <f>1813.44296929975/(10^3)</f>
        <v>1.81344296929975</v>
      </c>
      <c r="S56" s="11">
        <f>1853.33722507494/(10^3)</f>
        <v>1.85333722507494</v>
      </c>
      <c r="T56" s="11">
        <f>1860.21985645612/(10^3)</f>
        <v>1.8602198564561199</v>
      </c>
      <c r="U56" s="11">
        <f>1831.86554747474/(10^3)</f>
        <v>1.8318655474747401</v>
      </c>
      <c r="V56" s="11">
        <f>1868.83956344532/(10^3)</f>
        <v>1.8688395634453199</v>
      </c>
      <c r="W56" s="11">
        <f>192130.51860045/(10^3)</f>
        <v>192.13051860045002</v>
      </c>
      <c r="X56" s="11">
        <f>1913.15811275904/(10^3)</f>
        <v>1.91315811275904</v>
      </c>
      <c r="Y56" s="11">
        <f>1959.59804170611/(10^3)</f>
        <v>1.9595980417061101</v>
      </c>
      <c r="Z56" s="11">
        <f>2063.24908892692/(10^3)</f>
        <v>2.0632490889269204</v>
      </c>
      <c r="AA56" s="11">
        <f>2102.86322908892/(10^3)</f>
        <v>2.10286322908892</v>
      </c>
      <c r="AB56" s="11">
        <f>2155.89962383059/(10^3)</f>
        <v>2.1558996238305901</v>
      </c>
      <c r="AC56" s="11">
        <f>22.2345663259935/(10^3)</f>
        <v>2.22345663259935E-2</v>
      </c>
      <c r="AD56" s="11">
        <f>2196.57690871824/(10^3)</f>
        <v>2.1965769087182396</v>
      </c>
      <c r="AE56" s="11">
        <f>2191.52081053808/(10^3)</f>
        <v>2.1915208105380799</v>
      </c>
      <c r="AF56" s="11">
        <f>2168.76751981504/(10^3)</f>
        <v>2.1687675198150402</v>
      </c>
      <c r="AG56" s="11">
        <f>2117.79715565188/(10^3)</f>
        <v>2.1177971556518802</v>
      </c>
      <c r="AH56" s="11">
        <f>2177.90867845956/(10^3)</f>
        <v>2.17790867845956</v>
      </c>
      <c r="AI56" s="11">
        <f>221033.285158578/(10^3)</f>
        <v>221.033285158578</v>
      </c>
      <c r="AJ56" s="11">
        <f>2195.3202589768/(10^3)</f>
        <v>2.1953202589767997</v>
      </c>
      <c r="AK56" s="11">
        <f>2206.46441409035/(10^3)</f>
        <v>2.20646441409035</v>
      </c>
      <c r="AL56" s="11">
        <f>2316.10455536921/(10^3)</f>
        <v>2.3161045553692103</v>
      </c>
      <c r="AM56" s="11">
        <f>2363.14520687273/(10^3)</f>
        <v>2.3631452068727299</v>
      </c>
      <c r="AN56" s="11">
        <f>2424.84564326821/(10^3)</f>
        <v>2.4248456432682102</v>
      </c>
      <c r="AO56" s="11">
        <f>25.4605804552113/(10^3)</f>
        <v>2.5460580455211299E-2</v>
      </c>
      <c r="AP56" s="11">
        <f>2553.2746867463/(10^3)</f>
        <v>2.5532746867463003</v>
      </c>
      <c r="AQ56" s="11">
        <f>2482.67905710932/(10^3)</f>
        <v>2.48267905710932</v>
      </c>
      <c r="AR56" s="11">
        <f>2475.64824601126/(10^3)</f>
        <v>2.4756482460112603</v>
      </c>
      <c r="AS56" s="11">
        <f>2474.25707667216/(10^3)</f>
        <v>2.4742570766721603</v>
      </c>
      <c r="AT56" s="11">
        <f>2585.17995541829/(10^3)</f>
        <v>2.5851799554182899</v>
      </c>
      <c r="AU56" s="11">
        <f>252979.695658292/(10^3)</f>
        <v>252.979695658292</v>
      </c>
      <c r="AV56" s="11">
        <f>2546.45856592832/(10^3)</f>
        <v>2.5464585659283197</v>
      </c>
      <c r="AW56" s="11">
        <f>2479.57012964535/(10^3)</f>
        <v>2.4795701296453498</v>
      </c>
      <c r="AX56" s="11">
        <f>2526.71430734478/(10^3)</f>
        <v>2.52671430734478</v>
      </c>
      <c r="AY56" s="11">
        <f>2581.03256545888/(10^3)</f>
        <v>2.5810325654588802</v>
      </c>
      <c r="AZ56" s="11">
        <f>2550.1071633751/(10^3)</f>
        <v>2.5501071633750998</v>
      </c>
      <c r="BA56" s="11">
        <f>25.9394777269304/(10^3)</f>
        <v>2.59394777269304E-2</v>
      </c>
      <c r="BB56" s="11">
        <f>2709.1970783145/(10^3)</f>
        <v>2.7091970783144999</v>
      </c>
      <c r="BC56" s="11">
        <f>2637.40808092003/(10^3)</f>
        <v>2.63740808092003</v>
      </c>
      <c r="BD56" s="11">
        <f>2612.29023006534/(10^3)</f>
        <v>2.6122902300653399</v>
      </c>
      <c r="BE56" s="11">
        <f>2588.08670152117/(10^3)</f>
        <v>2.5880867015211702</v>
      </c>
      <c r="BF56" s="11">
        <f>2647.18848737259/(10^3)</f>
        <v>2.6471884873725897</v>
      </c>
      <c r="BG56" s="11">
        <f>272658.782013129/(10^3)</f>
        <v>272.65878201312898</v>
      </c>
      <c r="BH56" s="11">
        <f>2712.6675206292/(10^3)</f>
        <v>2.7126675206292004</v>
      </c>
      <c r="BI56" s="11">
        <f>2756.78791344805/(10^3)</f>
        <v>2.7567879134480497</v>
      </c>
      <c r="BJ56" s="11">
        <f>2764.94153505839/(10^3)</f>
        <v>2.7649415350583899</v>
      </c>
      <c r="BK56" s="11">
        <f>2846.48100357834/(10^3)</f>
        <v>2.8464810035783397</v>
      </c>
      <c r="BL56" s="11">
        <f>2902.13180321441/(10^3)</f>
        <v>2.9021318032144099</v>
      </c>
      <c r="BM56" s="11">
        <f>29.3593729496169/(10^3)</f>
        <v>2.9359372949616901E-2</v>
      </c>
      <c r="BN56" s="11">
        <f>3048.25193153766/(10^3)</f>
        <v>3.0482519315376599</v>
      </c>
      <c r="BO56" s="11">
        <f>2928.82921546485/(10^3)</f>
        <v>2.9288292154648503</v>
      </c>
      <c r="BP56" s="11">
        <f>2916.2616112611/(10^3)</f>
        <v>2.9162616112611</v>
      </c>
      <c r="BQ56" s="11">
        <f>2849.12196621876/(10^3)</f>
        <v>2.8491219662187599</v>
      </c>
      <c r="BR56" s="11">
        <f>2917.81454087546/(10^3)</f>
        <v>2.9178145408754599</v>
      </c>
      <c r="BS56" s="11">
        <f>302554.939129844/(10^3)</f>
        <v>302.554939129844</v>
      </c>
      <c r="BT56" s="11">
        <f>3176.05706518595/(10^3)</f>
        <v>3.1760570651859497</v>
      </c>
      <c r="BU56" s="11">
        <f>3152.71559502037/(10^3)</f>
        <v>3.15271559502037</v>
      </c>
      <c r="BV56" s="11">
        <f>3432.96979899864/(10^3)</f>
        <v>3.4329697989986396</v>
      </c>
      <c r="BW56" s="11">
        <f>3468.96338417003/(10^3)</f>
        <v>3.46896338417003</v>
      </c>
      <c r="BX56" s="11">
        <f>3567.55930320539/(10^3)</f>
        <v>3.5675593032053898</v>
      </c>
      <c r="BY56" s="11">
        <f>36.413688041782/(10^3)</f>
        <v>3.6413688041782001E-2</v>
      </c>
      <c r="BZ56" s="11">
        <f>3641.3688041782/(10^3)</f>
        <v>3.6413688041782004</v>
      </c>
      <c r="CA56" s="11">
        <f>3498.08945655543/(10^3)</f>
        <v>3.4980894565554301</v>
      </c>
      <c r="CB56" s="11">
        <f>3369.19807707513/(10^3)</f>
        <v>3.3691980770751302</v>
      </c>
      <c r="CC56" s="12"/>
      <c r="CZ56" s="11">
        <v>1.8220306753705036</v>
      </c>
      <c r="DA56" s="11">
        <v>2.2234566325993494</v>
      </c>
      <c r="DB56" s="11">
        <v>2.5460580455211281</v>
      </c>
      <c r="DC56" s="11">
        <v>2.5939477726930411</v>
      </c>
      <c r="DD56" s="11">
        <v>2.9359372949616866</v>
      </c>
      <c r="DE56" s="11">
        <v>3.6413688041781986</v>
      </c>
      <c r="DG56" s="11">
        <v>1.6318748884689582</v>
      </c>
      <c r="DH56" s="11">
        <v>1.9213051860044967</v>
      </c>
      <c r="DI56" s="11">
        <v>2.2103328515857794</v>
      </c>
      <c r="DJ56" s="11">
        <v>2.5297969565829215</v>
      </c>
      <c r="DK56" s="11">
        <v>2.7265878201312881</v>
      </c>
      <c r="DL56" s="11">
        <v>3.0255493912984406</v>
      </c>
    </row>
    <row r="57" spans="4:116" outlineLevel="1" x14ac:dyDescent="0.25">
      <c r="D57" s="13" t="s">
        <v>42</v>
      </c>
      <c r="E57" s="13" t="s">
        <v>41</v>
      </c>
      <c r="F57" s="10" t="s">
        <v>149</v>
      </c>
      <c r="G57" s="13"/>
      <c r="H57" s="62" t="str">
        <f t="shared" si="2"/>
        <v xml:space="preserve">Lincoln </v>
      </c>
      <c r="I57" s="11">
        <f>1181/(10^3)</f>
        <v>1.181</v>
      </c>
      <c r="J57" s="11">
        <f>1219.9612082293/(10^3)</f>
        <v>1.2199612082292999</v>
      </c>
      <c r="K57" s="11">
        <f>126525.573617843/(10^3)</f>
        <v>126.52557361784299</v>
      </c>
      <c r="L57" s="11">
        <f>1296.37098004101/(10^3)</f>
        <v>1.2963709800410099</v>
      </c>
      <c r="M57" s="11">
        <f>1334.9869345619/(10^3)</f>
        <v>1.3349869345618999</v>
      </c>
      <c r="N57" s="11">
        <f>1433.25715559824/(10^3)</f>
        <v>1.4332571555982399</v>
      </c>
      <c r="O57" s="11">
        <f>1436.80677205082/(10^3)</f>
        <v>1.43680677205082</v>
      </c>
      <c r="P57" s="11">
        <f>1439.35038815341/(10^3)</f>
        <v>1.43935038815341</v>
      </c>
      <c r="Q57" s="11">
        <f>15.0488197248659/(10^3)</f>
        <v>1.5048819724865901E-2</v>
      </c>
      <c r="R57" s="11">
        <f>1564.62919541033/(10^3)</f>
        <v>1.5646291954103302</v>
      </c>
      <c r="S57" s="11">
        <f>1534.97458788938/(10^3)</f>
        <v>1.5349745878893801</v>
      </c>
      <c r="T57" s="11">
        <f>1526.44211000183/(10^3)</f>
        <v>1.5264421100018302</v>
      </c>
      <c r="U57" s="11">
        <f>1512.97278046032/(10^3)</f>
        <v>1.5129727804603201</v>
      </c>
      <c r="V57" s="11">
        <f>1575.54921198724/(10^3)</f>
        <v>1.5755492119872399</v>
      </c>
      <c r="W57" s="11">
        <f>162882.322546874/(10^3)</f>
        <v>162.88232254687401</v>
      </c>
      <c r="X57" s="11">
        <f>1703.96474298919/(10^3)</f>
        <v>1.70396474298919</v>
      </c>
      <c r="Y57" s="11">
        <f>1688.02104958428/(10^3)</f>
        <v>1.68802104958428</v>
      </c>
      <c r="Z57" s="11">
        <f>1831.39648477847/(10^3)</f>
        <v>1.8313964847784701</v>
      </c>
      <c r="AA57" s="11">
        <f>1882.54065421586/(10^3)</f>
        <v>1.88254065421586</v>
      </c>
      <c r="AB57" s="11">
        <f>1943.92907943389/(10^3)</f>
        <v>1.9439290794338899</v>
      </c>
      <c r="AC57" s="11">
        <f>19.6682559223364/(10^3)</f>
        <v>1.9668255922336401E-2</v>
      </c>
      <c r="AD57" s="11">
        <f>1970.23200209253/(10^3)</f>
        <v>1.9702320020925299</v>
      </c>
      <c r="AE57" s="11">
        <f>1948.25802570935/(10^3)</f>
        <v>1.94825802570935</v>
      </c>
      <c r="AF57" s="11">
        <f>1896.66665162838/(10^3)</f>
        <v>1.8966666516283799</v>
      </c>
      <c r="AG57" s="11">
        <f>1879.1502413922/(10^3)</f>
        <v>1.8791502413922001</v>
      </c>
      <c r="AH57" s="11">
        <f>1874.91767843922/(10^3)</f>
        <v>1.8749176784392201</v>
      </c>
      <c r="AI57" s="11">
        <f>191660.393689585/(10^3)</f>
        <v>191.66039368958499</v>
      </c>
      <c r="AJ57" s="11">
        <f>1945.31041778872/(10^3)</f>
        <v>1.9453104177887202</v>
      </c>
      <c r="AK57" s="11">
        <f>2017.61528621659/(10^3)</f>
        <v>2.0176152862165901</v>
      </c>
      <c r="AL57" s="11">
        <f>2065.75503869047/(10^3)</f>
        <v>2.0657550386904702</v>
      </c>
      <c r="AM57" s="11">
        <f>2151.76510836016/(10^3)</f>
        <v>2.1517651083601601</v>
      </c>
      <c r="AN57" s="11">
        <f>2162.87328938766/(10^3)</f>
        <v>2.1628732893876599</v>
      </c>
      <c r="AO57" s="11">
        <f>21.6931880471385/(10^3)</f>
        <v>2.16931880471385E-2</v>
      </c>
      <c r="AP57" s="11">
        <f>2180.48945711257/(10^3)</f>
        <v>2.1804894571125701</v>
      </c>
      <c r="AQ57" s="11">
        <f>2044.93522264268/(10^3)</f>
        <v>2.04493522264268</v>
      </c>
      <c r="AR57" s="11">
        <f>1989.88182665091/(10^3)</f>
        <v>1.98988182665091</v>
      </c>
      <c r="AS57" s="11">
        <f>1983.90284503599/(10^3)</f>
        <v>1.9839028450359899</v>
      </c>
      <c r="AT57" s="11">
        <f>2024.91005495767/(10^3)</f>
        <v>2.0249100549576697</v>
      </c>
      <c r="AU57" s="11">
        <f>210026.350807148/(10^3)</f>
        <v>210.02635080714799</v>
      </c>
      <c r="AV57" s="11">
        <f>2195.82157027198/(10^3)</f>
        <v>2.1958215702719799</v>
      </c>
      <c r="AW57" s="11">
        <f>2273.62927946569/(10^3)</f>
        <v>2.2736292794656903</v>
      </c>
      <c r="AX57" s="11">
        <f>2219.26708820641/(10^3)</f>
        <v>2.2192670882064101</v>
      </c>
      <c r="AY57" s="11">
        <f>2264.34071648879/(10^3)</f>
        <v>2.2643407164887899</v>
      </c>
      <c r="AZ57" s="11">
        <f>2371.22645302901/(10^3)</f>
        <v>2.3712264530290099</v>
      </c>
      <c r="BA57" s="11">
        <f>24.7239087995042/(10^3)</f>
        <v>2.4723908799504202E-2</v>
      </c>
      <c r="BB57" s="11">
        <f>2527.30472184413/(10^3)</f>
        <v>2.5273047218441302</v>
      </c>
      <c r="BC57" s="11">
        <f>2461.05954104078/(10^3)</f>
        <v>2.4610595410407798</v>
      </c>
      <c r="BD57" s="11">
        <f>2457.53351839774/(10^3)</f>
        <v>2.45753351839774</v>
      </c>
      <c r="BE57" s="11">
        <f>2455.10163656615/(10^3)</f>
        <v>2.45510163656615</v>
      </c>
      <c r="BF57" s="11">
        <f>2385.33029700062/(10^3)</f>
        <v>2.3853302970006198</v>
      </c>
      <c r="BG57" s="11">
        <f>246891.61413142/(10^3)</f>
        <v>246.89161413142</v>
      </c>
      <c r="BH57" s="11">
        <f>2401.84023087682/(10^3)</f>
        <v>2.4018402308768199</v>
      </c>
      <c r="BI57" s="11">
        <f>2340.82955886815/(10^3)</f>
        <v>2.3408295588681498</v>
      </c>
      <c r="BJ57" s="11">
        <f>2383.25353739777/(10^3)</f>
        <v>2.3832535373977697</v>
      </c>
      <c r="BK57" s="11">
        <f>2463.22951869769/(10^3)</f>
        <v>2.4632295186976898</v>
      </c>
      <c r="BL57" s="11">
        <f>2494.08895872757/(10^3)</f>
        <v>2.4940889587275703</v>
      </c>
      <c r="BM57" s="11">
        <f>25.4243265869252/(10^3)</f>
        <v>2.54243265869252E-2</v>
      </c>
      <c r="BN57" s="11">
        <f>2601.89279011451/(10^3)</f>
        <v>2.6018927901145097</v>
      </c>
      <c r="BO57" s="11">
        <f>2579.08582691684/(10^3)</f>
        <v>2.57908582691684</v>
      </c>
      <c r="BP57" s="11">
        <f>2534.19965599869/(10^3)</f>
        <v>2.5341996559986901</v>
      </c>
      <c r="BQ57" s="11">
        <f>2481.91453767161/(10^3)</f>
        <v>2.4819145376716101</v>
      </c>
      <c r="BR57" s="11">
        <f>2588.89440751928/(10^3)</f>
        <v>2.5888944075192799</v>
      </c>
      <c r="BS57" s="11">
        <f>271559.122916917/(10^3)</f>
        <v>271.55912291691703</v>
      </c>
      <c r="BT57" s="11">
        <f>2800.43868153584/(10^3)</f>
        <v>2.80043868153584</v>
      </c>
      <c r="BU57" s="11">
        <f>2786.34996847675/(10^3)</f>
        <v>2.7863499684767499</v>
      </c>
      <c r="BV57" s="11">
        <f>3053.61237530859/(10^3)</f>
        <v>3.0536123753085898</v>
      </c>
      <c r="BW57" s="11">
        <f>3116.09823804558/(10^3)</f>
        <v>3.1160982380455797</v>
      </c>
      <c r="BX57" s="11">
        <f>3244.26162722819/(10^3)</f>
        <v>3.2442616272281897</v>
      </c>
      <c r="BY57" s="11">
        <f>33.3188928170236/(10^3)</f>
        <v>3.3318892817023604E-2</v>
      </c>
      <c r="BZ57" s="11">
        <f>3331.88928170236/(10^3)</f>
        <v>3.3318892817023604</v>
      </c>
      <c r="CA57" s="11">
        <f>3181.57483834771/(10^3)</f>
        <v>3.1815748383477098</v>
      </c>
      <c r="CB57" s="11">
        <f>3049.16725278923/(10^3)</f>
        <v>3.0491672527892302</v>
      </c>
      <c r="CC57" s="12"/>
      <c r="CZ57" s="11">
        <v>1.5048819724865885</v>
      </c>
      <c r="DA57" s="11">
        <v>1.9668255922336393</v>
      </c>
      <c r="DB57" s="11">
        <v>2.1693188047138463</v>
      </c>
      <c r="DC57" s="11">
        <v>2.4723908799504235</v>
      </c>
      <c r="DD57" s="11">
        <v>2.5424326586925154</v>
      </c>
      <c r="DE57" s="11">
        <v>3.3318892817023578</v>
      </c>
      <c r="DG57" s="11">
        <v>1.2652557361784278</v>
      </c>
      <c r="DH57" s="11">
        <v>1.6288232254687378</v>
      </c>
      <c r="DI57" s="11">
        <v>1.9166039368958481</v>
      </c>
      <c r="DJ57" s="11">
        <v>2.1002635080714809</v>
      </c>
      <c r="DK57" s="11">
        <v>2.4689161413142027</v>
      </c>
      <c r="DL57" s="11">
        <v>2.7155912291691666</v>
      </c>
    </row>
    <row r="58" spans="4:116" outlineLevel="1" x14ac:dyDescent="0.25">
      <c r="D58" s="13" t="s">
        <v>44</v>
      </c>
      <c r="E58" s="13" t="s">
        <v>43</v>
      </c>
      <c r="F58" s="10" t="s">
        <v>150</v>
      </c>
      <c r="G58" s="13"/>
      <c r="H58" s="62" t="str">
        <f t="shared" si="2"/>
        <v xml:space="preserve">Little Rock 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>
        <f>595.023717521618/(10^3)</f>
        <v>0.59502371752161798</v>
      </c>
      <c r="AQ58" s="11">
        <f>588.157479126615/(10^3)</f>
        <v>0.58815747912661509</v>
      </c>
      <c r="AR58" s="11">
        <f>582.413926362717/(10^3)</f>
        <v>0.58241392636271705</v>
      </c>
      <c r="AS58" s="11">
        <f>571.365648868333/(10^3)</f>
        <v>0.57136564886833296</v>
      </c>
      <c r="AT58" s="11">
        <f>592.944835011345/(10^3)</f>
        <v>0.59294483501134509</v>
      </c>
      <c r="AU58" s="11">
        <f>58830.9301056292/(10^3)</f>
        <v>58.8309301056292</v>
      </c>
      <c r="AV58" s="11">
        <f>608.770903326213/(10^3)</f>
        <v>0.60877090332621298</v>
      </c>
      <c r="AW58" s="11">
        <f>631.074307762379/(10^3)</f>
        <v>0.63107430776237905</v>
      </c>
      <c r="AX58" s="11">
        <f>660.993747623399/(10^3)</f>
        <v>0.66099374762339902</v>
      </c>
      <c r="AY58" s="11">
        <f>692.069815796519/(10^3)</f>
        <v>0.69206981579651905</v>
      </c>
      <c r="AZ58" s="11">
        <f>723.3055774514/(10^3)</f>
        <v>0.72330557745140001</v>
      </c>
      <c r="BA58" s="11">
        <f>7.54666379637997/(10^3)</f>
        <v>7.5466637963799692E-3</v>
      </c>
      <c r="BB58" s="11">
        <f>765.021123472797/(10^3)</f>
        <v>0.76502112347279694</v>
      </c>
      <c r="BC58" s="11">
        <f>741.095207443444/(10^3)</f>
        <v>0.74109520744344404</v>
      </c>
      <c r="BD58" s="11">
        <f>729.767648784953/(10^3)</f>
        <v>0.72976764878495304</v>
      </c>
      <c r="BE58" s="11">
        <f>708.104160112155/(10^3)</f>
        <v>0.70810416011215505</v>
      </c>
      <c r="BF58" s="11">
        <f>728.14775061401/(10^3)</f>
        <v>0.72814775061400994</v>
      </c>
      <c r="BG58" s="11">
        <f>71955.6312909293/(10^3)</f>
        <v>71.955631290929304</v>
      </c>
      <c r="BH58" s="11">
        <f>706.843336571324/(10^3)</f>
        <v>0.70684333657132403</v>
      </c>
      <c r="BI58" s="11">
        <f>722.756057929155/(10^3)</f>
        <v>0.72275605792915498</v>
      </c>
      <c r="BJ58" s="11">
        <f>778.71299604048/(10^3)</f>
        <v>0.77871299604047994</v>
      </c>
      <c r="BK58" s="11">
        <f>793.347714231594/(10^3)</f>
        <v>0.793347714231594</v>
      </c>
      <c r="BL58" s="11">
        <f>824.452557178158/(10^3)</f>
        <v>0.82445255717815802</v>
      </c>
      <c r="BM58" s="11">
        <f>8.63137721215508/(10^3)</f>
        <v>8.6313772121550791E-3</v>
      </c>
      <c r="BN58" s="11">
        <f>860.808410650113/(10^3)</f>
        <v>0.86080841065011304</v>
      </c>
      <c r="BO58" s="11">
        <f>834.078165936406/(10^3)</f>
        <v>0.83407816593640594</v>
      </c>
      <c r="BP58" s="11">
        <f>821.907932667434/(10^3)</f>
        <v>0.821907932667434</v>
      </c>
      <c r="BQ58" s="11">
        <f>817.560589513018/(10^3)</f>
        <v>0.81756058951301802</v>
      </c>
      <c r="BR58" s="11">
        <f>824.612863633688/(10^3)</f>
        <v>0.82461286363368802</v>
      </c>
      <c r="BS58" s="11">
        <f>83343.3288207731/(10^3)</f>
        <v>83.343328820773095</v>
      </c>
      <c r="BT58" s="11">
        <f>872.423584317973/(10^3)</f>
        <v>0.87242358431797296</v>
      </c>
      <c r="BU58" s="11">
        <f>883.819739395926/(10^3)</f>
        <v>0.88381973939592606</v>
      </c>
      <c r="BV58" s="11">
        <f>892.030423249733/(10^3)</f>
        <v>0.89203042324973292</v>
      </c>
      <c r="BW58" s="11">
        <f>927.610786351593/(10^3)</f>
        <v>0.927610786351593</v>
      </c>
      <c r="BX58" s="11">
        <f>966.500737231453/(10^3)</f>
        <v>0.96650073723145291</v>
      </c>
      <c r="BY58" s="11">
        <f>9.71982715301853/(10^3)</f>
        <v>9.7198271530185305E-3</v>
      </c>
      <c r="BZ58" s="11">
        <f>971.982715301853/(10^3)</f>
        <v>0.97198271530185298</v>
      </c>
      <c r="CA58" s="11">
        <f>932.946949872182/(10^3)</f>
        <v>0.93294694987218196</v>
      </c>
      <c r="CB58" s="11">
        <f>899.474936983496/(10^3)</f>
        <v>0.89947493698349601</v>
      </c>
      <c r="CC58" s="12"/>
      <c r="CZ58" s="11">
        <v>0.46068895650991526</v>
      </c>
      <c r="DA58" s="11">
        <v>0.5437685946959625</v>
      </c>
      <c r="DB58" s="11">
        <v>0.60692561412854285</v>
      </c>
      <c r="DC58" s="11">
        <v>0.75466637963799743</v>
      </c>
      <c r="DD58" s="11">
        <v>0.86313772121550791</v>
      </c>
      <c r="DE58" s="11">
        <v>0.97198271530185287</v>
      </c>
      <c r="DG58" s="11">
        <v>0.43175362704641035</v>
      </c>
      <c r="DH58" s="11">
        <v>0.41999195542653955</v>
      </c>
      <c r="DI58" s="11">
        <v>0.50331063033452872</v>
      </c>
      <c r="DJ58" s="11">
        <v>0.58830930105629198</v>
      </c>
      <c r="DK58" s="11">
        <v>0.71955631290929334</v>
      </c>
      <c r="DL58" s="11">
        <v>0.83343328820773055</v>
      </c>
    </row>
    <row r="59" spans="4:116" outlineLevel="1" x14ac:dyDescent="0.25">
      <c r="D59" s="13" t="s">
        <v>45</v>
      </c>
      <c r="E59" s="13" t="s">
        <v>29</v>
      </c>
      <c r="F59" s="10" t="s">
        <v>150</v>
      </c>
      <c r="G59" s="13"/>
      <c r="H59" s="62" t="str">
        <f t="shared" si="2"/>
        <v xml:space="preserve">Louisville 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>
        <f>296.637008577617/(10^3)</f>
        <v>0.29663700857761699</v>
      </c>
      <c r="BJ59" s="11">
        <f>310.948976072546/(10^3)</f>
        <v>0.31094897607254596</v>
      </c>
      <c r="BK59" s="11">
        <f>325.821937448299/(10^3)</f>
        <v>0.32582193744829901</v>
      </c>
      <c r="BL59" s="11">
        <f>329.38477845992/(10^3)</f>
        <v>0.32938477845992004</v>
      </c>
      <c r="BM59" s="11">
        <f>3.41107775468209/(10^3)</f>
        <v>3.41107775468209E-3</v>
      </c>
      <c r="BN59" s="11">
        <f>350.265662131415/(10^3)</f>
        <v>0.35026566213141502</v>
      </c>
      <c r="BO59" s="11">
        <f>341.091711226821/(10^3)</f>
        <v>0.34109171122682103</v>
      </c>
      <c r="BP59" s="11">
        <f>336.868149890462/(10^3)</f>
        <v>0.33686814989046199</v>
      </c>
      <c r="BQ59" s="11">
        <f>335.440685435904/(10^3)</f>
        <v>0.335440685435904</v>
      </c>
      <c r="BR59" s="11">
        <f>339.849559448996/(10^3)</f>
        <v>0.33984955944899597</v>
      </c>
      <c r="BS59" s="11">
        <f>34134.0041489552/(10^3)</f>
        <v>34.134004148955199</v>
      </c>
      <c r="BT59" s="11">
        <f>337.88782906651/(10^3)</f>
        <v>0.33788782906650999</v>
      </c>
      <c r="BU59" s="11">
        <f>331.042509103466/(10^3)</f>
        <v>0.331042509103466</v>
      </c>
      <c r="BV59" s="11">
        <f>341.968579416245/(10^3)</f>
        <v>0.34196857941624503</v>
      </c>
      <c r="BW59" s="11">
        <f>344.353062773497/(10^3)</f>
        <v>0.34435306277349703</v>
      </c>
      <c r="BX59" s="11">
        <f>350.819380792163/(10^3)</f>
        <v>0.35081938079216296</v>
      </c>
      <c r="BY59" s="11">
        <f>3.67962590919351/(10^3)</f>
        <v>3.6796259091935101E-3</v>
      </c>
      <c r="BZ59" s="11">
        <f>367.962590919351/(10^3)</f>
        <v>0.36796259091935096</v>
      </c>
      <c r="CA59" s="11">
        <f>337.216223400268/(10^3)</f>
        <v>0.33721622340026802</v>
      </c>
      <c r="CB59" s="11">
        <f>325.395293887091/(10^3)</f>
        <v>0.32539529388709099</v>
      </c>
      <c r="CC59" s="12"/>
      <c r="CZ59" s="11">
        <v>0.23974400977587257</v>
      </c>
      <c r="DA59" s="11">
        <v>0.25504999477571538</v>
      </c>
      <c r="DB59" s="11">
        <v>0.28457388105300657</v>
      </c>
      <c r="DC59" s="11">
        <v>0.30728343302596023</v>
      </c>
      <c r="DD59" s="11">
        <v>0.34110777546820864</v>
      </c>
      <c r="DE59" s="11">
        <v>0.36796259091935074</v>
      </c>
      <c r="DG59" s="11">
        <v>0.21405982604537235</v>
      </c>
      <c r="DH59" s="11">
        <v>0.2287359124306402</v>
      </c>
      <c r="DI59" s="11">
        <v>0.24680965611342584</v>
      </c>
      <c r="DJ59" s="11">
        <v>0.2652783267016337</v>
      </c>
      <c r="DK59" s="11">
        <v>0.29621364828935748</v>
      </c>
      <c r="DL59" s="11">
        <v>0.34134004148955188</v>
      </c>
    </row>
    <row r="60" spans="4:116" ht="15.6" outlineLevel="1" x14ac:dyDescent="0.25">
      <c r="D60" s="10" t="s">
        <v>122</v>
      </c>
      <c r="E60" s="10" t="s">
        <v>46</v>
      </c>
      <c r="F60" s="10" t="s">
        <v>151</v>
      </c>
      <c r="G60" s="10" t="s">
        <v>182</v>
      </c>
      <c r="H60" s="62" t="str">
        <f t="shared" si="2"/>
        <v>Phoenix (피합병)</v>
      </c>
      <c r="I60" s="11">
        <f>512294.481566779/(10^3)</f>
        <v>512.29448156677904</v>
      </c>
      <c r="J60" s="11">
        <f>525338.779381078/(10^3)</f>
        <v>525.33877938107798</v>
      </c>
      <c r="K60" s="11">
        <f>53860864.6180303/(10^3)</f>
        <v>53860.864618030304</v>
      </c>
      <c r="L60" s="11">
        <f>548840.703029724/(10^3)</f>
        <v>548.84070302972395</v>
      </c>
      <c r="M60" s="11">
        <f>567377.419929799/(10^3)</f>
        <v>567.37741992979909</v>
      </c>
      <c r="N60" s="11">
        <f>575886.879368973/(10^3)</f>
        <v>575.88687936897293</v>
      </c>
      <c r="O60" s="11">
        <f>584786.052118326/(10^3)</f>
        <v>584.78605211832598</v>
      </c>
      <c r="P60" s="11">
        <f>600481.325671142/(10^3)</f>
        <v>600.48132567114192</v>
      </c>
      <c r="Q60" s="11">
        <f>5915.31103798895/(10^3)</f>
        <v>5.9153110379889506</v>
      </c>
      <c r="R60" s="11">
        <f>593568.357453959/(10^3)</f>
        <v>593.56835745395892</v>
      </c>
      <c r="S60" s="11">
        <f>605862.899879651/(10^3)</f>
        <v>605.86289987965108</v>
      </c>
      <c r="T60" s="11">
        <f>627748.220376435/(10^3)</f>
        <v>627.74822037643492</v>
      </c>
      <c r="U60" s="11">
        <f>625678.455275359/(10^3)</f>
        <v>625.67845527535894</v>
      </c>
      <c r="V60" s="11">
        <f>634778.722583857/(10^3)</f>
        <v>634.77872258385696</v>
      </c>
      <c r="W60" s="11">
        <f>63469860.7054937/(10^3)</f>
        <v>63469.860705493702</v>
      </c>
      <c r="X60" s="11">
        <f>629442.552713533/(10^3)</f>
        <v>629.44255271353302</v>
      </c>
      <c r="Y60" s="11">
        <f>618424.722008356/(10^3)</f>
        <v>618.42472200835596</v>
      </c>
      <c r="Z60" s="11">
        <f>609186.950551396/(10^3)</f>
        <v>609.18695055139597</v>
      </c>
      <c r="AA60" s="11">
        <f>598057.277759166/(10^3)</f>
        <v>598.05727775916591</v>
      </c>
      <c r="AB60" s="11">
        <f>595575.497376776/(10^3)</f>
        <v>595.57549737677596</v>
      </c>
      <c r="AC60" s="11">
        <f>5872.21034346443/(10^3)</f>
        <v>5.8722103434644293</v>
      </c>
      <c r="AD60" s="11">
        <f>582264.259605432/(10^3)</f>
        <v>582.26425960543202</v>
      </c>
      <c r="AE60" s="11">
        <f>579215.651406762/(10^3)</f>
        <v>579.21565140676194</v>
      </c>
      <c r="AF60" s="11">
        <f>580315.777303619/(10^3)</f>
        <v>580.31577730361892</v>
      </c>
      <c r="AG60" s="11">
        <f>593397.204127564/(10^3)</f>
        <v>593.39720412756401</v>
      </c>
      <c r="AH60" s="11">
        <f>610080.265409318/(10^3)</f>
        <v>610.08026540931803</v>
      </c>
      <c r="AI60" s="11">
        <f>60115056.5890974/(10^3)</f>
        <v>60115.056589097403</v>
      </c>
      <c r="AJ60" s="11">
        <f>618069.950158299/(10^3)</f>
        <v>618.06995015829898</v>
      </c>
      <c r="AK60" s="11">
        <f>615458.283695362/(10^3)</f>
        <v>615.45828369536207</v>
      </c>
      <c r="AL60" s="11">
        <f>611898.592573384/(10^3)</f>
        <v>611.89859257338401</v>
      </c>
      <c r="AM60" s="11">
        <f>602837.944185047/(10^3)</f>
        <v>602.83794418504692</v>
      </c>
      <c r="AN60" s="11">
        <f>623618.221741473/(10^3)</f>
        <v>623.61822174147301</v>
      </c>
      <c r="AO60" s="11">
        <f>6161.15507080229/(10^3)</f>
        <v>6.1611550708022893</v>
      </c>
      <c r="AP60" s="11">
        <f>606857.941486518/(10^3)</f>
        <v>606.85794148651803</v>
      </c>
      <c r="AQ60" s="11">
        <f>614596.683667922/(10^3)</f>
        <v>614.59668366792209</v>
      </c>
      <c r="AR60" s="11">
        <f>622896.9013813/(10^3)</f>
        <v>622.89690138129993</v>
      </c>
      <c r="AS60" s="11">
        <f>618134.164996131/(10^3)</f>
        <v>618.13416499613095</v>
      </c>
      <c r="AT60" s="11">
        <f>648760.523497411/(10^3)</f>
        <v>648.7605234974111</v>
      </c>
      <c r="AU60" s="11">
        <f>66152167.5209747/(10^3)</f>
        <v>66152.167520974705</v>
      </c>
      <c r="AV60" s="11">
        <f>691687.521502737/(10^3)</f>
        <v>691.6875215027369</v>
      </c>
      <c r="AW60" s="11">
        <f>698177.002006642/(10^3)</f>
        <v>698.17700200664206</v>
      </c>
      <c r="AX60" s="11">
        <f>684330.579307668/(10^3)</f>
        <v>684.33057930766802</v>
      </c>
      <c r="AY60" s="11">
        <f>717035.438750396/(10^3)</f>
        <v>717.035438750396</v>
      </c>
      <c r="AZ60" s="11">
        <f>707972.587665097/(10^3)</f>
        <v>707.97258766509697</v>
      </c>
      <c r="BA60" s="11">
        <f>7081.52837470726/(10^3)</f>
        <v>7.0815283747072595</v>
      </c>
      <c r="BB60" s="11">
        <f>729148.394611536/(10^3)</f>
        <v>729.14839461153599</v>
      </c>
      <c r="BC60" s="11">
        <f>726386.480525838/(10^3)</f>
        <v>726.38648052583801</v>
      </c>
      <c r="BD60" s="11">
        <f>748247.534790323/(10^3)</f>
        <v>748.24753479032302</v>
      </c>
      <c r="BE60" s="11">
        <f>739872.129668938/(10^3)</f>
        <v>739.87212966893799</v>
      </c>
      <c r="BF60" s="11">
        <f>759617.487866993/(10^3)</f>
        <v>759.61748786699297</v>
      </c>
      <c r="BG60" s="11">
        <f>75243173.3799428/(10^3)</f>
        <v>75243.173379942804</v>
      </c>
      <c r="BH60" s="11">
        <f>763635.469027227/(10^3)</f>
        <v>763.63546902722703</v>
      </c>
      <c r="BI60" s="11">
        <f>798465.300327952/(10^3)</f>
        <v>798.46530032795204</v>
      </c>
      <c r="BJ60" s="11">
        <f>811139.786171397/(10^3)</f>
        <v>811.13978617139696</v>
      </c>
      <c r="BK60" s="11">
        <f>851546.1587689/(10^3)</f>
        <v>851.5461587689</v>
      </c>
      <c r="BL60" s="11">
        <f>835214.909769836/(10^3)</f>
        <v>835.21490976983603</v>
      </c>
      <c r="BM60" s="11">
        <f>8269.36502072395/(10^3)</f>
        <v>8.2693650207239493</v>
      </c>
      <c r="BN60" s="11">
        <f>860092.724853224/(10^3)</f>
        <v>860.09272485322401</v>
      </c>
      <c r="BO60" s="11">
        <f>845990.050796556/(10^3)</f>
        <v>845.99005079655603</v>
      </c>
      <c r="BP60" s="11">
        <f>876767.80950875/(10^3)</f>
        <v>876.76780950875002</v>
      </c>
      <c r="BQ60" s="11">
        <f>878949.060704075/(10^3)</f>
        <v>878.94906070407501</v>
      </c>
      <c r="BR60" s="11">
        <f>877809.802648062/(10^3)</f>
        <v>877.80980264806203</v>
      </c>
      <c r="BS60" s="11">
        <f>88564586.2232915/(10^3)</f>
        <v>88564.586223291495</v>
      </c>
      <c r="BT60" s="11">
        <f>908511.84001855/(10^3)</f>
        <v>908.51184001855006</v>
      </c>
      <c r="BU60" s="11">
        <f>926377.252513846/(10^3)</f>
        <v>926.37725251384609</v>
      </c>
      <c r="BV60" s="11">
        <f>923547.179751369/(10^3)</f>
        <v>923.54717975136907</v>
      </c>
      <c r="BW60" s="11">
        <f>915899.937296633/(10^3)</f>
        <v>915.89993729663297</v>
      </c>
      <c r="BX60" s="11">
        <f>916066.117601541/(10^3)</f>
        <v>916.06611760154101</v>
      </c>
      <c r="BY60" s="11">
        <f>9411.17881386336/(10^3)</f>
        <v>9.4111788138633603</v>
      </c>
      <c r="BZ60" s="11">
        <f>941117.881386336/(10^3)</f>
        <v>941.11788138633608</v>
      </c>
      <c r="CA60" s="11">
        <f>980133.965086965/(10^3)</f>
        <v>980.13396508696496</v>
      </c>
      <c r="CB60" s="11">
        <f>967109.802088354/(10^3)</f>
        <v>967.10980208835406</v>
      </c>
      <c r="CC60" s="12"/>
      <c r="CZ60" s="11">
        <v>591.53110379889506</v>
      </c>
      <c r="DA60" s="11">
        <v>587.22103434644259</v>
      </c>
      <c r="DB60" s="11">
        <v>616.11550708022889</v>
      </c>
      <c r="DC60" s="11">
        <v>708.15283747072624</v>
      </c>
      <c r="DD60" s="11">
        <v>826.93650207239477</v>
      </c>
      <c r="DE60" s="11">
        <v>941.11788138633574</v>
      </c>
      <c r="DG60" s="11">
        <v>538.60864618030269</v>
      </c>
      <c r="DH60" s="11">
        <v>634.69860705493716</v>
      </c>
      <c r="DI60" s="11">
        <v>601.15056589097412</v>
      </c>
      <c r="DJ60" s="11">
        <v>661.52167520974717</v>
      </c>
      <c r="DK60" s="11">
        <v>752.43173379942766</v>
      </c>
      <c r="DL60" s="11">
        <v>885.64586223291496</v>
      </c>
    </row>
    <row r="61" spans="4:116" ht="15.6" outlineLevel="1" x14ac:dyDescent="0.25">
      <c r="D61" s="10" t="s">
        <v>123</v>
      </c>
      <c r="E61" s="10" t="s">
        <v>46</v>
      </c>
      <c r="F61" s="10" t="s">
        <v>151</v>
      </c>
      <c r="G61" s="10" t="s">
        <v>182</v>
      </c>
      <c r="H61" s="62" t="str">
        <f t="shared" si="2"/>
        <v>Tucson (피합병)</v>
      </c>
      <c r="I61" s="11">
        <f>1282073.76042163/(10^3)</f>
        <v>1282.0737604216299</v>
      </c>
      <c r="J61" s="11">
        <f>1265555.06799464/(10^3)</f>
        <v>1265.55506799464</v>
      </c>
      <c r="K61" s="11">
        <f>124715325.690652/(10^3)</f>
        <v>124715.325690652</v>
      </c>
      <c r="L61" s="11">
        <f>1284795.75337996/(10^3)</f>
        <v>1284.7957533799602</v>
      </c>
      <c r="M61" s="11">
        <f>1303176.37462802/(10^3)</f>
        <v>1303.1763746280201</v>
      </c>
      <c r="N61" s="11">
        <f>1327059.21641849/(10^3)</f>
        <v>1327.05921641849</v>
      </c>
      <c r="O61" s="11">
        <f>1329183.56208583/(10^3)</f>
        <v>1329.1835620858299</v>
      </c>
      <c r="P61" s="11">
        <f>1313485.52802111/(10^3)</f>
        <v>1313.48552802111</v>
      </c>
      <c r="Q61" s="11">
        <f>13643.7765024831/(10^3)</f>
        <v>13.643776502483101</v>
      </c>
      <c r="R61" s="11">
        <f>1392105.09876607/(10^3)</f>
        <v>1392.1050987660701</v>
      </c>
      <c r="S61" s="11">
        <f>1380380.36186195/(10^3)</f>
        <v>1380.38036186195</v>
      </c>
      <c r="T61" s="11">
        <f>1414951.15769438/(10^3)</f>
        <v>1414.9511576943801</v>
      </c>
      <c r="U61" s="11">
        <f>1400651.6023745/(10^3)</f>
        <v>1400.6516023744998</v>
      </c>
      <c r="V61" s="11">
        <f>1428469.10445021/(10^3)</f>
        <v>1428.4691044502099</v>
      </c>
      <c r="W61" s="11">
        <f>144583051.829582/(10^3)</f>
        <v>144583.05182958199</v>
      </c>
      <c r="X61" s="11">
        <f>1430590.41194891/(10^3)</f>
        <v>1430.5904119489101</v>
      </c>
      <c r="Y61" s="11">
        <f>1418869.67490317/(10^3)</f>
        <v>1418.8696749031699</v>
      </c>
      <c r="Z61" s="11">
        <f>1460496.90319333/(10^3)</f>
        <v>1460.4969031933299</v>
      </c>
      <c r="AA61" s="11">
        <f>1439675.0219305/(10^3)</f>
        <v>1439.6750219305</v>
      </c>
      <c r="AB61" s="11">
        <f>1485572.8154535/(10^3)</f>
        <v>1485.5728154535</v>
      </c>
      <c r="AC61" s="11">
        <f>15462.8741281598/(10^3)</f>
        <v>15.4628741281598</v>
      </c>
      <c r="AD61" s="11">
        <f>1543674.46974292/(10^3)</f>
        <v>1543.6744697429201</v>
      </c>
      <c r="AE61" s="11">
        <f>1570554.88106442/(10^3)</f>
        <v>1570.55488106442</v>
      </c>
      <c r="AF61" s="11">
        <f>1599509.44103012/(10^3)</f>
        <v>1599.5094410301201</v>
      </c>
      <c r="AG61" s="11">
        <f>1601271.50768422/(10^3)</f>
        <v>1601.2715076842201</v>
      </c>
      <c r="AH61" s="11">
        <f>1607990.31872777/(10^3)</f>
        <v>1607.9903187277698</v>
      </c>
      <c r="AI61" s="11">
        <f>159146014.57424/(10^3)</f>
        <v>159146.01457423999</v>
      </c>
      <c r="AJ61" s="11">
        <f>1568864.93001894/(10^3)</f>
        <v>1568.86493001894</v>
      </c>
      <c r="AK61" s="11">
        <f>1626466.22270557/(10^3)</f>
        <v>1626.4662227055701</v>
      </c>
      <c r="AL61" s="11">
        <f>1604291.59864114/(10^3)</f>
        <v>1604.2915986411399</v>
      </c>
      <c r="AM61" s="11">
        <f>1585911.72385467/(10^3)</f>
        <v>1585.9117238546701</v>
      </c>
      <c r="AN61" s="11">
        <f>1556816.28494772/(10^3)</f>
        <v>1556.8162849477199</v>
      </c>
      <c r="AO61" s="11">
        <f>15941.3205889296/(10^3)</f>
        <v>15.941320588929601</v>
      </c>
      <c r="AP61" s="11">
        <f>1564755.76263416/(10^3)</f>
        <v>1564.75576263416</v>
      </c>
      <c r="AQ61" s="11">
        <f>1562578.12037181/(10^3)</f>
        <v>1562.57812037181</v>
      </c>
      <c r="AR61" s="11">
        <f>1545598.13487796/(10^3)</f>
        <v>1545.5981348779599</v>
      </c>
      <c r="AS61" s="11">
        <f>1564472.95657387/(10^3)</f>
        <v>1564.4729565738701</v>
      </c>
      <c r="AT61" s="11">
        <f>1610515.30878514/(10^3)</f>
        <v>1610.51530878514</v>
      </c>
      <c r="AU61" s="11">
        <f>157959042.888655/(10^3)</f>
        <v>157959.04288865501</v>
      </c>
      <c r="AV61" s="11">
        <f>1601157.36253207/(10^3)</f>
        <v>1601.15736253207</v>
      </c>
      <c r="AW61" s="11">
        <f>1590332.64064281/(10^3)</f>
        <v>1590.33264064281</v>
      </c>
      <c r="AX61" s="11">
        <f>1564878.15364549/(10^3)</f>
        <v>1564.8781536454901</v>
      </c>
      <c r="AY61" s="11">
        <f>1617611.95309694/(10^3)</f>
        <v>1617.6119530969399</v>
      </c>
      <c r="AZ61" s="11">
        <f>1667539.69210922/(10^3)</f>
        <v>1667.5396921092199</v>
      </c>
      <c r="BA61" s="11">
        <f>16370.5813800112/(10^3)</f>
        <v>16.370581380011199</v>
      </c>
      <c r="BB61" s="11">
        <f>1706641.64814296/(10^3)</f>
        <v>1706.6416481429599</v>
      </c>
      <c r="BC61" s="11">
        <f>1739114.95968283/(10^3)</f>
        <v>1739.11495968283</v>
      </c>
      <c r="BD61" s="11">
        <f>1705397.92279187/(10^3)</f>
        <v>1705.3979227918701</v>
      </c>
      <c r="BE61" s="11">
        <f>1684852.47771161/(10^3)</f>
        <v>1684.8524777116099</v>
      </c>
      <c r="BF61" s="11">
        <f>1720320.87282334/(10^3)</f>
        <v>1720.3208728233399</v>
      </c>
      <c r="BG61" s="11">
        <f>173547046.609323/(10^3)</f>
        <v>173547.04660932301</v>
      </c>
      <c r="BH61" s="11">
        <f>1759610.59057158/(10^3)</f>
        <v>1759.6105905715799</v>
      </c>
      <c r="BI61" s="11">
        <f>1791196.43710504/(10^3)</f>
        <v>1791.1964371050401</v>
      </c>
      <c r="BJ61" s="11">
        <f>1825912.25397648/(10^3)</f>
        <v>1825.9122539764801</v>
      </c>
      <c r="BK61" s="11">
        <f>1829670.45280851/(10^3)</f>
        <v>1829.6704528085099</v>
      </c>
      <c r="BL61" s="11">
        <f>1875384.77057047/(10^3)</f>
        <v>1875.38477057047</v>
      </c>
      <c r="BM61" s="11">
        <f>19187.0856136964/(10^3)</f>
        <v>19.1870856136964</v>
      </c>
      <c r="BN61" s="11">
        <f>1915197.75029072/(10^3)</f>
        <v>1915.19775029072</v>
      </c>
      <c r="BO61" s="11">
        <f>2001754.95875477/(10^3)</f>
        <v>2001.7549587547701</v>
      </c>
      <c r="BP61" s="11">
        <f>2064560.69870224/(10^3)</f>
        <v>2064.5606987022397</v>
      </c>
      <c r="BQ61" s="11">
        <f>2149009.59959918/(10^3)</f>
        <v>2149.0095995991796</v>
      </c>
      <c r="BR61" s="11">
        <f>2143033.79384983/(10^3)</f>
        <v>2143.0337938498301</v>
      </c>
      <c r="BS61" s="11">
        <f>214225438.899436/(10^3)</f>
        <v>214225.43889943601</v>
      </c>
      <c r="BT61" s="11">
        <f>2124775.98893335/(10^3)</f>
        <v>2124.7759889333502</v>
      </c>
      <c r="BU61" s="11">
        <f>2151935.35148835/(10^3)</f>
        <v>2151.9353514883501</v>
      </c>
      <c r="BV61" s="11">
        <f>2208147.98304006/(10^3)</f>
        <v>2208.1479830400599</v>
      </c>
      <c r="BW61" s="11">
        <f>2270542.13680092/(10^3)</f>
        <v>2270.5421368009202</v>
      </c>
      <c r="BX61" s="11">
        <f>2346935.14759187/(10^3)</f>
        <v>2346.9351475918697</v>
      </c>
      <c r="BY61" s="11">
        <f>23035.7381074021/(10^3)</f>
        <v>23.0357381074021</v>
      </c>
      <c r="BZ61" s="11">
        <f>2303573.81074021/(10^3)</f>
        <v>2303.5738107402103</v>
      </c>
      <c r="CA61" s="11">
        <f>2280604.9417104/(10^3)</f>
        <v>2280.6049417104</v>
      </c>
      <c r="CB61" s="11">
        <f>2280470.12643729/(10^3)</f>
        <v>2280.4701264372902</v>
      </c>
      <c r="CC61" s="12"/>
      <c r="CZ61" s="11">
        <v>1364.3776502483133</v>
      </c>
      <c r="DA61" s="11">
        <v>1546.2874128159754</v>
      </c>
      <c r="DB61" s="11">
        <v>1594.1320588929591</v>
      </c>
      <c r="DC61" s="11">
        <v>1637.0581380011163</v>
      </c>
      <c r="DD61" s="11">
        <v>1918.7085613696361</v>
      </c>
      <c r="DE61" s="11">
        <v>2303.5738107402094</v>
      </c>
      <c r="DG61" s="11">
        <v>1247.153256906515</v>
      </c>
      <c r="DH61" s="11">
        <v>1445.83051829582</v>
      </c>
      <c r="DI61" s="11">
        <v>1591.4601457423983</v>
      </c>
      <c r="DJ61" s="11">
        <v>1579.5904288865486</v>
      </c>
      <c r="DK61" s="11">
        <v>1735.4704660932293</v>
      </c>
      <c r="DL61" s="11">
        <v>2142.254388994364</v>
      </c>
    </row>
    <row r="62" spans="4:116" ht="15.6" outlineLevel="1" x14ac:dyDescent="0.25">
      <c r="D62" s="10" t="s">
        <v>124</v>
      </c>
      <c r="E62" s="10" t="s">
        <v>46</v>
      </c>
      <c r="F62" s="10" t="s">
        <v>151</v>
      </c>
      <c r="G62" s="10" t="s">
        <v>182</v>
      </c>
      <c r="H62" s="62" t="str">
        <f t="shared" si="2"/>
        <v>Mesa (피합병)</v>
      </c>
      <c r="I62" s="11">
        <f>762976.347602988/(10^3)</f>
        <v>762.97634760298797</v>
      </c>
      <c r="J62" s="11">
        <f>788063.813540787/(10^3)</f>
        <v>788.06381354078701</v>
      </c>
      <c r="K62" s="11">
        <f>78853373.3509415/(10^3)</f>
        <v>78853.373350941489</v>
      </c>
      <c r="L62" s="11">
        <f>773329.532273265/(10^3)</f>
        <v>773.32953227326493</v>
      </c>
      <c r="M62" s="11">
        <f>765911.64626058/(10^3)</f>
        <v>765.91164626058003</v>
      </c>
      <c r="N62" s="11">
        <f>795021.576752147/(10^3)</f>
        <v>795.0215767521471</v>
      </c>
      <c r="O62" s="11">
        <f>809901.394556553/(10^3)</f>
        <v>809.90139455655299</v>
      </c>
      <c r="P62" s="11">
        <f>808367.529796255/(10^3)</f>
        <v>808.3675297962551</v>
      </c>
      <c r="Q62" s="11">
        <f>7941.68310235868/(10^3)</f>
        <v>7.94168310235868</v>
      </c>
      <c r="R62" s="11">
        <f>804758.117426339/(10^3)</f>
        <v>804.75811742633891</v>
      </c>
      <c r="S62" s="11">
        <f>796886.104593472/(10^3)</f>
        <v>796.88610459347194</v>
      </c>
      <c r="T62" s="11">
        <f>787642.553333446/(10^3)</f>
        <v>787.64255333344602</v>
      </c>
      <c r="U62" s="11">
        <f>786342.297948041/(10^3)</f>
        <v>786.34229794804105</v>
      </c>
      <c r="V62" s="11">
        <f>775144.768334369/(10^3)</f>
        <v>775.14476833436891</v>
      </c>
      <c r="W62" s="11">
        <f>77001631.6743405/(10^3)</f>
        <v>77001.631674340504</v>
      </c>
      <c r="X62" s="11">
        <f>758981.817351885/(10^3)</f>
        <v>758.98181735188507</v>
      </c>
      <c r="Y62" s="11">
        <f>753348.445458432/(10^3)</f>
        <v>753.34844545843191</v>
      </c>
      <c r="Z62" s="11">
        <f>739504.132907569/(10^3)</f>
        <v>739.50413290756899</v>
      </c>
      <c r="AA62" s="11">
        <f>744058.60111987/(10^3)</f>
        <v>744.05860111986999</v>
      </c>
      <c r="AB62" s="11">
        <f>760221.40490213/(10^3)</f>
        <v>760.22140490212996</v>
      </c>
      <c r="AC62" s="11">
        <f>7697.41322526186/(10^3)</f>
        <v>7.6974132252618599</v>
      </c>
      <c r="AD62" s="11">
        <f>796083.290308671/(10^3)</f>
        <v>796.08329030867094</v>
      </c>
      <c r="AE62" s="11">
        <f>787693.756473468/(10^3)</f>
        <v>787.69375647346806</v>
      </c>
      <c r="AF62" s="11">
        <f>783042.05095104/(10^3)</f>
        <v>783.04205095103998</v>
      </c>
      <c r="AG62" s="11">
        <f>778944.796860755/(10^3)</f>
        <v>778.94479686075499</v>
      </c>
      <c r="AH62" s="11">
        <f>802713.161307422/(10^3)</f>
        <v>802.71316130742196</v>
      </c>
      <c r="AI62" s="11">
        <f>84182282.360368/(10^3)</f>
        <v>84182.282360368001</v>
      </c>
      <c r="AJ62" s="11">
        <f>829347.027876979/(10^3)</f>
        <v>829.34702787697893</v>
      </c>
      <c r="AK62" s="11">
        <f>828822.994381646/(10^3)</f>
        <v>828.82299438164603</v>
      </c>
      <c r="AL62" s="11">
        <f>820733.455445172/(10^3)</f>
        <v>820.73345544517201</v>
      </c>
      <c r="AM62" s="11">
        <f>807039.567069541/(10^3)</f>
        <v>807.03956706954091</v>
      </c>
      <c r="AN62" s="11">
        <f>803887.965947018/(10^3)</f>
        <v>803.88796594701796</v>
      </c>
      <c r="AO62" s="11">
        <f>7960.08543093063/(10^3)</f>
        <v>7.9600854309306293</v>
      </c>
      <c r="AP62" s="11">
        <f>817065.849072024/(10^3)</f>
        <v>817.06584907202398</v>
      </c>
      <c r="AQ62" s="11">
        <f>845040.503690693/(10^3)</f>
        <v>845.04050369069296</v>
      </c>
      <c r="AR62" s="11">
        <f>842635.148351489/(10^3)</f>
        <v>842.63514835148897</v>
      </c>
      <c r="AS62" s="11">
        <f>826999.469793111/(10^3)</f>
        <v>826.99946979311096</v>
      </c>
      <c r="AT62" s="11">
        <f>846095.581923483/(10^3)</f>
        <v>846.09558192348311</v>
      </c>
      <c r="AU62" s="11">
        <f>82959268.521321/(10^3)</f>
        <v>82959.268521320992</v>
      </c>
      <c r="AV62" s="11">
        <f>813414.205003719/(10^3)</f>
        <v>813.41420500371896</v>
      </c>
      <c r="AW62" s="11">
        <f>841246.632542358/(10^3)</f>
        <v>841.24663254235804</v>
      </c>
      <c r="AX62" s="11">
        <f>871317.009080948/(10^3)</f>
        <v>871.31700908094797</v>
      </c>
      <c r="AY62" s="11">
        <f>860093.936028886/(10^3)</f>
        <v>860.09393602888599</v>
      </c>
      <c r="AZ62" s="11">
        <f>852954.376563415/(10^3)</f>
        <v>852.95437656341505</v>
      </c>
      <c r="BA62" s="11">
        <f>8954.29569896844/(10^3)</f>
        <v>8.9542956989684406</v>
      </c>
      <c r="BB62" s="11">
        <f>899039.348503199/(10^3)</f>
        <v>899.03934850319911</v>
      </c>
      <c r="BC62" s="11">
        <f>898337.377629147/(10^3)</f>
        <v>898.337377629147</v>
      </c>
      <c r="BD62" s="11">
        <f>900274.524032866/(10^3)</f>
        <v>900.274524032866</v>
      </c>
      <c r="BE62" s="11">
        <f>906047.669572478/(10^3)</f>
        <v>906.04766957247807</v>
      </c>
      <c r="BF62" s="11">
        <f>933416.295618183/(10^3)</f>
        <v>933.41629561818297</v>
      </c>
      <c r="BG62" s="11">
        <f>93098805.2715032/(10^3)</f>
        <v>93098.805271503195</v>
      </c>
      <c r="BH62" s="11">
        <f>960302.595017725/(10^3)</f>
        <v>960.30259501772503</v>
      </c>
      <c r="BI62" s="11">
        <f>969839.517306115/(10^3)</f>
        <v>969.839517306115</v>
      </c>
      <c r="BJ62" s="11">
        <f>987347.845078959/(10^3)</f>
        <v>987.34784507895904</v>
      </c>
      <c r="BK62" s="11">
        <f>1017465.35591688/(10^3)</f>
        <v>1017.46535591688</v>
      </c>
      <c r="BL62" s="11">
        <f>1029591.04117295/(10^3)</f>
        <v>1029.5910411729499</v>
      </c>
      <c r="BM62" s="11">
        <f>10809.4072806136/(10^3)</f>
        <v>10.809407280613598</v>
      </c>
      <c r="BN62" s="11">
        <f>1079025.99998177/(10^3)</f>
        <v>1079.0259999817702</v>
      </c>
      <c r="BO62" s="11">
        <f>1130340.52715349/(10^3)</f>
        <v>1130.34052715349</v>
      </c>
      <c r="BP62" s="11">
        <f>1130100.43562871/(10^3)</f>
        <v>1130.1004356287101</v>
      </c>
      <c r="BQ62" s="11">
        <f>1174806.10345992/(10^3)</f>
        <v>1174.80610345992</v>
      </c>
      <c r="BR62" s="11">
        <f>1208470.24267444/(10^3)</f>
        <v>1208.47024267444</v>
      </c>
      <c r="BS62" s="11">
        <f>123100422.105938/(10^3)</f>
        <v>123100.42210593801</v>
      </c>
      <c r="BT62" s="11">
        <f>1229547.72247243/(10^3)</f>
        <v>1229.54772247243</v>
      </c>
      <c r="BU62" s="11">
        <f>1220162.3128867/(10^3)</f>
        <v>1220.1623128867</v>
      </c>
      <c r="BV62" s="11">
        <f>1251749.39905722/(10^3)</f>
        <v>1251.74939905722</v>
      </c>
      <c r="BW62" s="11">
        <f>1271237.76634707/(10^3)</f>
        <v>1271.23776634707</v>
      </c>
      <c r="BX62" s="11">
        <f>1293291.0337249/(10^3)</f>
        <v>1293.2910337249</v>
      </c>
      <c r="BY62" s="11">
        <f>12645.4049037179/(10^3)</f>
        <v>12.6454049037179</v>
      </c>
      <c r="BZ62" s="11">
        <f>1264540.49037179/(10^3)</f>
        <v>1264.5404903717899</v>
      </c>
      <c r="CA62" s="11">
        <f>1313514.98185416/(10^3)</f>
        <v>1313.5149818541602</v>
      </c>
      <c r="CB62" s="11">
        <f>1374730.00039388/(10^3)</f>
        <v>1374.7300003938801</v>
      </c>
      <c r="CC62" s="12"/>
      <c r="CZ62" s="11">
        <v>794.16831023586758</v>
      </c>
      <c r="DA62" s="11">
        <v>769.74132252618631</v>
      </c>
      <c r="DB62" s="11">
        <v>796.00854309306328</v>
      </c>
      <c r="DC62" s="11">
        <v>895.42956989684399</v>
      </c>
      <c r="DD62" s="11">
        <v>1080.9407280613625</v>
      </c>
      <c r="DE62" s="11">
        <v>1264.5404903717945</v>
      </c>
      <c r="DG62" s="11">
        <v>788.53373350941536</v>
      </c>
      <c r="DH62" s="11">
        <v>770.0163167434049</v>
      </c>
      <c r="DI62" s="11">
        <v>841.82282360367981</v>
      </c>
      <c r="DJ62" s="11">
        <v>829.59268521320973</v>
      </c>
      <c r="DK62" s="11">
        <v>930.9880527150317</v>
      </c>
      <c r="DL62" s="11">
        <v>1231.0042210593831</v>
      </c>
    </row>
    <row r="63" spans="4:116" ht="15.6" outlineLevel="1" x14ac:dyDescent="0.25">
      <c r="D63" s="10" t="s">
        <v>125</v>
      </c>
      <c r="E63" s="10" t="s">
        <v>47</v>
      </c>
      <c r="F63" s="10" t="s">
        <v>151</v>
      </c>
      <c r="G63" s="10" t="s">
        <v>182</v>
      </c>
      <c r="H63" s="62" t="str">
        <f t="shared" si="2"/>
        <v>Los Angeles (피합병)</v>
      </c>
      <c r="I63" s="11">
        <f>859797.182577779/(10^3)</f>
        <v>859.79718257777904</v>
      </c>
      <c r="J63" s="11">
        <f>889839.961071624/(10^3)</f>
        <v>889.83996107162397</v>
      </c>
      <c r="K63" s="11">
        <f>92304848.4418005/(10^3)</f>
        <v>92304.84844180051</v>
      </c>
      <c r="L63" s="11">
        <f>908869.60994493/(10^3)</f>
        <v>908.86960994492995</v>
      </c>
      <c r="M63" s="11">
        <f>931260.610004131/(10^3)</f>
        <v>931.26061000413097</v>
      </c>
      <c r="N63" s="11">
        <f>972672.648785339/(10^3)</f>
        <v>972.67264878533899</v>
      </c>
      <c r="O63" s="11">
        <f>978829.36501552/(10^3)</f>
        <v>978.82936501552001</v>
      </c>
      <c r="P63" s="11">
        <f>973388.920040912/(10^3)</f>
        <v>973.38892004091201</v>
      </c>
      <c r="Q63" s="11">
        <f>9878.52074384731/(10^3)</f>
        <v>9.878520743847309</v>
      </c>
      <c r="R63" s="11">
        <f>1005721.76150755/(10^3)</f>
        <v>1005.72176150755</v>
      </c>
      <c r="S63" s="11">
        <f>1013501.00972898/(10^3)</f>
        <v>1013.50100972898</v>
      </c>
      <c r="T63" s="11">
        <f>1062295.50518723/(10^3)</f>
        <v>1062.29550518723</v>
      </c>
      <c r="U63" s="11">
        <f>1045711.10942004/(10^3)</f>
        <v>1045.71110942004</v>
      </c>
      <c r="V63" s="11">
        <f>1045679.19159788/(10^3)</f>
        <v>1045.6791915978799</v>
      </c>
      <c r="W63" s="11">
        <f>106479934.387914/(10^3)</f>
        <v>106479.93438791401</v>
      </c>
      <c r="X63" s="11">
        <f>1054422.12653262/(10^3)</f>
        <v>1054.42212653262</v>
      </c>
      <c r="Y63" s="11">
        <f>1079139.03536361/(10^3)</f>
        <v>1079.13903536361</v>
      </c>
      <c r="Z63" s="11">
        <f>1059313.94592994/(10^3)</f>
        <v>1059.31394592994</v>
      </c>
      <c r="AA63" s="11">
        <f>1059452.23951708/(10^3)</f>
        <v>1059.45223951708</v>
      </c>
      <c r="AB63" s="11">
        <f>1085665.92592381/(10^3)</f>
        <v>1085.6659259238102</v>
      </c>
      <c r="AC63" s="11">
        <f>11375.4215956888/(10^3)</f>
        <v>11.375421595688801</v>
      </c>
      <c r="AD63" s="11">
        <f>1123918.55545681/(10^3)</f>
        <v>1123.9185554568098</v>
      </c>
      <c r="AE63" s="11">
        <f>1179702.18866352/(10^3)</f>
        <v>1179.70218866352</v>
      </c>
      <c r="AF63" s="11">
        <f>1169288.91217041/(10^3)</f>
        <v>1169.28891217041</v>
      </c>
      <c r="AG63" s="11">
        <f>1156954.86945045/(10^3)</f>
        <v>1156.9548694504499</v>
      </c>
      <c r="AH63" s="11">
        <f>1135139.48608858/(10^3)</f>
        <v>1135.13948608858</v>
      </c>
      <c r="AI63" s="11">
        <f>112024497.773246/(10^3)</f>
        <v>112024.49777324601</v>
      </c>
      <c r="AJ63" s="11">
        <f>1112446.9428986/(10^3)</f>
        <v>1112.4469428985999</v>
      </c>
      <c r="AK63" s="11">
        <f>1121572.17967993/(10^3)</f>
        <v>1121.5721796799301</v>
      </c>
      <c r="AL63" s="11">
        <f>1111340.19799426/(10^3)</f>
        <v>1111.3401979942598</v>
      </c>
      <c r="AM63" s="11">
        <f>1109896.72482774/(10^3)</f>
        <v>1109.8967248277402</v>
      </c>
      <c r="AN63" s="11">
        <f>1121689.71445324/(10^3)</f>
        <v>1121.68971445324</v>
      </c>
      <c r="AO63" s="11">
        <f>11038.1803577429/(10^3)</f>
        <v>11.038180357742901</v>
      </c>
      <c r="AP63" s="11">
        <f>1103051.9960358/(10^3)</f>
        <v>1103.0519960358001</v>
      </c>
      <c r="AQ63" s="11">
        <f>1097282.14198776/(10^3)</f>
        <v>1097.28214198776</v>
      </c>
      <c r="AR63" s="11">
        <f>1086642.31418014/(10^3)</f>
        <v>1086.6423141801399</v>
      </c>
      <c r="AS63" s="11">
        <f>1077737.13624995/(10^3)</f>
        <v>1077.73713624995</v>
      </c>
      <c r="AT63" s="11">
        <f>1064834.88538084/(10^3)</f>
        <v>1064.83488538084</v>
      </c>
      <c r="AU63" s="11">
        <f>107096695.715858/(10^3)</f>
        <v>107096.695715858</v>
      </c>
      <c r="AV63" s="11">
        <f>1065734.50562658/(10^3)</f>
        <v>1065.7345056265799</v>
      </c>
      <c r="AW63" s="11">
        <f>1103069.73281247/(10^3)</f>
        <v>1103.06973281247</v>
      </c>
      <c r="AX63" s="11">
        <f>1149232.28172772/(10^3)</f>
        <v>1149.23228172772</v>
      </c>
      <c r="AY63" s="11">
        <f>1133721.5368866/(10^3)</f>
        <v>1133.7215368866</v>
      </c>
      <c r="AZ63" s="11">
        <f>1118302.0010074/(10^3)</f>
        <v>1118.3020010073999</v>
      </c>
      <c r="BA63" s="11">
        <f>11669.8424779884/(10^3)</f>
        <v>11.6698424779884</v>
      </c>
      <c r="BB63" s="11">
        <f>1188869.21635334/(10^3)</f>
        <v>1188.8692163533401</v>
      </c>
      <c r="BC63" s="11">
        <f>1172288.57140819/(10^3)</f>
        <v>1172.2885714081901</v>
      </c>
      <c r="BD63" s="11">
        <f>1169691.02217309/(10^3)</f>
        <v>1169.69102217309</v>
      </c>
      <c r="BE63" s="11">
        <f>1196012.5739602/(10^3)</f>
        <v>1196.0125739601999</v>
      </c>
      <c r="BF63" s="11">
        <f>1226943.67185161/(10^3)</f>
        <v>1226.9436718516101</v>
      </c>
      <c r="BG63" s="11">
        <f>120686501.388011/(10^3)</f>
        <v>120686.50138801099</v>
      </c>
      <c r="BH63" s="11">
        <f>1254290.52293493/(10^3)</f>
        <v>1254.2905229349299</v>
      </c>
      <c r="BI63" s="11">
        <f>1282112.92871691/(10^3)</f>
        <v>1282.1129287169101</v>
      </c>
      <c r="BJ63" s="11">
        <f>1337649.47107012/(10^3)</f>
        <v>1337.6494710701202</v>
      </c>
      <c r="BK63" s="11">
        <f>1350011.92707586/(10^3)</f>
        <v>1350.0119270758601</v>
      </c>
      <c r="BL63" s="11">
        <f>1355952.88047476/(10^3)</f>
        <v>1355.9528804747599</v>
      </c>
      <c r="BM63" s="11">
        <f>13376.6260149152/(10^3)</f>
        <v>13.3766260149152</v>
      </c>
      <c r="BN63" s="11">
        <f>1352901.28688731/(10^3)</f>
        <v>1352.9012868873099</v>
      </c>
      <c r="BO63" s="11">
        <f>1407343.86875828/(10^3)</f>
        <v>1407.34386875828</v>
      </c>
      <c r="BP63" s="11">
        <f>1379312.8699941/(10^3)</f>
        <v>1379.3128699940999</v>
      </c>
      <c r="BQ63" s="11">
        <f>1360988.39030438/(10^3)</f>
        <v>1360.9883903043801</v>
      </c>
      <c r="BR63" s="11">
        <f>1422632.18703529/(10^3)</f>
        <v>1422.6321870352901</v>
      </c>
      <c r="BS63" s="11">
        <f>145913313.626206/(10^3)</f>
        <v>145913.31362620601</v>
      </c>
      <c r="BT63" s="11">
        <f>1456623.61584625/(10^3)</f>
        <v>1456.62361584625</v>
      </c>
      <c r="BU63" s="11">
        <f>1482223.68482137/(10^3)</f>
        <v>1482.2236848213702</v>
      </c>
      <c r="BV63" s="11">
        <f>1539792.98950251/(10^3)</f>
        <v>1539.79298950251</v>
      </c>
      <c r="BW63" s="11">
        <f>1559819.4865862/(10^3)</f>
        <v>1559.8194865862001</v>
      </c>
      <c r="BX63" s="11">
        <f>1625765.6901533/(10^3)</f>
        <v>1625.7656901533001</v>
      </c>
      <c r="BY63" s="11">
        <f>16053.308013294/(10^3)</f>
        <v>16.053308013294</v>
      </c>
      <c r="BZ63" s="11">
        <f>1605330.8013294/(10^3)</f>
        <v>1605.3308013293999</v>
      </c>
      <c r="CA63" s="11">
        <f>1597702.87949796/(10^3)</f>
        <v>1597.7028794979599</v>
      </c>
      <c r="CB63" s="11">
        <f>1595927.92125757/(10^3)</f>
        <v>1595.92792125757</v>
      </c>
      <c r="CC63" s="12"/>
      <c r="CZ63" s="11">
        <v>987.85207438473083</v>
      </c>
      <c r="DA63" s="11">
        <v>1137.5421595688765</v>
      </c>
      <c r="DB63" s="11">
        <v>1103.8180357742856</v>
      </c>
      <c r="DC63" s="11">
        <v>1166.9842477988443</v>
      </c>
      <c r="DD63" s="11">
        <v>1337.66260149152</v>
      </c>
      <c r="DE63" s="11">
        <v>1605.3308013293963</v>
      </c>
      <c r="DG63" s="11">
        <v>923.04848441800539</v>
      </c>
      <c r="DH63" s="11">
        <v>1064.7993438791375</v>
      </c>
      <c r="DI63" s="11">
        <v>1120.2449777324584</v>
      </c>
      <c r="DJ63" s="11">
        <v>1070.9669571585803</v>
      </c>
      <c r="DK63" s="11">
        <v>1206.865013880114</v>
      </c>
      <c r="DL63" s="11">
        <v>1459.1331362620635</v>
      </c>
    </row>
    <row r="64" spans="4:116" ht="15.6" outlineLevel="1" x14ac:dyDescent="0.25">
      <c r="D64" s="10" t="s">
        <v>126</v>
      </c>
      <c r="E64" s="10" t="s">
        <v>47</v>
      </c>
      <c r="F64" s="10" t="s">
        <v>151</v>
      </c>
      <c r="G64" s="10" t="s">
        <v>182</v>
      </c>
      <c r="H64" s="62" t="str">
        <f t="shared" si="2"/>
        <v>Sacramento (피합병)</v>
      </c>
      <c r="I64" s="11">
        <f>352239.50090143/(10^3)</f>
        <v>352.23950090142995</v>
      </c>
      <c r="J64" s="11">
        <f>357114.485145576/(10^3)</f>
        <v>357.114485145576</v>
      </c>
      <c r="K64" s="11">
        <f>36969088.954446/(10^3)</f>
        <v>36969.088954446001</v>
      </c>
      <c r="L64" s="11">
        <f>385515.904984589/(10^3)</f>
        <v>385.51590498458904</v>
      </c>
      <c r="M64" s="11">
        <f>384431.251557936/(10^3)</f>
        <v>384.43125155793604</v>
      </c>
      <c r="N64" s="11">
        <f>393282.740340618/(10^3)</f>
        <v>393.28274034061803</v>
      </c>
      <c r="O64" s="11">
        <f>390736.21365437/(10^3)</f>
        <v>390.73621365436998</v>
      </c>
      <c r="P64" s="11">
        <f>400284.681407537/(10^3)</f>
        <v>400.28468140753699</v>
      </c>
      <c r="Q64" s="11">
        <f>4035.88981796163/(10^3)</f>
        <v>4.03588981796163</v>
      </c>
      <c r="R64" s="11">
        <f>402493.822644964/(10^3)</f>
        <v>402.49382264496398</v>
      </c>
      <c r="S64" s="11">
        <f>394957.001502856/(10^3)</f>
        <v>394.95700150285597</v>
      </c>
      <c r="T64" s="11">
        <f>392590.345984875/(10^3)</f>
        <v>392.590345984875</v>
      </c>
      <c r="U64" s="11">
        <f>400077.177244826/(10^3)</f>
        <v>400.07717724482598</v>
      </c>
      <c r="V64" s="11">
        <f>399267.329712303/(10^3)</f>
        <v>399.26732971230302</v>
      </c>
      <c r="W64" s="11">
        <f>40604043.4932328/(10^3)</f>
        <v>40604.043493232799</v>
      </c>
      <c r="X64" s="11">
        <f>405050.999531514/(10^3)</f>
        <v>405.05099953151404</v>
      </c>
      <c r="Y64" s="11">
        <f>416305.018515316/(10^3)</f>
        <v>416.30501851531602</v>
      </c>
      <c r="Z64" s="11">
        <f>433364.219501894/(10^3)</f>
        <v>433.36421950189401</v>
      </c>
      <c r="AA64" s="11">
        <f>436837.915359683/(10^3)</f>
        <v>436.837915359683</v>
      </c>
      <c r="AB64" s="11">
        <f>433881.611541811/(10^3)</f>
        <v>433.88161154181103</v>
      </c>
      <c r="AC64" s="11">
        <f>4397.45642464852/(10^3)</f>
        <v>4.3974564246485199</v>
      </c>
      <c r="AD64" s="11">
        <f>433836.570427203/(10^3)</f>
        <v>433.83657042720301</v>
      </c>
      <c r="AE64" s="11">
        <f>434491.882417021/(10^3)</f>
        <v>434.49188241702103</v>
      </c>
      <c r="AF64" s="11">
        <f>449032.471739233/(10^3)</f>
        <v>449.03247173923302</v>
      </c>
      <c r="AG64" s="11">
        <f>451452.694757929/(10^3)</f>
        <v>451.45269475792901</v>
      </c>
      <c r="AH64" s="11">
        <f>453409.947753804/(10^3)</f>
        <v>453.40994775380398</v>
      </c>
      <c r="AI64" s="11">
        <f>44631898.7290497/(10^3)</f>
        <v>44631.898729049695</v>
      </c>
      <c r="AJ64" s="11">
        <f>438373.867276691/(10^3)</f>
        <v>438.37386727669104</v>
      </c>
      <c r="AK64" s="11">
        <f>455516.753146802/(10^3)</f>
        <v>455.51675314680199</v>
      </c>
      <c r="AL64" s="11">
        <f>467388.720579179/(10^3)</f>
        <v>467.38872057917899</v>
      </c>
      <c r="AM64" s="11">
        <f>462106.867665914/(10^3)</f>
        <v>462.10686766591402</v>
      </c>
      <c r="AN64" s="11">
        <f>473251.320347291/(10^3)</f>
        <v>473.25132034729103</v>
      </c>
      <c r="AO64" s="11">
        <f>4958.55367610179/(10^3)</f>
        <v>4.9585536761017899</v>
      </c>
      <c r="AP64" s="11">
        <f>508330.731011825/(10^3)</f>
        <v>508.33073101182498</v>
      </c>
      <c r="AQ64" s="11">
        <f>531056.997117952/(10^3)</f>
        <v>531.05699711795194</v>
      </c>
      <c r="AR64" s="11">
        <f>525846.20117428/(10^3)</f>
        <v>525.84620117428005</v>
      </c>
      <c r="AS64" s="11">
        <f>519926.540770833/(10^3)</f>
        <v>519.92654077083296</v>
      </c>
      <c r="AT64" s="11">
        <f>523642.916561182/(10^3)</f>
        <v>523.64291656118201</v>
      </c>
      <c r="AU64" s="11">
        <f>51700091.6328374/(10^3)</f>
        <v>51700.091632837401</v>
      </c>
      <c r="AV64" s="11">
        <f>506675.393072315/(10^3)</f>
        <v>506.67539307231505</v>
      </c>
      <c r="AW64" s="11">
        <f>509272.517441375/(10^3)</f>
        <v>509.27251744137499</v>
      </c>
      <c r="AX64" s="11">
        <f>505374.211520521/(10^3)</f>
        <v>505.37421152052104</v>
      </c>
      <c r="AY64" s="11">
        <f>501939.634066815/(10^3)</f>
        <v>501.93963406681502</v>
      </c>
      <c r="AZ64" s="11">
        <f>518249.027765355/(10^3)</f>
        <v>518.24902776535498</v>
      </c>
      <c r="BA64" s="11">
        <f>5322.92407054822/(10^3)</f>
        <v>5.3229240705482201</v>
      </c>
      <c r="BB64" s="11">
        <f>527012.404794232/(10^3)</f>
        <v>527.012404794232</v>
      </c>
      <c r="BC64" s="11">
        <f>521243.79329844/(10^3)</f>
        <v>521.24379329843998</v>
      </c>
      <c r="BD64" s="11">
        <f>518583.364950406/(10^3)</f>
        <v>518.58336495040601</v>
      </c>
      <c r="BE64" s="11">
        <f>518814.842240927/(10^3)</f>
        <v>518.81484224092696</v>
      </c>
      <c r="BF64" s="11">
        <f>538707.355280469/(10^3)</f>
        <v>538.70735528046907</v>
      </c>
      <c r="BG64" s="11">
        <f>55902303.274453/(10^3)</f>
        <v>55902.303274452999</v>
      </c>
      <c r="BH64" s="11">
        <f>570163.357955187/(10^3)</f>
        <v>570.16335795518694</v>
      </c>
      <c r="BI64" s="11">
        <f>591854.814867405/(10^3)</f>
        <v>591.85481486740503</v>
      </c>
      <c r="BJ64" s="11">
        <f>601937.89500304/(10^3)</f>
        <v>601.93789500304001</v>
      </c>
      <c r="BK64" s="11">
        <f>625296.172677616/(10^3)</f>
        <v>625.29617267761603</v>
      </c>
      <c r="BL64" s="11">
        <f>655279.824034703/(10^3)</f>
        <v>655.27982403470298</v>
      </c>
      <c r="BM64" s="11">
        <f>6824.55134406087/(10^3)</f>
        <v>6.8245513440608701</v>
      </c>
      <c r="BN64" s="11">
        <f>708607.172227762/(10^3)</f>
        <v>708.60717222776202</v>
      </c>
      <c r="BO64" s="11">
        <f>742810.114044001/(10^3)</f>
        <v>742.81011404400101</v>
      </c>
      <c r="BP64" s="11">
        <f>741014.331303445/(10^3)</f>
        <v>741.01433130344503</v>
      </c>
      <c r="BQ64" s="11">
        <f>749565.059150716/(10^3)</f>
        <v>749.56505915071602</v>
      </c>
      <c r="BR64" s="11">
        <f>768702.308869031/(10^3)</f>
        <v>768.70230886903107</v>
      </c>
      <c r="BS64" s="11">
        <f>80090637.4289927/(10^3)</f>
        <v>80090.637428992704</v>
      </c>
      <c r="BT64" s="11">
        <f>812294.9321198/(10^3)</f>
        <v>812.29493211980002</v>
      </c>
      <c r="BU64" s="11">
        <f>816559.199740509/(10^3)</f>
        <v>816.55919974050903</v>
      </c>
      <c r="BV64" s="11">
        <f>829116.355127486/(10^3)</f>
        <v>829.11635512748603</v>
      </c>
      <c r="BW64" s="11">
        <f>861094.364353749/(10^3)</f>
        <v>861.09436435374892</v>
      </c>
      <c r="BX64" s="11">
        <f>859651.338283753/(10^3)</f>
        <v>859.65133828375303</v>
      </c>
      <c r="BY64" s="11">
        <f>8520.77121434943/(10^3)</f>
        <v>8.5207712143494305</v>
      </c>
      <c r="BZ64" s="11">
        <f>852077.121434943/(10^3)</f>
        <v>852.07712143494302</v>
      </c>
      <c r="CA64" s="11">
        <f>873892.192289439/(10^3)</f>
        <v>873.89219228943898</v>
      </c>
      <c r="CB64" s="11">
        <f>883198.120662623/(10^3)</f>
        <v>883.19812066262296</v>
      </c>
      <c r="CC64" s="12"/>
      <c r="CZ64" s="11">
        <v>403.58898179616301</v>
      </c>
      <c r="DA64" s="11">
        <v>439.74564246485244</v>
      </c>
      <c r="DB64" s="11">
        <v>495.85536761017863</v>
      </c>
      <c r="DC64" s="11">
        <v>532.29240705482175</v>
      </c>
      <c r="DD64" s="11">
        <v>682.45513440608647</v>
      </c>
      <c r="DE64" s="11">
        <v>852.07712143494257</v>
      </c>
      <c r="DG64" s="11">
        <v>369.69088954446016</v>
      </c>
      <c r="DH64" s="11">
        <v>406.04043493232803</v>
      </c>
      <c r="DI64" s="11">
        <v>446.31898729049681</v>
      </c>
      <c r="DJ64" s="11">
        <v>517.00091632837405</v>
      </c>
      <c r="DK64" s="11">
        <v>559.02303274452993</v>
      </c>
      <c r="DL64" s="11">
        <v>800.90637428992682</v>
      </c>
    </row>
    <row r="65" spans="4:116" ht="15.6" outlineLevel="1" x14ac:dyDescent="0.25">
      <c r="D65" s="10" t="s">
        <v>127</v>
      </c>
      <c r="E65" s="10" t="s">
        <v>47</v>
      </c>
      <c r="F65" s="10" t="s">
        <v>151</v>
      </c>
      <c r="G65" s="10" t="s">
        <v>182</v>
      </c>
      <c r="H65" s="62" t="str">
        <f t="shared" si="2"/>
        <v>San Francisco (피합병)</v>
      </c>
      <c r="I65" s="11">
        <f>662778.163281062/(10^3)</f>
        <v>662.77816328106201</v>
      </c>
      <c r="J65" s="11">
        <f>652066.688220789/(10^3)</f>
        <v>652.06668822078893</v>
      </c>
      <c r="K65" s="11">
        <f>63995535.9136884/(10^3)</f>
        <v>63995.5359136884</v>
      </c>
      <c r="L65" s="11">
        <f>670829.546058127/(10^3)</f>
        <v>670.82954605812699</v>
      </c>
      <c r="M65" s="11">
        <f>703898.067564407/(10^3)</f>
        <v>703.89806756440703</v>
      </c>
      <c r="N65" s="11">
        <f>727071.421858912/(10^3)</f>
        <v>727.071421858912</v>
      </c>
      <c r="O65" s="11">
        <f>747153.78415362/(10^3)</f>
        <v>747.15378415361999</v>
      </c>
      <c r="P65" s="11">
        <f>771870.229661889/(10^3)</f>
        <v>771.87022966188897</v>
      </c>
      <c r="Q65" s="11">
        <f>8101.98423354903/(10^3)</f>
        <v>8.1019842335490306</v>
      </c>
      <c r="R65" s="11">
        <f>840169.36256483/(10^3)</f>
        <v>840.16936256482995</v>
      </c>
      <c r="S65" s="11">
        <f>831215.437441484/(10^3)</f>
        <v>831.21543744148391</v>
      </c>
      <c r="T65" s="11">
        <f>819812.842176746/(10^3)</f>
        <v>819.81284217674602</v>
      </c>
      <c r="U65" s="11">
        <f>810393.09982978/(10^3)</f>
        <v>810.39309982978</v>
      </c>
      <c r="V65" s="11">
        <f>807948.074799786/(10^3)</f>
        <v>807.94807479978601</v>
      </c>
      <c r="W65" s="11">
        <f>80085769.3547731/(10^3)</f>
        <v>80085.769354773103</v>
      </c>
      <c r="X65" s="11">
        <f>795514.241415691/(10^3)</f>
        <v>795.514241415691</v>
      </c>
      <c r="Y65" s="11">
        <f>797082.402857502/(10^3)</f>
        <v>797.08240285750196</v>
      </c>
      <c r="Z65" s="11">
        <f>801536.899943812/(10^3)</f>
        <v>801.53689994381205</v>
      </c>
      <c r="AA65" s="11">
        <f>788559.419005669/(10^3)</f>
        <v>788.55941900566893</v>
      </c>
      <c r="AB65" s="11">
        <f>780326.58659227/(10^3)</f>
        <v>780.3265865922699</v>
      </c>
      <c r="AC65" s="11">
        <f>7998.96641851875/(10^3)</f>
        <v>7.9989664185187506</v>
      </c>
      <c r="AD65" s="11">
        <f>799208.107782592/(10^3)</f>
        <v>799.20810778259192</v>
      </c>
      <c r="AE65" s="11">
        <f>820442.155513287/(10^3)</f>
        <v>820.44215551328705</v>
      </c>
      <c r="AF65" s="11">
        <f>860273.887147356/(10^3)</f>
        <v>860.27388714735605</v>
      </c>
      <c r="AG65" s="11">
        <f>851929.814265796/(10^3)</f>
        <v>851.92981426579604</v>
      </c>
      <c r="AH65" s="11">
        <f>851301.135683916/(10^3)</f>
        <v>851.30113568391607</v>
      </c>
      <c r="AI65" s="11">
        <f>89074427.2441071/(10^3)</f>
        <v>89074.427244107093</v>
      </c>
      <c r="AJ65" s="11">
        <f>874558.759904035/(10^3)</f>
        <v>874.55875990403501</v>
      </c>
      <c r="AK65" s="11">
        <f>864377.182868493/(10^3)</f>
        <v>864.37718286849304</v>
      </c>
      <c r="AL65" s="11">
        <f>853218.106828036/(10^3)</f>
        <v>853.21810682803607</v>
      </c>
      <c r="AM65" s="11">
        <f>848888.975006827/(10^3)</f>
        <v>848.88897500682708</v>
      </c>
      <c r="AN65" s="11">
        <f>839683.964111793/(10^3)</f>
        <v>839.68396411179299</v>
      </c>
      <c r="AO65" s="11">
        <f>8259.46638881386/(10^3)</f>
        <v>8.2594663888138609</v>
      </c>
      <c r="AP65" s="11">
        <f>840588.661235711/(10^3)</f>
        <v>840.5886612357109</v>
      </c>
      <c r="AQ65" s="11">
        <f>836978.887934829/(10^3)</f>
        <v>836.978887934829</v>
      </c>
      <c r="AR65" s="11">
        <f>834685.889239073/(10^3)</f>
        <v>834.68588923907305</v>
      </c>
      <c r="AS65" s="11">
        <f>862814.28910019/(10^3)</f>
        <v>862.81428910019008</v>
      </c>
      <c r="AT65" s="11">
        <f>900853.771778658/(10^3)</f>
        <v>900.85377177865803</v>
      </c>
      <c r="AU65" s="11">
        <f>90151909.0783568/(10^3)</f>
        <v>90151.909078356795</v>
      </c>
      <c r="AV65" s="11">
        <f>893130.430409948/(10^3)</f>
        <v>893.13043040994796</v>
      </c>
      <c r="AW65" s="11">
        <f>883962.901979765/(10^3)</f>
        <v>883.96290197976509</v>
      </c>
      <c r="AX65" s="11">
        <f>868736.562113976/(10^3)</f>
        <v>868.73656211397599</v>
      </c>
      <c r="AY65" s="11">
        <f>860627.45545903/(10^3)</f>
        <v>860.62745545902999</v>
      </c>
      <c r="AZ65" s="11">
        <f>879380.925896497/(10^3)</f>
        <v>879.38092589649693</v>
      </c>
      <c r="BA65" s="11">
        <f>8841.82129891048/(10^3)</f>
        <v>8.8418212989104799</v>
      </c>
      <c r="BB65" s="11">
        <f>872233.998167832/(10^3)</f>
        <v>872.23399816783206</v>
      </c>
      <c r="BC65" s="11">
        <f>912605.012263015/(10^3)</f>
        <v>912.60501226301506</v>
      </c>
      <c r="BD65" s="11">
        <f>922915.805036262/(10^3)</f>
        <v>922.91580503626199</v>
      </c>
      <c r="BE65" s="11">
        <f>919848.338571785/(10^3)</f>
        <v>919.84833857178501</v>
      </c>
      <c r="BF65" s="11">
        <f>905609.012518849/(10^3)</f>
        <v>905.609012518849</v>
      </c>
      <c r="BG65" s="11">
        <f>94114180.2475625/(10^3)</f>
        <v>94114.180247562501</v>
      </c>
      <c r="BH65" s="11">
        <f>985987.285440775/(10^3)</f>
        <v>985.98728544077494</v>
      </c>
      <c r="BI65" s="11">
        <f>1009026.14074451/(10^3)</f>
        <v>1009.02614074451</v>
      </c>
      <c r="BJ65" s="11">
        <f>996201.112172787/(10^3)</f>
        <v>996.20111217278691</v>
      </c>
      <c r="BK65" s="11">
        <f>992947.738999631/(10^3)</f>
        <v>992.94773899963104</v>
      </c>
      <c r="BL65" s="11">
        <f>1003333.97329238/(10^3)</f>
        <v>1003.3339732923799</v>
      </c>
      <c r="BM65" s="11">
        <f>10153.7875636383/(10^3)</f>
        <v>10.1537875636383</v>
      </c>
      <c r="BN65" s="11">
        <f>1009533.19170273/(10^3)</f>
        <v>1009.5331917027301</v>
      </c>
      <c r="BO65" s="11">
        <f>990364.568842709/(10^3)</f>
        <v>990.36456884270899</v>
      </c>
      <c r="BP65" s="11">
        <f>1016933.07179234/(10^3)</f>
        <v>1016.93307179234</v>
      </c>
      <c r="BQ65" s="11">
        <f>1045695.12099619/(10^3)</f>
        <v>1045.6951209961901</v>
      </c>
      <c r="BR65" s="11">
        <f>1033374.36986218/(10^3)</f>
        <v>1033.3743698621799</v>
      </c>
      <c r="BS65" s="11">
        <f>101310447.572764/(10^3)</f>
        <v>101310.44757276399</v>
      </c>
      <c r="BT65" s="11">
        <f>1002448.13557799/(10^3)</f>
        <v>1002.44813557799</v>
      </c>
      <c r="BU65" s="11">
        <f>1041158.95228475/(10^3)</f>
        <v>1041.1589522847501</v>
      </c>
      <c r="BV65" s="11">
        <f>1074068.04599194/(10^3)</f>
        <v>1074.0680459919399</v>
      </c>
      <c r="BW65" s="11">
        <f>1074949.47262612/(10^3)</f>
        <v>1074.94947262612</v>
      </c>
      <c r="BX65" s="11">
        <f>1106750.44471952/(10^3)</f>
        <v>1106.7504447195199</v>
      </c>
      <c r="BY65" s="11">
        <f>11728.4750601031/(10^3)</f>
        <v>11.728475060103099</v>
      </c>
      <c r="BZ65" s="11">
        <f>1172847.50601031/(10^3)</f>
        <v>1172.8475060103101</v>
      </c>
      <c r="CA65" s="11">
        <f>1228609.11073207/(10^3)</f>
        <v>1228.6091107320699</v>
      </c>
      <c r="CB65" s="11">
        <f>1258608.67623284/(10^3)</f>
        <v>1258.60867623284</v>
      </c>
      <c r="CC65" s="12"/>
      <c r="CZ65" s="11">
        <v>810.19842335490296</v>
      </c>
      <c r="DA65" s="11">
        <v>799.89664185187496</v>
      </c>
      <c r="DB65" s="11">
        <v>825.94663888138575</v>
      </c>
      <c r="DC65" s="11">
        <v>884.18212989104825</v>
      </c>
      <c r="DD65" s="11">
        <v>1015.3787563638324</v>
      </c>
      <c r="DE65" s="11">
        <v>1172.847506010306</v>
      </c>
      <c r="DG65" s="11">
        <v>639.95535913688354</v>
      </c>
      <c r="DH65" s="11">
        <v>800.85769354773095</v>
      </c>
      <c r="DI65" s="11">
        <v>890.74427244107062</v>
      </c>
      <c r="DJ65" s="11">
        <v>901.51909078356812</v>
      </c>
      <c r="DK65" s="11">
        <v>941.14180247562456</v>
      </c>
      <c r="DL65" s="11">
        <v>1013.1044757276431</v>
      </c>
    </row>
    <row r="66" spans="4:116" ht="15.6" outlineLevel="1" x14ac:dyDescent="0.25">
      <c r="D66" s="10" t="s">
        <v>128</v>
      </c>
      <c r="E66" s="10" t="s">
        <v>47</v>
      </c>
      <c r="F66" s="10" t="s">
        <v>151</v>
      </c>
      <c r="G66" s="10" t="s">
        <v>182</v>
      </c>
      <c r="H66" s="62" t="str">
        <f t="shared" si="2"/>
        <v>San Diego (피합병)</v>
      </c>
      <c r="I66" s="11">
        <f>1108429.9385482/(10^3)</f>
        <v>1108.4299385482</v>
      </c>
      <c r="J66" s="11">
        <f>1120342.056893/(10^3)</f>
        <v>1120.3420568929998</v>
      </c>
      <c r="K66" s="11">
        <f>109823724.625913/(10^3)</f>
        <v>109823.72462591299</v>
      </c>
      <c r="L66" s="11">
        <f>1112222.30118817/(10^3)</f>
        <v>1112.2223011881699</v>
      </c>
      <c r="M66" s="11">
        <f>1140635.34070548/(10^3)</f>
        <v>1140.6353407054798</v>
      </c>
      <c r="N66" s="11">
        <f>1184752.95469601/(10^3)</f>
        <v>1184.7529546960102</v>
      </c>
      <c r="O66" s="11">
        <f>1233091.05882823/(10^3)</f>
        <v>1233.09105882823</v>
      </c>
      <c r="P66" s="11">
        <f>1257188.76867641/(10^3)</f>
        <v>1257.1887686764101</v>
      </c>
      <c r="Q66" s="11">
        <f>12468.4082890314/(10^3)</f>
        <v>12.4684082890314</v>
      </c>
      <c r="R66" s="11">
        <f>1268552.21853159/(10^3)</f>
        <v>1268.5522185315899</v>
      </c>
      <c r="S66" s="11">
        <f>1307894.3282669/(10^3)</f>
        <v>1307.8943282668999</v>
      </c>
      <c r="T66" s="11">
        <f>1297821.50379009/(10^3)</f>
        <v>1297.82150379009</v>
      </c>
      <c r="U66" s="11">
        <f>1283171.80519257/(10^3)</f>
        <v>1283.17180519257</v>
      </c>
      <c r="V66" s="11">
        <f>1265339.72308609/(10^3)</f>
        <v>1265.3397230860901</v>
      </c>
      <c r="W66" s="11">
        <f>124783470.955825/(10^3)</f>
        <v>124783.470955825</v>
      </c>
      <c r="X66" s="11">
        <f>1246732.15939646/(10^3)</f>
        <v>1246.73215939646</v>
      </c>
      <c r="Y66" s="11">
        <f>1278128.65859215/(10^3)</f>
        <v>1278.12865859215</v>
      </c>
      <c r="Z66" s="11">
        <f>1271385.27179367/(10^3)</f>
        <v>1271.38527179367</v>
      </c>
      <c r="AA66" s="11">
        <f>1300895.10055325/(10^3)</f>
        <v>1300.8951005532499</v>
      </c>
      <c r="AB66" s="11">
        <f>1278832.53544632/(10^3)</f>
        <v>1278.83253544632</v>
      </c>
      <c r="AC66" s="11">
        <f>12563.660763251/(10^3)</f>
        <v>12.563660763251001</v>
      </c>
      <c r="AD66" s="11">
        <f>1243611.72442141/(10^3)</f>
        <v>1243.6117244214099</v>
      </c>
      <c r="AE66" s="11">
        <f>1235061.28782889/(10^3)</f>
        <v>1235.0612878288898</v>
      </c>
      <c r="AF66" s="11">
        <f>1233000.93592346/(10^3)</f>
        <v>1233.00093592346</v>
      </c>
      <c r="AG66" s="11">
        <f>1273574.03056354/(10^3)</f>
        <v>1273.57403056354</v>
      </c>
      <c r="AH66" s="11">
        <f>1296307.66031425/(10^3)</f>
        <v>1296.3076603142501</v>
      </c>
      <c r="AI66" s="11">
        <f>128551974.03358/(10^3)</f>
        <v>128551.97403358</v>
      </c>
      <c r="AJ66" s="11">
        <f>1288201.44807111/(10^3)</f>
        <v>1288.20144807111</v>
      </c>
      <c r="AK66" s="11">
        <f>1266312.59887612/(10^3)</f>
        <v>1266.3125988761201</v>
      </c>
      <c r="AL66" s="11">
        <f>1252520.84964938/(10^3)</f>
        <v>1252.5208496493799</v>
      </c>
      <c r="AM66" s="11">
        <f>1295881.17229897/(10^3)</f>
        <v>1295.8811722989699</v>
      </c>
      <c r="AN66" s="11">
        <f>1283039.13901289/(10^3)</f>
        <v>1283.03913901289</v>
      </c>
      <c r="AO66" s="11">
        <f>12685.7243768908/(10^3)</f>
        <v>12.6857243768908</v>
      </c>
      <c r="AP66" s="11">
        <f>1257185.28140495/(10^3)</f>
        <v>1257.18528140495</v>
      </c>
      <c r="AQ66" s="11">
        <f>1253843.9163119/(10^3)</f>
        <v>1253.8439163118999</v>
      </c>
      <c r="AR66" s="11">
        <f>1259786.11186092/(10^3)</f>
        <v>1259.7861118609201</v>
      </c>
      <c r="AS66" s="11">
        <f>1249958.13624678/(10^3)</f>
        <v>1249.95813624678</v>
      </c>
      <c r="AT66" s="11">
        <f>1234076.39838222/(10^3)</f>
        <v>1234.0763983822198</v>
      </c>
      <c r="AU66" s="11">
        <f>125315559.249616/(10^3)</f>
        <v>125315.559249616</v>
      </c>
      <c r="AV66" s="11">
        <f>1276406.85821753/(10^3)</f>
        <v>1276.40685821753</v>
      </c>
      <c r="AW66" s="11">
        <f>1274490.61620948/(10^3)</f>
        <v>1274.4906162094799</v>
      </c>
      <c r="AX66" s="11">
        <f>1316527.76867415/(10^3)</f>
        <v>1316.5277686741501</v>
      </c>
      <c r="AY66" s="11">
        <f>1343227.9501603/(10^3)</f>
        <v>1343.2279501603</v>
      </c>
      <c r="AZ66" s="11">
        <f>1334792.53676634/(10^3)</f>
        <v>1334.7925367663399</v>
      </c>
      <c r="BA66" s="11">
        <f>13446.5195792957/(10^3)</f>
        <v>13.4465195792957</v>
      </c>
      <c r="BB66" s="11">
        <f>1325349.78609009/(10^3)</f>
        <v>1325.34978609009</v>
      </c>
      <c r="BC66" s="11">
        <f>1309430.54051328/(10^3)</f>
        <v>1309.43054051328</v>
      </c>
      <c r="BD66" s="11">
        <f>1292377.49875488/(10^3)</f>
        <v>1292.37749875488</v>
      </c>
      <c r="BE66" s="11">
        <f>1328505.19870205/(10^3)</f>
        <v>1328.5051987020499</v>
      </c>
      <c r="BF66" s="11">
        <f>1351495.62329258/(10^3)</f>
        <v>1351.4956232925799</v>
      </c>
      <c r="BG66" s="11">
        <f>138361747.709803/(10^3)</f>
        <v>138361.74770980299</v>
      </c>
      <c r="BH66" s="11">
        <f>1366183.2515294/(10^3)</f>
        <v>1366.1832515294</v>
      </c>
      <c r="BI66" s="11">
        <f>1340744.29499016/(10^3)</f>
        <v>1340.7442949901601</v>
      </c>
      <c r="BJ66" s="11">
        <f>1354006.25411863/(10^3)</f>
        <v>1354.0062541186301</v>
      </c>
      <c r="BK66" s="11">
        <f>1406200.30377062/(10^3)</f>
        <v>1406.2003037706199</v>
      </c>
      <c r="BL66" s="11">
        <f>1405425.31675538/(10^3)</f>
        <v>1405.42531675538</v>
      </c>
      <c r="BM66" s="11">
        <f>14337.63456878/(10^3)</f>
        <v>14.33763456878</v>
      </c>
      <c r="BN66" s="11">
        <f>1481590.97120203/(10^3)</f>
        <v>1481.59097120203</v>
      </c>
      <c r="BO66" s="11">
        <f>1463773.9385235/(10^3)</f>
        <v>1463.7739385235</v>
      </c>
      <c r="BP66" s="11">
        <f>1530877.83077781/(10^3)</f>
        <v>1530.87783077781</v>
      </c>
      <c r="BQ66" s="11">
        <f>1554406.12045859/(10^3)</f>
        <v>1554.4061204585901</v>
      </c>
      <c r="BR66" s="11">
        <f>1549607.92979176/(10^3)</f>
        <v>1549.6079297917599</v>
      </c>
      <c r="BS66" s="11">
        <f>157038018.5529/(10^3)</f>
        <v>157038.0185529</v>
      </c>
      <c r="BT66" s="11">
        <f>1563860.67520691/(10^3)</f>
        <v>1563.8606752069099</v>
      </c>
      <c r="BU66" s="11">
        <f>1532683.35346977/(10^3)</f>
        <v>1532.6833534697698</v>
      </c>
      <c r="BV66" s="11">
        <f>1572059.61640923/(10^3)</f>
        <v>1572.0596164092301</v>
      </c>
      <c r="BW66" s="11">
        <f>1620155.35429949/(10^3)</f>
        <v>1620.15535429949</v>
      </c>
      <c r="BX66" s="11">
        <f>1668461.78621706/(10^3)</f>
        <v>1668.4617862170599</v>
      </c>
      <c r="BY66" s="11">
        <f>17320.5491153583/(10^3)</f>
        <v>17.3205491153583</v>
      </c>
      <c r="BZ66" s="11">
        <f>1732054.91153583/(10^3)</f>
        <v>1732.0549115358301</v>
      </c>
      <c r="CA66" s="11">
        <f>1717528.0046018/(10^3)</f>
        <v>1717.5280046018001</v>
      </c>
      <c r="CB66" s="11">
        <f>1756688.51531864/(10^3)</f>
        <v>1756.6885153186399</v>
      </c>
      <c r="CC66" s="12"/>
      <c r="CZ66" s="11">
        <v>1246.8408289031386</v>
      </c>
      <c r="DA66" s="11">
        <v>1256.3660763251034</v>
      </c>
      <c r="DB66" s="11">
        <v>1268.5724376890764</v>
      </c>
      <c r="DC66" s="11">
        <v>1344.6519579295666</v>
      </c>
      <c r="DD66" s="11">
        <v>1433.7634568780024</v>
      </c>
      <c r="DE66" s="11">
        <v>1732.0549115358347</v>
      </c>
      <c r="DG66" s="11">
        <v>1098.2372462591277</v>
      </c>
      <c r="DH66" s="11">
        <v>1247.8347095582542</v>
      </c>
      <c r="DI66" s="11">
        <v>1285.5197403358045</v>
      </c>
      <c r="DJ66" s="11">
        <v>1253.1555924961576</v>
      </c>
      <c r="DK66" s="11">
        <v>1383.6174770980299</v>
      </c>
      <c r="DL66" s="11">
        <v>1570.3801855289976</v>
      </c>
    </row>
    <row r="67" spans="4:116" ht="15.6" outlineLevel="1" x14ac:dyDescent="0.25">
      <c r="D67" s="10" t="s">
        <v>129</v>
      </c>
      <c r="E67" s="10" t="s">
        <v>47</v>
      </c>
      <c r="F67" s="10" t="s">
        <v>151</v>
      </c>
      <c r="G67" s="10" t="s">
        <v>182</v>
      </c>
      <c r="H67" s="62" t="str">
        <f t="shared" si="2"/>
        <v>San Jose (피합병)</v>
      </c>
      <c r="I67" s="11">
        <f>496373.431458853/(10^3)</f>
        <v>496.37343145885302</v>
      </c>
      <c r="J67" s="11">
        <f>519887.08655372/(10^3)</f>
        <v>519.88708655372</v>
      </c>
      <c r="K67" s="11">
        <f>53072916.0132736/(10^3)</f>
        <v>53072.9160132736</v>
      </c>
      <c r="L67" s="11">
        <f>536358.001959959/(10^3)</f>
        <v>536.3580019599591</v>
      </c>
      <c r="M67" s="11">
        <f>528486.750578026/(10^3)</f>
        <v>528.48675057802609</v>
      </c>
      <c r="N67" s="11">
        <f>530948.043852455/(10^3)</f>
        <v>530.94804385245493</v>
      </c>
      <c r="O67" s="11">
        <f>536815.24911119/(10^3)</f>
        <v>536.81524911118993</v>
      </c>
      <c r="P67" s="11">
        <f>547908.490360288/(10^3)</f>
        <v>547.90849036028794</v>
      </c>
      <c r="Q67" s="11">
        <f>5544.65752856519/(10^3)</f>
        <v>5.5446575285651898</v>
      </c>
      <c r="R67" s="11">
        <f>557460.512035505/(10^3)</f>
        <v>557.46051203550508</v>
      </c>
      <c r="S67" s="11">
        <f>566138.663662481/(10^3)</f>
        <v>566.13866366248101</v>
      </c>
      <c r="T67" s="11">
        <f>583356.104830108/(10^3)</f>
        <v>583.35610483010805</v>
      </c>
      <c r="U67" s="11">
        <f>578063.619554611/(10^3)</f>
        <v>578.06361955461102</v>
      </c>
      <c r="V67" s="11">
        <f>572475.672207748/(10^3)</f>
        <v>572.47567220774806</v>
      </c>
      <c r="W67" s="11">
        <f>56373847.7919678/(10^3)</f>
        <v>56373.847791967804</v>
      </c>
      <c r="X67" s="11">
        <f>572778.285069689/(10^3)</f>
        <v>572.77828506968899</v>
      </c>
      <c r="Y67" s="11">
        <f>596848.772278349/(10^3)</f>
        <v>596.84877227834909</v>
      </c>
      <c r="Z67" s="11">
        <f>625723.050208269/(10^3)</f>
        <v>625.723050208269</v>
      </c>
      <c r="AA67" s="11">
        <f>632795.135037018/(10^3)</f>
        <v>632.79513503701799</v>
      </c>
      <c r="AB67" s="11">
        <f>623717.575537874/(10^3)</f>
        <v>623.71757553787404</v>
      </c>
      <c r="AC67" s="11">
        <f>6470.92323869222/(10^3)</f>
        <v>6.4709232386922206</v>
      </c>
      <c r="AD67" s="11">
        <f>662452.554038011/(10^3)</f>
        <v>662.45255403801104</v>
      </c>
      <c r="AE67" s="11">
        <f>652828.925835101/(10^3)</f>
        <v>652.82892583510102</v>
      </c>
      <c r="AF67" s="11">
        <f>680399.796645682/(10^3)</f>
        <v>680.39979664568193</v>
      </c>
      <c r="AG67" s="11">
        <f>679725.169193751/(10^3)</f>
        <v>679.72516919375096</v>
      </c>
      <c r="AH67" s="11">
        <f>677495.897895242/(10^3)</f>
        <v>677.49589789524202</v>
      </c>
      <c r="AI67" s="11">
        <f>67498443.4075915/(10^3)</f>
        <v>67498.443407591505</v>
      </c>
      <c r="AJ67" s="11">
        <f>692503.131118774/(10^3)</f>
        <v>692.50313111877392</v>
      </c>
      <c r="AK67" s="11">
        <f>706123.963270085/(10^3)</f>
        <v>706.12396327008503</v>
      </c>
      <c r="AL67" s="11">
        <f>700752.11410727/(10^3)</f>
        <v>700.75211410727002</v>
      </c>
      <c r="AM67" s="11">
        <f>702753.113854684/(10^3)</f>
        <v>702.7531138546841</v>
      </c>
      <c r="AN67" s="11">
        <f>696927.436844349/(10^3)</f>
        <v>696.92743684434902</v>
      </c>
      <c r="AO67" s="11">
        <f>7220.11568917827/(10^3)</f>
        <v>7.2201156891782698</v>
      </c>
      <c r="AP67" s="11">
        <f>713899.348321631/(10^3)</f>
        <v>713.89934832163101</v>
      </c>
      <c r="AQ67" s="11">
        <f>700939.097680046/(10^3)</f>
        <v>700.93909768004596</v>
      </c>
      <c r="AR67" s="11">
        <f>695667.461524377/(10^3)</f>
        <v>695.66746152437702</v>
      </c>
      <c r="AS67" s="11">
        <f>720652.711273314/(10^3)</f>
        <v>720.65271127331391</v>
      </c>
      <c r="AT67" s="11">
        <f>723403.143293269/(10^3)</f>
        <v>723.40314329326895</v>
      </c>
      <c r="AU67" s="11">
        <f>73959519.9881814/(10^3)</f>
        <v>73959.519988181404</v>
      </c>
      <c r="AV67" s="11">
        <f>726217.534044209/(10^3)</f>
        <v>726.21753404420906</v>
      </c>
      <c r="AW67" s="11">
        <f>718389.005210589/(10^3)</f>
        <v>718.38900521058906</v>
      </c>
      <c r="AX67" s="11">
        <f>717819.763609798/(10^3)</f>
        <v>717.81976360979809</v>
      </c>
      <c r="AY67" s="11">
        <f>713463.180140645/(10^3)</f>
        <v>713.46318014064502</v>
      </c>
      <c r="AZ67" s="11">
        <f>738655.98638092/(10^3)</f>
        <v>738.65598638092001</v>
      </c>
      <c r="BA67" s="11">
        <f>7738.9007489208/(10^3)</f>
        <v>7.7389007489208002</v>
      </c>
      <c r="BB67" s="11">
        <f>798486.28663238/(10^3)</f>
        <v>798.48628663238003</v>
      </c>
      <c r="BC67" s="11">
        <f>784633.503104466/(10^3)</f>
        <v>784.63350310446606</v>
      </c>
      <c r="BD67" s="11">
        <f>799133.706637053/(10^3)</f>
        <v>799.13370663705302</v>
      </c>
      <c r="BE67" s="11">
        <f>837693.820003035/(10^3)</f>
        <v>837.69382000303506</v>
      </c>
      <c r="BF67" s="11">
        <f>871160.958538003/(10^3)</f>
        <v>871.160958538003</v>
      </c>
      <c r="BG67" s="11">
        <f>91015411.4071487/(10^3)</f>
        <v>91015.411407148698</v>
      </c>
      <c r="BH67" s="11">
        <f>917268.473315315/(10^3)</f>
        <v>917.26847331531496</v>
      </c>
      <c r="BI67" s="11">
        <f>909110.779762412/(10^3)</f>
        <v>909.11077976241199</v>
      </c>
      <c r="BJ67" s="11">
        <f>946819.457260856/(10^3)</f>
        <v>946.8194572608561</v>
      </c>
      <c r="BK67" s="11">
        <f>958532.8403486/(10^3)</f>
        <v>958.53284034859996</v>
      </c>
      <c r="BL67" s="11">
        <f>964894.431620681/(10^3)</f>
        <v>964.89443162068096</v>
      </c>
      <c r="BM67" s="11">
        <f>10097.2474320292/(10^3)</f>
        <v>10.097247432029201</v>
      </c>
      <c r="BN67" s="11">
        <f>1033941.61472512/(10^3)</f>
        <v>1033.94161472512</v>
      </c>
      <c r="BO67" s="11">
        <f>1079497.56805543/(10^3)</f>
        <v>1079.4975680554301</v>
      </c>
      <c r="BP67" s="11">
        <f>1093497.65734269/(10^3)</f>
        <v>1093.49765734269</v>
      </c>
      <c r="BQ67" s="11">
        <f>1090869.97084814/(10^3)</f>
        <v>1090.8699708481402</v>
      </c>
      <c r="BR67" s="11">
        <f>1132408.96206665/(10^3)</f>
        <v>1132.40896206665</v>
      </c>
      <c r="BS67" s="11">
        <f>111519446.339679/(10^3)</f>
        <v>111519.44633967901</v>
      </c>
      <c r="BT67" s="11">
        <f>1124192.35326784/(10^3)</f>
        <v>1124.1923532678402</v>
      </c>
      <c r="BU67" s="11">
        <f>1150162.74029471/(10^3)</f>
        <v>1150.1627402947101</v>
      </c>
      <c r="BV67" s="11">
        <f>1184767.53186351/(10^3)</f>
        <v>1184.7675318635099</v>
      </c>
      <c r="BW67" s="11">
        <f>1235716.24526546/(10^3)</f>
        <v>1235.7162452654602</v>
      </c>
      <c r="BX67" s="11">
        <f>1236526.03435774/(10^3)</f>
        <v>1236.5260343577402</v>
      </c>
      <c r="BY67" s="11">
        <f>12905.0796707899/(10^3)</f>
        <v>12.905079670789901</v>
      </c>
      <c r="BZ67" s="11">
        <f>1290507.96707899/(10^3)</f>
        <v>1290.5079670789901</v>
      </c>
      <c r="CA67" s="11">
        <f>1297293.85750428/(10^3)</f>
        <v>1297.2938575042801</v>
      </c>
      <c r="CB67" s="11">
        <f>1301651.48118997/(10^3)</f>
        <v>1301.6514811899699</v>
      </c>
      <c r="CC67" s="12"/>
      <c r="CZ67" s="11">
        <v>554.46575285651909</v>
      </c>
      <c r="DA67" s="11">
        <v>647.09232386922235</v>
      </c>
      <c r="DB67" s="11">
        <v>722.01156891782728</v>
      </c>
      <c r="DC67" s="11">
        <v>773.89007489207984</v>
      </c>
      <c r="DD67" s="11">
        <v>1009.7247432029196</v>
      </c>
      <c r="DE67" s="11">
        <v>1290.5079670789914</v>
      </c>
      <c r="DG67" s="11">
        <v>530.72916013273618</v>
      </c>
      <c r="DH67" s="11">
        <v>563.73847791967762</v>
      </c>
      <c r="DI67" s="11">
        <v>674.98443407591492</v>
      </c>
      <c r="DJ67" s="11">
        <v>739.59519988181421</v>
      </c>
      <c r="DK67" s="11">
        <v>910.15411407148667</v>
      </c>
      <c r="DL67" s="11">
        <v>1115.1944633967862</v>
      </c>
    </row>
    <row r="68" spans="4:116" ht="15.6" outlineLevel="1" x14ac:dyDescent="0.25">
      <c r="D68" s="10" t="s">
        <v>130</v>
      </c>
      <c r="E68" s="10" t="s">
        <v>50</v>
      </c>
      <c r="F68" s="10" t="s">
        <v>151</v>
      </c>
      <c r="G68" s="10" t="s">
        <v>182</v>
      </c>
      <c r="H68" s="62" t="str">
        <f t="shared" si="2"/>
        <v>Boise (피합병)</v>
      </c>
      <c r="I68" s="11">
        <f>377881.854265887/(10^3)</f>
        <v>377.881854265887</v>
      </c>
      <c r="J68" s="11">
        <f>387629.298091571/(10^3)</f>
        <v>387.629298091571</v>
      </c>
      <c r="K68" s="11">
        <f>40290272.6199312/(10^3)</f>
        <v>40290.272619931202</v>
      </c>
      <c r="L68" s="11">
        <f>395978.097474519/(10^3)</f>
        <v>395.97809747451896</v>
      </c>
      <c r="M68" s="11">
        <f>411193.984948918/(10^3)</f>
        <v>411.193984948918</v>
      </c>
      <c r="N68" s="11">
        <f>428341.187073595/(10^3)</f>
        <v>428.34118707359499</v>
      </c>
      <c r="O68" s="11">
        <f>445405.771715163/(10^3)</f>
        <v>445.40577171516304</v>
      </c>
      <c r="P68" s="11">
        <f>466516.062370895/(10^3)</f>
        <v>466.51606237089499</v>
      </c>
      <c r="Q68" s="11">
        <f>4727.31279784064/(10^3)</f>
        <v>4.7273127978406402</v>
      </c>
      <c r="R68" s="11">
        <f>487451.314816577/(10^3)</f>
        <v>487.451314816577</v>
      </c>
      <c r="S68" s="11">
        <f>478469.172450545/(10^3)</f>
        <v>478.46917245054499</v>
      </c>
      <c r="T68" s="11">
        <f>469013.939150073/(10^3)</f>
        <v>469.01393915007299</v>
      </c>
      <c r="U68" s="11">
        <f>485928.854909735/(10^3)</f>
        <v>485.92885490973498</v>
      </c>
      <c r="V68" s="11">
        <f>489519.924900658/(10^3)</f>
        <v>489.519924900658</v>
      </c>
      <c r="W68" s="11">
        <f>48271773.7593008/(10^3)</f>
        <v>48271.773759300799</v>
      </c>
      <c r="X68" s="11">
        <f>498606.271925874/(10^3)</f>
        <v>498.60627192587401</v>
      </c>
      <c r="Y68" s="11">
        <f>509177.393890717/(10^3)</f>
        <v>509.17739389071698</v>
      </c>
      <c r="Z68" s="11">
        <f>502536.256635913/(10^3)</f>
        <v>502.53625663591299</v>
      </c>
      <c r="AA68" s="11">
        <f>506798.609636417/(10^3)</f>
        <v>506.79860963641698</v>
      </c>
      <c r="AB68" s="11">
        <f>506218.094508154/(10^3)</f>
        <v>506.21809450815402</v>
      </c>
      <c r="AC68" s="11">
        <f>5266.61020343708/(10^3)</f>
        <v>5.2666102034370796</v>
      </c>
      <c r="AD68" s="11">
        <f>516839.732596002/(10^3)</f>
        <v>516.83973259600202</v>
      </c>
      <c r="AE68" s="11">
        <f>527729.085771487/(10^3)</f>
        <v>527.72908577148701</v>
      </c>
      <c r="AF68" s="11">
        <f>533882.803813664/(10^3)</f>
        <v>533.88280381366405</v>
      </c>
      <c r="AG68" s="11">
        <f>523372.758074562/(10^3)</f>
        <v>523.37275807456206</v>
      </c>
      <c r="AH68" s="11">
        <f>522881.416564196/(10^3)</f>
        <v>522.881416564196</v>
      </c>
      <c r="AI68" s="11">
        <f>53453261.0466828/(10^3)</f>
        <v>53453.261046682797</v>
      </c>
      <c r="AJ68" s="11">
        <f>533469.542638523/(10^3)</f>
        <v>533.46954263852308</v>
      </c>
      <c r="AK68" s="11">
        <f>529583.02503873/(10^3)</f>
        <v>529.58302503873006</v>
      </c>
      <c r="AL68" s="11">
        <f>521176.132357633/(10^3)</f>
        <v>521.17613235763292</v>
      </c>
      <c r="AM68" s="11">
        <f>514305.086172653/(10^3)</f>
        <v>514.30508617265298</v>
      </c>
      <c r="AN68" s="11">
        <f>504191.848583005/(10^3)</f>
        <v>504.19184858300503</v>
      </c>
      <c r="AO68" s="11">
        <f>5172.05909140158/(10^3)</f>
        <v>5.1720590914015805</v>
      </c>
      <c r="AP68" s="11">
        <f>527936.18562063/(10^3)</f>
        <v>527.93618562063</v>
      </c>
      <c r="AQ68" s="11">
        <f>552543.101117766/(10^3)</f>
        <v>552.54310111776601</v>
      </c>
      <c r="AR68" s="11">
        <f>563036.090046027/(10^3)</f>
        <v>563.03609004602697</v>
      </c>
      <c r="AS68" s="11">
        <f>582660.383882184/(10^3)</f>
        <v>582.66038388218408</v>
      </c>
      <c r="AT68" s="11">
        <f>577474.966988985/(10^3)</f>
        <v>577.47496698898499</v>
      </c>
      <c r="AU68" s="11">
        <f>57625818.4976065/(10^3)</f>
        <v>57625.818497606502</v>
      </c>
      <c r="AV68" s="11">
        <f>567214.478423407/(10^3)</f>
        <v>567.21447842340694</v>
      </c>
      <c r="AW68" s="11">
        <f>589657.701249709/(10^3)</f>
        <v>589.65770124970902</v>
      </c>
      <c r="AX68" s="11">
        <f>597592.660262128/(10^3)</f>
        <v>597.59266026212799</v>
      </c>
      <c r="AY68" s="11">
        <f>586140.531812581/(10^3)</f>
        <v>586.140531812581</v>
      </c>
      <c r="AZ68" s="11">
        <f>603008.215481621/(10^3)</f>
        <v>603.00821548162094</v>
      </c>
      <c r="BA68" s="11">
        <f>6182.17688234513/(10^3)</f>
        <v>6.1821768823451304</v>
      </c>
      <c r="BB68" s="11">
        <f>634142.54771549/(10^3)</f>
        <v>634.14254771548997</v>
      </c>
      <c r="BC68" s="11">
        <f>636773.722402039/(10^3)</f>
        <v>636.77372240203897</v>
      </c>
      <c r="BD68" s="11">
        <f>624079.366574081/(10^3)</f>
        <v>624.07936657408106</v>
      </c>
      <c r="BE68" s="11">
        <f>631664.537489388/(10^3)</f>
        <v>631.66453748938807</v>
      </c>
      <c r="BF68" s="11">
        <f>649984.086641632/(10^3)</f>
        <v>649.98408664163208</v>
      </c>
      <c r="BG68" s="11">
        <f>64428326.1515804/(10^3)</f>
        <v>64428.326151580404</v>
      </c>
      <c r="BH68" s="11">
        <f>661489.655638785/(10^3)</f>
        <v>661.48965563878494</v>
      </c>
      <c r="BI68" s="11">
        <f>689403.171834938/(10^3)</f>
        <v>689.40317183493801</v>
      </c>
      <c r="BJ68" s="11">
        <f>716692.604038212/(10^3)</f>
        <v>716.69260403821204</v>
      </c>
      <c r="BK68" s="11">
        <f>732297.246491617/(10^3)</f>
        <v>732.2972464916171</v>
      </c>
      <c r="BL68" s="11">
        <f>753706.517817544/(10^3)</f>
        <v>753.70651781754407</v>
      </c>
      <c r="BM68" s="11">
        <f>7405.64429777599/(10^3)</f>
        <v>7.4056442977759902</v>
      </c>
      <c r="BN68" s="11">
        <f>740936.550915981/(10^3)</f>
        <v>740.93655091598089</v>
      </c>
      <c r="BO68" s="11">
        <f>760860.721037196/(10^3)</f>
        <v>760.86072103719596</v>
      </c>
      <c r="BP68" s="11">
        <f>754031.569221855/(10^3)</f>
        <v>754.03156922185508</v>
      </c>
      <c r="BQ68" s="11">
        <f>761836.03921594/(10^3)</f>
        <v>761.8360392159401</v>
      </c>
      <c r="BR68" s="11">
        <f>753601.769269868/(10^3)</f>
        <v>753.60176926986799</v>
      </c>
      <c r="BS68" s="11">
        <f>77391073.9252073/(10^3)</f>
        <v>77391.073925207296</v>
      </c>
      <c r="BT68" s="11">
        <f>760638.625709072/(10^3)</f>
        <v>760.63862570907202</v>
      </c>
      <c r="BU68" s="11">
        <f>789067.244234696/(10^3)</f>
        <v>789.06724423469598</v>
      </c>
      <c r="BV68" s="11">
        <f>783861.644901277/(10^3)</f>
        <v>783.86164490127703</v>
      </c>
      <c r="BW68" s="11">
        <f>775432.345774845/(10^3)</f>
        <v>775.43234577484498</v>
      </c>
      <c r="BX68" s="11">
        <f>805455.984095317/(10^3)</f>
        <v>805.45598409531692</v>
      </c>
      <c r="BY68" s="11">
        <f>8274.56649557779/(10^3)</f>
        <v>8.2745664955777904</v>
      </c>
      <c r="BZ68" s="11">
        <f>827456.649557779/(10^3)</f>
        <v>827.45664955777897</v>
      </c>
      <c r="CA68" s="11">
        <f>828148.816983339/(10^3)</f>
        <v>828.14881698333897</v>
      </c>
      <c r="CB68" s="11">
        <f>830391.777658393/(10^3)</f>
        <v>830.39177765839304</v>
      </c>
      <c r="CC68" s="12"/>
      <c r="CZ68" s="11">
        <v>472.73127978406444</v>
      </c>
      <c r="DA68" s="11">
        <v>526.6610203437084</v>
      </c>
      <c r="DB68" s="11">
        <v>517.20590914015816</v>
      </c>
      <c r="DC68" s="11">
        <v>618.21768823451271</v>
      </c>
      <c r="DD68" s="11">
        <v>740.564429777599</v>
      </c>
      <c r="DE68" s="11">
        <v>827.45664955777931</v>
      </c>
      <c r="DG68" s="11">
        <v>402.90272619931164</v>
      </c>
      <c r="DH68" s="11">
        <v>482.71773759300783</v>
      </c>
      <c r="DI68" s="11">
        <v>534.53261046682837</v>
      </c>
      <c r="DJ68" s="11">
        <v>576.25818497606474</v>
      </c>
      <c r="DK68" s="11">
        <v>644.2832615158037</v>
      </c>
      <c r="DL68" s="11">
        <v>773.91073925207331</v>
      </c>
    </row>
    <row r="69" spans="4:116" ht="15.6" outlineLevel="1" x14ac:dyDescent="0.25">
      <c r="D69" s="10" t="s">
        <v>131</v>
      </c>
      <c r="E69" s="10" t="s">
        <v>91</v>
      </c>
      <c r="F69" s="10" t="s">
        <v>151</v>
      </c>
      <c r="G69" s="10" t="s">
        <v>182</v>
      </c>
      <c r="H69" s="62" t="str">
        <f t="shared" si="2"/>
        <v>Carson City (피합병)</v>
      </c>
      <c r="I69" s="11">
        <f>570065.080866076/(10^3)</f>
        <v>570.06508086607607</v>
      </c>
      <c r="J69" s="11">
        <f>590885.58922162/(10^3)</f>
        <v>590.88558922161997</v>
      </c>
      <c r="K69" s="11">
        <f>60633941.9304736/(10^3)</f>
        <v>60633.9419304736</v>
      </c>
      <c r="L69" s="11">
        <f>599978.766282806/(10^3)</f>
        <v>599.97876628280608</v>
      </c>
      <c r="M69" s="11">
        <f>626885.138911295/(10^3)</f>
        <v>626.88513891129503</v>
      </c>
      <c r="N69" s="11">
        <f>623441.159001677/(10^3)</f>
        <v>623.44115900167697</v>
      </c>
      <c r="O69" s="11">
        <f>615031.171298167/(10^3)</f>
        <v>615.03117129816701</v>
      </c>
      <c r="P69" s="11">
        <f>617959.367514299/(10^3)</f>
        <v>617.95936751429895</v>
      </c>
      <c r="Q69" s="11">
        <f>6146.65448889236/(10^3)</f>
        <v>6.1466544888923602</v>
      </c>
      <c r="R69" s="11">
        <f>605230.280234669/(10^3)</f>
        <v>605.23028023466895</v>
      </c>
      <c r="S69" s="11">
        <f>617301.496025712/(10^3)</f>
        <v>617.30149602571203</v>
      </c>
      <c r="T69" s="11">
        <f>608422.0469008/(10^3)</f>
        <v>608.42204690079996</v>
      </c>
      <c r="U69" s="11">
        <f>600416.105455839/(10^3)</f>
        <v>600.41610545583899</v>
      </c>
      <c r="V69" s="11">
        <f>589216.32977537/(10^3)</f>
        <v>589.21632977537001</v>
      </c>
      <c r="W69" s="11">
        <f>58572948.7195951/(10^3)</f>
        <v>58572.948719595101</v>
      </c>
      <c r="X69" s="11">
        <f>581517.399820402/(10^3)</f>
        <v>581.51739982040203</v>
      </c>
      <c r="Y69" s="11">
        <f>574352.820077753/(10^3)</f>
        <v>574.35282007775299</v>
      </c>
      <c r="Z69" s="11">
        <f>587371.556964183/(10^3)</f>
        <v>587.37155696418301</v>
      </c>
      <c r="AA69" s="11">
        <f>578125.781068474/(10^3)</f>
        <v>578.125781068474</v>
      </c>
      <c r="AB69" s="11">
        <f>574896.420660425/(10^3)</f>
        <v>574.89642066042495</v>
      </c>
      <c r="AC69" s="11">
        <f>5758.20502345933/(10^3)</f>
        <v>5.7582050234593298</v>
      </c>
      <c r="AD69" s="11">
        <f>572550.144714235/(10^3)</f>
        <v>572.55014471423499</v>
      </c>
      <c r="AE69" s="11">
        <f>573955.67030387/(10^3)</f>
        <v>573.95567030386997</v>
      </c>
      <c r="AF69" s="11">
        <f>577820.134606055/(10^3)</f>
        <v>577.82013460605503</v>
      </c>
      <c r="AG69" s="11">
        <f>579347.810023657/(10^3)</f>
        <v>579.34781002365708</v>
      </c>
      <c r="AH69" s="11">
        <f>586349.657775622/(10^3)</f>
        <v>586.34965777562195</v>
      </c>
      <c r="AI69" s="11">
        <f>59353695.521787/(10^3)</f>
        <v>59353.695521787005</v>
      </c>
      <c r="AJ69" s="11">
        <f>587523.038773194/(10^3)</f>
        <v>587.523038773194</v>
      </c>
      <c r="AK69" s="11">
        <f>577328.629840678/(10^3)</f>
        <v>577.32862984067799</v>
      </c>
      <c r="AL69" s="11">
        <f>583712.613178819/(10^3)</f>
        <v>583.71261317881897</v>
      </c>
      <c r="AM69" s="11">
        <f>610876.434499159/(10^3)</f>
        <v>610.87643449915902</v>
      </c>
      <c r="AN69" s="11">
        <f>615209.697560623/(10^3)</f>
        <v>615.209697560623</v>
      </c>
      <c r="AO69" s="11">
        <f>6402.27211155519/(10^3)</f>
        <v>6.4022721115551899</v>
      </c>
      <c r="AP69" s="11">
        <f>638101.726837835/(10^3)</f>
        <v>638.10172683783503</v>
      </c>
      <c r="AQ69" s="11">
        <f>626052.542141894/(10^3)</f>
        <v>626.05254214189404</v>
      </c>
      <c r="AR69" s="11">
        <f>640106.802642924/(10^3)</f>
        <v>640.10680264292398</v>
      </c>
      <c r="AS69" s="11">
        <f>632954.150260983/(10^3)</f>
        <v>632.95415026098306</v>
      </c>
      <c r="AT69" s="11">
        <f>652507.451124289/(10^3)</f>
        <v>652.50745112428899</v>
      </c>
      <c r="AU69" s="11">
        <f>64482550.0037199/(10^3)</f>
        <v>64482.550003719902</v>
      </c>
      <c r="AV69" s="11">
        <f>652656.506733574/(10^3)</f>
        <v>652.65650673357402</v>
      </c>
      <c r="AW69" s="11">
        <f>640693.345714623/(10^3)</f>
        <v>640.69334571462298</v>
      </c>
      <c r="AX69" s="11">
        <f>633619.065128207/(10^3)</f>
        <v>633.61906512820701</v>
      </c>
      <c r="AY69" s="11">
        <f>631835.147684241/(10^3)</f>
        <v>631.83514768424095</v>
      </c>
      <c r="AZ69" s="11">
        <f>642990.465146096/(10^3)</f>
        <v>642.99046514609597</v>
      </c>
      <c r="BA69" s="11">
        <f>6322.15212023307/(10^3)</f>
        <v>6.3221521202330697</v>
      </c>
      <c r="BB69" s="11">
        <f>632780.252204114/(10^3)</f>
        <v>632.78025220411394</v>
      </c>
      <c r="BC69" s="11">
        <f>637640.452917839/(10^3)</f>
        <v>637.64045291783907</v>
      </c>
      <c r="BD69" s="11">
        <f>629866.471955281/(10^3)</f>
        <v>629.86647195528099</v>
      </c>
      <c r="BE69" s="11">
        <f>644782.02996332/(10^3)</f>
        <v>644.78202996332004</v>
      </c>
      <c r="BF69" s="11">
        <f>651021.041609634/(10^3)</f>
        <v>651.02104160963393</v>
      </c>
      <c r="BG69" s="11">
        <f>66796890.0631963/(10^3)</f>
        <v>66796.890063196304</v>
      </c>
      <c r="BH69" s="11">
        <f>666928.46798895/(10^3)</f>
        <v>666.92846798894993</v>
      </c>
      <c r="BI69" s="11">
        <f>700060.615027343/(10^3)</f>
        <v>700.06061502734303</v>
      </c>
      <c r="BJ69" s="11">
        <f>715832.807943285/(10^3)</f>
        <v>715.83280794328493</v>
      </c>
      <c r="BK69" s="11">
        <f>719553.531960675/(10^3)</f>
        <v>719.55353196067506</v>
      </c>
      <c r="BL69" s="11">
        <f>725275.481022521/(10^3)</f>
        <v>725.27548102252103</v>
      </c>
      <c r="BM69" s="11">
        <f>7154.18823636331/(10^3)</f>
        <v>7.1541882363633107</v>
      </c>
      <c r="BN69" s="11">
        <f>738717.097533684/(10^3)</f>
        <v>738.71709753368395</v>
      </c>
      <c r="BO69" s="11">
        <f>752694.539611756/(10^3)</f>
        <v>752.694539611756</v>
      </c>
      <c r="BP69" s="11">
        <f>783173.939368653/(10^3)</f>
        <v>783.17393936865301</v>
      </c>
      <c r="BQ69" s="11">
        <f>788168.951713738/(10^3)</f>
        <v>788.16895171373801</v>
      </c>
      <c r="BR69" s="11">
        <f>825397.478416009/(10^3)</f>
        <v>825.39747841600899</v>
      </c>
      <c r="BS69" s="11">
        <f>81133835.523084/(10^3)</f>
        <v>81133.835523083995</v>
      </c>
      <c r="BT69" s="11">
        <f>809527.923669642/(10^3)</f>
        <v>809.52792366964195</v>
      </c>
      <c r="BU69" s="11">
        <f>824931.477177527/(10^3)</f>
        <v>824.93147717752709</v>
      </c>
      <c r="BV69" s="11">
        <f>832564.324243452/(10^3)</f>
        <v>832.56432424345201</v>
      </c>
      <c r="BW69" s="11">
        <f>855896.522609978/(10^3)</f>
        <v>855.89652260997798</v>
      </c>
      <c r="BX69" s="11">
        <f>847895.175896729/(10^3)</f>
        <v>847.89517589672903</v>
      </c>
      <c r="BY69" s="11">
        <f>8347.58385283892/(10^3)</f>
        <v>8.3475838528389197</v>
      </c>
      <c r="BZ69" s="11">
        <f>834758.385283892/(10^3)</f>
        <v>834.75838528389204</v>
      </c>
      <c r="CA69" s="11">
        <f>867065.132352844/(10^3)</f>
        <v>867.06513235284399</v>
      </c>
      <c r="CB69" s="11">
        <f>854261.104311113/(10^3)</f>
        <v>854.26110431111306</v>
      </c>
      <c r="CC69" s="12"/>
      <c r="CZ69" s="11">
        <v>614.66544888923556</v>
      </c>
      <c r="DA69" s="11">
        <v>575.82050234593351</v>
      </c>
      <c r="DB69" s="11">
        <v>640.2272111555194</v>
      </c>
      <c r="DC69" s="11">
        <v>632.21521202330666</v>
      </c>
      <c r="DD69" s="11">
        <v>715.41882363633067</v>
      </c>
      <c r="DE69" s="11">
        <v>834.75838528389204</v>
      </c>
      <c r="DG69" s="11">
        <v>606.33941930473623</v>
      </c>
      <c r="DH69" s="11">
        <v>585.72948719595081</v>
      </c>
      <c r="DI69" s="11">
        <v>593.53695521786949</v>
      </c>
      <c r="DJ69" s="11">
        <v>644.8255000371995</v>
      </c>
      <c r="DK69" s="11">
        <v>667.96890063196292</v>
      </c>
      <c r="DL69" s="11">
        <v>811.33835523084042</v>
      </c>
    </row>
    <row r="70" spans="4:116" ht="15.6" outlineLevel="1" x14ac:dyDescent="0.25">
      <c r="D70" s="10" t="s">
        <v>132</v>
      </c>
      <c r="E70" s="10" t="s">
        <v>91</v>
      </c>
      <c r="F70" s="10" t="s">
        <v>151</v>
      </c>
      <c r="G70" s="10" t="s">
        <v>182</v>
      </c>
      <c r="H70" s="62" t="str">
        <f t="shared" si="2"/>
        <v>Las Vegas (피합병)</v>
      </c>
      <c r="I70" s="11">
        <f>725847.783419435/(10^3)</f>
        <v>725.84778341943502</v>
      </c>
      <c r="J70" s="11">
        <f>721501.404357639/(10^3)</f>
        <v>721.50140435763899</v>
      </c>
      <c r="K70" s="11">
        <f>75283870.2678757/(10^3)</f>
        <v>75283.870267875696</v>
      </c>
      <c r="L70" s="11">
        <f>747241.769683516/(10^3)</f>
        <v>747.24176968351605</v>
      </c>
      <c r="M70" s="11">
        <f>736121.109455741/(10^3)</f>
        <v>736.12110945574102</v>
      </c>
      <c r="N70" s="11">
        <f>757419.539284649/(10^3)</f>
        <v>757.41953928464898</v>
      </c>
      <c r="O70" s="11">
        <f>764291.737885081/(10^3)</f>
        <v>764.29173788508092</v>
      </c>
      <c r="P70" s="11">
        <f>790257.016762639/(10^3)</f>
        <v>790.25701676263907</v>
      </c>
      <c r="Q70" s="11">
        <f>8131.90371127731/(10^3)</f>
        <v>8.1319037112773103</v>
      </c>
      <c r="R70" s="11">
        <f>816277.018337396/(10^3)</f>
        <v>816.27701833739593</v>
      </c>
      <c r="S70" s="11">
        <f>840736.672934799/(10^3)</f>
        <v>840.736672934799</v>
      </c>
      <c r="T70" s="11">
        <f>880965.601082579/(10^3)</f>
        <v>880.96560108257904</v>
      </c>
      <c r="U70" s="11">
        <f>877018.770334778/(10^3)</f>
        <v>877.01877033477797</v>
      </c>
      <c r="V70" s="11">
        <f>873256.859722462/(10^3)</f>
        <v>873.25685972246197</v>
      </c>
      <c r="W70" s="11">
        <f>87076061.4665601/(10^3)</f>
        <v>87076.061466560102</v>
      </c>
      <c r="X70" s="11">
        <f>858977.643368907/(10^3)</f>
        <v>858.97764336890702</v>
      </c>
      <c r="Y70" s="11">
        <f>854630.082943835/(10^3)</f>
        <v>854.63008294383496</v>
      </c>
      <c r="Z70" s="11">
        <f>845053.944402725/(10^3)</f>
        <v>845.05394440272494</v>
      </c>
      <c r="AA70" s="11">
        <f>841849.97081789/(10^3)</f>
        <v>841.84997081789004</v>
      </c>
      <c r="AB70" s="11">
        <f>844415.90979581/(10^3)</f>
        <v>844.41590979580997</v>
      </c>
      <c r="AC70" s="11">
        <f>8394.6268904199/(10^3)</f>
        <v>8.3946268904199002</v>
      </c>
      <c r="AD70" s="11">
        <f>830638.03713635/(10^3)</f>
        <v>830.63803713634991</v>
      </c>
      <c r="AE70" s="11">
        <f>816017.280898722/(10^3)</f>
        <v>816.01728089872199</v>
      </c>
      <c r="AF70" s="11">
        <f>805529.131488502/(10^3)</f>
        <v>805.529131488502</v>
      </c>
      <c r="AG70" s="11">
        <f>802453.244224742/(10^3)</f>
        <v>802.45324422474209</v>
      </c>
      <c r="AH70" s="11">
        <f>809760.420938857/(10^3)</f>
        <v>809.76042093885701</v>
      </c>
      <c r="AI70" s="11">
        <f>79950582.9056903/(10^3)</f>
        <v>79950.582905690302</v>
      </c>
      <c r="AJ70" s="11">
        <f>788202.667883344/(10^3)</f>
        <v>788.20266788334402</v>
      </c>
      <c r="AK70" s="11">
        <f>789263.302727234/(10^3)</f>
        <v>789.26330272723396</v>
      </c>
      <c r="AL70" s="11">
        <f>792646.978964474/(10^3)</f>
        <v>792.6469789644741</v>
      </c>
      <c r="AM70" s="11">
        <f>803040.501543578/(10^3)</f>
        <v>803.04050154357799</v>
      </c>
      <c r="AN70" s="11">
        <f>804799.550220232/(10^3)</f>
        <v>804.79955022023194</v>
      </c>
      <c r="AO70" s="11">
        <f>7919.80556574635/(10^3)</f>
        <v>7.9198055657463504</v>
      </c>
      <c r="AP70" s="11">
        <f>788741.154527852/(10^3)</f>
        <v>788.74115452785202</v>
      </c>
      <c r="AQ70" s="11">
        <f>814152.304387668/(10^3)</f>
        <v>814.15230438766798</v>
      </c>
      <c r="AR70" s="11">
        <f>845276.694505396/(10^3)</f>
        <v>845.27669450539599</v>
      </c>
      <c r="AS70" s="11">
        <f>843375.359192266/(10^3)</f>
        <v>843.37535919226605</v>
      </c>
      <c r="AT70" s="11">
        <f>833930.183656025/(10^3)</f>
        <v>833.93018365602495</v>
      </c>
      <c r="AU70" s="11">
        <f>82807888.3378352/(10^3)</f>
        <v>82807.888337835189</v>
      </c>
      <c r="AV70" s="11">
        <f>821157.218104839/(10^3)</f>
        <v>821.15721810483899</v>
      </c>
      <c r="AW70" s="11">
        <f>814340.936379369/(10^3)</f>
        <v>814.34093637936905</v>
      </c>
      <c r="AX70" s="11">
        <f>822950.416818818/(10^3)</f>
        <v>822.95041681881798</v>
      </c>
      <c r="AY70" s="11">
        <f>830083.050922268/(10^3)</f>
        <v>830.08305092226794</v>
      </c>
      <c r="AZ70" s="11">
        <f>833967.723587687/(10^3)</f>
        <v>833.96772358768703</v>
      </c>
      <c r="BA70" s="11">
        <f>8561.63348057598/(10^3)</f>
        <v>8.5616334805759795</v>
      </c>
      <c r="BB70" s="11">
        <f>864531.520755946/(10^3)</f>
        <v>864.53152075594608</v>
      </c>
      <c r="BC70" s="11">
        <f>864454.136968584/(10^3)</f>
        <v>864.45413696858407</v>
      </c>
      <c r="BD70" s="11">
        <f>867018.090180991/(10^3)</f>
        <v>867.01809018099095</v>
      </c>
      <c r="BE70" s="11">
        <f>909760.31582432/(10^3)</f>
        <v>909.76031582431995</v>
      </c>
      <c r="BF70" s="11">
        <f>935319.659668639/(10^3)</f>
        <v>935.31965966863891</v>
      </c>
      <c r="BG70" s="11">
        <f>96698849.1512167/(10^3)</f>
        <v>96698.849151216695</v>
      </c>
      <c r="BH70" s="11">
        <f>983623.6393408/(10^3)</f>
        <v>983.62363934079997</v>
      </c>
      <c r="BI70" s="11">
        <f>1017879.46836546/(10^3)</f>
        <v>1017.8794683654601</v>
      </c>
      <c r="BJ70" s="11">
        <f>1042221.35830204/(10^3)</f>
        <v>1042.22135830204</v>
      </c>
      <c r="BK70" s="11">
        <f>1044669.41717865/(10^3)</f>
        <v>1044.6694171786501</v>
      </c>
      <c r="BL70" s="11">
        <f>1034530.97035752/(10^3)</f>
        <v>1034.5309703575201</v>
      </c>
      <c r="BM70" s="11">
        <f>10510.4054904532/(10^3)</f>
        <v>10.5104054904532</v>
      </c>
      <c r="BN70" s="11">
        <f>1031792.74524162/(10^3)</f>
        <v>1031.79274524162</v>
      </c>
      <c r="BO70" s="11">
        <f>1024630.66144026/(10^3)</f>
        <v>1024.6306614402599</v>
      </c>
      <c r="BP70" s="11">
        <f>1047403.62217406/(10^3)</f>
        <v>1047.40362217406</v>
      </c>
      <c r="BQ70" s="11">
        <f>1099207.09400494/(10^3)</f>
        <v>1099.20709400494</v>
      </c>
      <c r="BR70" s="11">
        <f>1139451.87137986/(10^3)</f>
        <v>1139.45187137986</v>
      </c>
      <c r="BS70" s="11">
        <f>115161069.981642/(10^3)</f>
        <v>115161.06998164199</v>
      </c>
      <c r="BT70" s="11">
        <f>1142867.27695927/(10^3)</f>
        <v>1142.8672769592699</v>
      </c>
      <c r="BU70" s="11">
        <f>1123460.62243741/(10^3)</f>
        <v>1123.4606224374102</v>
      </c>
      <c r="BV70" s="11">
        <f>1158147.3293668/(10^3)</f>
        <v>1158.1473293668</v>
      </c>
      <c r="BW70" s="11">
        <f>1171441.33000463/(10^3)</f>
        <v>1171.4413300046299</v>
      </c>
      <c r="BX70" s="11">
        <f>1149354.94290215/(10^3)</f>
        <v>1149.35494290215</v>
      </c>
      <c r="BY70" s="11">
        <f>11806.1764996667/(10^3)</f>
        <v>11.806176499666702</v>
      </c>
      <c r="BZ70" s="11">
        <f>1180617.64996667/(10^3)</f>
        <v>1180.6176499666699</v>
      </c>
      <c r="CA70" s="11">
        <f>1212220.49828373/(10^3)</f>
        <v>1212.22049828373</v>
      </c>
      <c r="CB70" s="11">
        <f>1249906.29282681/(10^3)</f>
        <v>1249.9062928268099</v>
      </c>
      <c r="CC70" s="12"/>
      <c r="CZ70" s="11">
        <v>813.19037112773117</v>
      </c>
      <c r="DA70" s="11">
        <v>839.46268904198962</v>
      </c>
      <c r="DB70" s="11">
        <v>791.98055657463476</v>
      </c>
      <c r="DC70" s="11">
        <v>856.16334805759766</v>
      </c>
      <c r="DD70" s="11">
        <v>1051.0405490453193</v>
      </c>
      <c r="DE70" s="11">
        <v>1180.6176499666697</v>
      </c>
      <c r="DG70" s="11">
        <v>752.8387026787567</v>
      </c>
      <c r="DH70" s="11">
        <v>870.76061466560054</v>
      </c>
      <c r="DI70" s="11">
        <v>799.5058290569026</v>
      </c>
      <c r="DJ70" s="11">
        <v>828.07888337835163</v>
      </c>
      <c r="DK70" s="11">
        <v>966.98849151216689</v>
      </c>
      <c r="DL70" s="11">
        <v>1151.6106998164173</v>
      </c>
    </row>
    <row r="71" spans="4:116" ht="15.6" outlineLevel="1" x14ac:dyDescent="0.25">
      <c r="D71" s="10" t="s">
        <v>133</v>
      </c>
      <c r="E71" s="10" t="s">
        <v>98</v>
      </c>
      <c r="F71" s="10" t="s">
        <v>151</v>
      </c>
      <c r="G71" s="10" t="s">
        <v>182</v>
      </c>
      <c r="H71" s="62" t="str">
        <f t="shared" si="2"/>
        <v>Salem (피합병)</v>
      </c>
      <c r="I71" s="11">
        <f>216851.007217541/(10^3)</f>
        <v>216.851007217541</v>
      </c>
      <c r="J71" s="11">
        <f>212985.896399913/(10^3)</f>
        <v>212.985896399913</v>
      </c>
      <c r="K71" s="11">
        <f>21394676.3563556/(10^3)</f>
        <v>21394.676356355601</v>
      </c>
      <c r="L71" s="11">
        <f>214928.299346521/(10^3)</f>
        <v>214.92829934652102</v>
      </c>
      <c r="M71" s="11">
        <f>217099.776711347/(10^3)</f>
        <v>217.09977671134698</v>
      </c>
      <c r="N71" s="11">
        <f>212951.043223254/(10^3)</f>
        <v>212.951043223254</v>
      </c>
      <c r="O71" s="11">
        <f>219376.255276805/(10^3)</f>
        <v>219.37625527680498</v>
      </c>
      <c r="P71" s="11">
        <f>216674.558043177/(10^3)</f>
        <v>216.674558043177</v>
      </c>
      <c r="Q71" s="11">
        <f>2232.55089430944/(10^3)</f>
        <v>2.2325508943094401</v>
      </c>
      <c r="R71" s="11">
        <f>226161.873199901/(10^3)</f>
        <v>226.16187319990098</v>
      </c>
      <c r="S71" s="11">
        <f>236718.939059325/(10^3)</f>
        <v>236.71893905932501</v>
      </c>
      <c r="T71" s="11">
        <f>241128.102229245/(10^3)</f>
        <v>241.128102229245</v>
      </c>
      <c r="U71" s="11">
        <f>236391.122100954/(10^3)</f>
        <v>236.39112210095399</v>
      </c>
      <c r="V71" s="11">
        <f>244739.080343695/(10^3)</f>
        <v>244.73908034369501</v>
      </c>
      <c r="W71" s="11">
        <f>24590132.6080148/(10^3)</f>
        <v>24590.132608014799</v>
      </c>
      <c r="X71" s="11">
        <f>244270.044802391/(10^3)</f>
        <v>244.270044802391</v>
      </c>
      <c r="Y71" s="11">
        <f>243475.528558611/(10^3)</f>
        <v>243.47552855861099</v>
      </c>
      <c r="Z71" s="11">
        <f>240555.8678598/(10^3)</f>
        <v>240.5558678598</v>
      </c>
      <c r="AA71" s="11">
        <f>245151.001576503/(10^3)</f>
        <v>245.15100157650301</v>
      </c>
      <c r="AB71" s="11">
        <f>254385.425870736/(10^3)</f>
        <v>254.38542587073601</v>
      </c>
      <c r="AC71" s="11">
        <f>2551.35258655672/(10^3)</f>
        <v>2.5513525865567197</v>
      </c>
      <c r="AD71" s="11">
        <f>252133.633355887/(10^3)</f>
        <v>252.13363335588699</v>
      </c>
      <c r="AE71" s="11">
        <f>261904.750740347/(10^3)</f>
        <v>261.90475074034697</v>
      </c>
      <c r="AF71" s="11">
        <f>264492.980081928/(10^3)</f>
        <v>264.49298008192801</v>
      </c>
      <c r="AG71" s="11">
        <f>259373.39328365/(10^3)</f>
        <v>259.37339328364999</v>
      </c>
      <c r="AH71" s="11">
        <f>266706.066168737/(10^3)</f>
        <v>266.70606616873704</v>
      </c>
      <c r="AI71" s="11">
        <f>27372467.3627493/(10^3)</f>
        <v>27372.467362749299</v>
      </c>
      <c r="AJ71" s="11">
        <f>270840.501628507/(10^3)</f>
        <v>270.84050162850701</v>
      </c>
      <c r="AK71" s="11">
        <f>274842.637490403/(10^3)</f>
        <v>274.84263749040304</v>
      </c>
      <c r="AL71" s="11">
        <f>280214.181725997/(10^3)</f>
        <v>280.21418172599704</v>
      </c>
      <c r="AM71" s="11">
        <f>284378.186918074/(10^3)</f>
        <v>284.37818691807399</v>
      </c>
      <c r="AN71" s="11">
        <f>293050.240984453/(10^3)</f>
        <v>293.05024098445301</v>
      </c>
      <c r="AO71" s="11">
        <f>2930.30021543516/(10^3)</f>
        <v>2.9303002154351603</v>
      </c>
      <c r="AP71" s="11">
        <f>292426.765448339/(10^3)</f>
        <v>292.42676544833898</v>
      </c>
      <c r="AQ71" s="11">
        <f>306745.771187153/(10^3)</f>
        <v>306.74577118715303</v>
      </c>
      <c r="AR71" s="11">
        <f>316274.119298571/(10^3)</f>
        <v>316.27411929857101</v>
      </c>
      <c r="AS71" s="11">
        <f>311253.927390151/(10^3)</f>
        <v>311.25392739015103</v>
      </c>
      <c r="AT71" s="11">
        <f>307841.214383493/(10^3)</f>
        <v>307.84121438349302</v>
      </c>
      <c r="AU71" s="11">
        <f>30443989.5598001/(10^3)</f>
        <v>30443.989559800099</v>
      </c>
      <c r="AV71" s="11">
        <f>303455.464283252/(10^3)</f>
        <v>303.45546428325201</v>
      </c>
      <c r="AW71" s="11">
        <f>300470.27802342/(10^3)</f>
        <v>300.47027802342001</v>
      </c>
      <c r="AX71" s="11">
        <f>306888.956224054/(10^3)</f>
        <v>306.88895622405397</v>
      </c>
      <c r="AY71" s="11">
        <f>302585.258600958/(10^3)</f>
        <v>302.58525860095796</v>
      </c>
      <c r="AZ71" s="11">
        <f>312221.254262612/(10^3)</f>
        <v>312.22125426261204</v>
      </c>
      <c r="BA71" s="11">
        <f>3191.20770131086/(10^3)</f>
        <v>3.19120770131086</v>
      </c>
      <c r="BB71" s="11">
        <f>331554.786128292/(10^3)</f>
        <v>331.55478612829199</v>
      </c>
      <c r="BC71" s="11">
        <f>347666.629250908/(10^3)</f>
        <v>347.66662925090799</v>
      </c>
      <c r="BD71" s="11">
        <f>347853.561596131/(10^3)</f>
        <v>347.85356159613099</v>
      </c>
      <c r="BE71" s="11">
        <f>345756.983024091/(10^3)</f>
        <v>345.75698302409097</v>
      </c>
      <c r="BF71" s="11">
        <f>341148.937338762/(10^3)</f>
        <v>341.14893733876198</v>
      </c>
      <c r="BG71" s="11">
        <f>35781850.849295/(10^3)</f>
        <v>35781.850849294999</v>
      </c>
      <c r="BH71" s="11">
        <f>362657.104099002/(10^3)</f>
        <v>362.65710409900203</v>
      </c>
      <c r="BI71" s="11">
        <f>374465.781557239/(10^3)</f>
        <v>374.46578155723898</v>
      </c>
      <c r="BJ71" s="11">
        <f>374954.867951865/(10^3)</f>
        <v>374.95486795186503</v>
      </c>
      <c r="BK71" s="11">
        <f>376581.911964567/(10^3)</f>
        <v>376.58191196456704</v>
      </c>
      <c r="BL71" s="11">
        <f>385340.793891554/(10^3)</f>
        <v>385.34079389155397</v>
      </c>
      <c r="BM71" s="11">
        <f>4032.21386908055/(10^3)</f>
        <v>4.0322138690805502</v>
      </c>
      <c r="BN71" s="11">
        <f>409119.630056424/(10^3)</f>
        <v>409.119630056424</v>
      </c>
      <c r="BO71" s="11">
        <f>417819.934406041/(10^3)</f>
        <v>417.819934406041</v>
      </c>
      <c r="BP71" s="11">
        <f>409601.469803017/(10^3)</f>
        <v>409.60146980301698</v>
      </c>
      <c r="BQ71" s="11">
        <f>413965.701032786/(10^3)</f>
        <v>413.965701032786</v>
      </c>
      <c r="BR71" s="11">
        <f>422811.984866876/(10^3)</f>
        <v>422.811984866876</v>
      </c>
      <c r="BS71" s="11">
        <f>41488778.0199687/(10^3)</f>
        <v>41488.778019968704</v>
      </c>
      <c r="BT71" s="11">
        <f>423561.616625814/(10^3)</f>
        <v>423.561616625814</v>
      </c>
      <c r="BU71" s="11">
        <f>439483.728379936/(10^3)</f>
        <v>439.483728379936</v>
      </c>
      <c r="BV71" s="11">
        <f>456598.770491913/(10^3)</f>
        <v>456.598770491913</v>
      </c>
      <c r="BW71" s="11">
        <f>466712.694460813/(10^3)</f>
        <v>466.712694460813</v>
      </c>
      <c r="BX71" s="11">
        <f>458636.075679695/(10^3)</f>
        <v>458.63607567969501</v>
      </c>
      <c r="BY71" s="11">
        <f>4644.90899830294/(10^3)</f>
        <v>4.6449089983029399</v>
      </c>
      <c r="BZ71" s="11">
        <f>464490.899830294/(10^3)</f>
        <v>464.49089983029404</v>
      </c>
      <c r="CA71" s="11">
        <f>460559.856689708/(10^3)</f>
        <v>460.559856689708</v>
      </c>
      <c r="CB71" s="11">
        <f>477070.699746465/(10^3)</f>
        <v>477.07069974646504</v>
      </c>
      <c r="CC71" s="12"/>
      <c r="CZ71" s="11">
        <v>223.25508943094434</v>
      </c>
      <c r="DA71" s="11">
        <v>255.13525865567223</v>
      </c>
      <c r="DB71" s="11">
        <v>293.03002154351617</v>
      </c>
      <c r="DC71" s="11">
        <v>319.12077013108558</v>
      </c>
      <c r="DD71" s="11">
        <v>403.22138690805474</v>
      </c>
      <c r="DE71" s="11">
        <v>464.49089983029432</v>
      </c>
      <c r="DG71" s="11">
        <v>213.9467635635564</v>
      </c>
      <c r="DH71" s="11">
        <v>245.90132608014798</v>
      </c>
      <c r="DI71" s="11">
        <v>273.72467362749273</v>
      </c>
      <c r="DJ71" s="11">
        <v>304.43989559800127</v>
      </c>
      <c r="DK71" s="11">
        <v>357.81850849295034</v>
      </c>
      <c r="DL71" s="11">
        <v>414.88778019968652</v>
      </c>
    </row>
    <row r="72" spans="4:116" ht="15.6" outlineLevel="1" x14ac:dyDescent="0.25">
      <c r="D72" s="10" t="s">
        <v>89</v>
      </c>
      <c r="E72" s="10" t="s">
        <v>98</v>
      </c>
      <c r="F72" s="10" t="s">
        <v>151</v>
      </c>
      <c r="G72" s="10" t="s">
        <v>182</v>
      </c>
      <c r="H72" s="62" t="str">
        <f t="shared" ref="H72:H100" si="3">CONCATENATE(D72," ",G72)</f>
        <v>Portland (피합병)</v>
      </c>
      <c r="I72" s="11">
        <f>349627.030117465/(10^3)</f>
        <v>349.62703011746498</v>
      </c>
      <c r="J72" s="11">
        <f>361120.948995871/(10^3)</f>
        <v>361.120948995871</v>
      </c>
      <c r="K72" s="11">
        <f>36455618.5644177/(10^3)</f>
        <v>36455.618564417695</v>
      </c>
      <c r="L72" s="11">
        <f>380778.021299192/(10^3)</f>
        <v>380.77802129919201</v>
      </c>
      <c r="M72" s="11">
        <f>390664.989324141/(10^3)</f>
        <v>390.664989324141</v>
      </c>
      <c r="N72" s="11">
        <f>393211.413223708/(10^3)</f>
        <v>393.21141322370801</v>
      </c>
      <c r="O72" s="11">
        <f>389652.358407022/(10^3)</f>
        <v>389.65235840702201</v>
      </c>
      <c r="P72" s="11">
        <f>390242.028702163/(10^3)</f>
        <v>390.242028702163</v>
      </c>
      <c r="Q72" s="11">
        <f>4054.77446814692/(10^3)</f>
        <v>4.0547744681469196</v>
      </c>
      <c r="R72" s="11">
        <f>401484.939432661/(10^3)</f>
        <v>401.48493943266101</v>
      </c>
      <c r="S72" s="11">
        <f>413654.982322098/(10^3)</f>
        <v>413.65498232209796</v>
      </c>
      <c r="T72" s="11">
        <f>405621.11593843/(10^3)</f>
        <v>405.62111593843002</v>
      </c>
      <c r="U72" s="11">
        <f>398058.705968366/(10^3)</f>
        <v>398.05870596836598</v>
      </c>
      <c r="V72" s="11">
        <f>394346.068271269/(10^3)</f>
        <v>394.34606827126896</v>
      </c>
      <c r="W72" s="11">
        <f>39425407.594683/(10^3)</f>
        <v>39425.407594682998</v>
      </c>
      <c r="X72" s="11">
        <f>389023.239454505/(10^3)</f>
        <v>389.02323945450496</v>
      </c>
      <c r="Y72" s="11">
        <f>398153.551559665/(10^3)</f>
        <v>398.153551559665</v>
      </c>
      <c r="Z72" s="11">
        <f>402324.512161694/(10^3)</f>
        <v>402.32451216169397</v>
      </c>
      <c r="AA72" s="11">
        <f>401673.844637318/(10^3)</f>
        <v>401.67384463731798</v>
      </c>
      <c r="AB72" s="11">
        <f>404478.40449539/(10^3)</f>
        <v>404.47840449539001</v>
      </c>
      <c r="AC72" s="11">
        <f>4012.50757121231/(10^3)</f>
        <v>4.0125075712123097</v>
      </c>
      <c r="AD72" s="11">
        <f>408933.149740626/(10^3)</f>
        <v>408.93314974062599</v>
      </c>
      <c r="AE72" s="11">
        <f>408355.337814573/(10^3)</f>
        <v>408.35533781457303</v>
      </c>
      <c r="AF72" s="11">
        <f>407212.920312006/(10^3)</f>
        <v>407.21292031200602</v>
      </c>
      <c r="AG72" s="11">
        <f>402348.764934616/(10^3)</f>
        <v>402.34876493461599</v>
      </c>
      <c r="AH72" s="11">
        <f>410136.807180814/(10^3)</f>
        <v>410.136807180814</v>
      </c>
      <c r="AI72" s="11">
        <f>42532248.3661555/(10^3)</f>
        <v>42532.248366155494</v>
      </c>
      <c r="AJ72" s="11">
        <f>424882.617180661/(10^3)</f>
        <v>424.88261718066099</v>
      </c>
      <c r="AK72" s="11">
        <f>419245.105366194/(10^3)</f>
        <v>419.24510536619397</v>
      </c>
      <c r="AL72" s="11">
        <f>423058.167942014/(10^3)</f>
        <v>423.05816794201399</v>
      </c>
      <c r="AM72" s="11">
        <f>423980.168978113/(10^3)</f>
        <v>423.980168978113</v>
      </c>
      <c r="AN72" s="11">
        <f>430774.438004689/(10^3)</f>
        <v>430.77443800468899</v>
      </c>
      <c r="AO72" s="11">
        <f>4226.56720258044/(10^3)</f>
        <v>4.2265672025804397</v>
      </c>
      <c r="AP72" s="11">
        <f>420106.342477091/(10^3)</f>
        <v>420.106342477091</v>
      </c>
      <c r="AQ72" s="11">
        <f>415475.620643986/(10^3)</f>
        <v>415.47562064398596</v>
      </c>
      <c r="AR72" s="11">
        <f>411620.205440448/(10^3)</f>
        <v>411.62020544044799</v>
      </c>
      <c r="AS72" s="11">
        <f>416861.980768827/(10^3)</f>
        <v>416.86198076882704</v>
      </c>
      <c r="AT72" s="11">
        <f>423402.738808422/(10^3)</f>
        <v>423.40273880842199</v>
      </c>
      <c r="AU72" s="11">
        <f>42390515.3733912/(10^3)</f>
        <v>42390.515373391201</v>
      </c>
      <c r="AV72" s="11">
        <f>438543.892175928/(10^3)</f>
        <v>438.54389217592797</v>
      </c>
      <c r="AW72" s="11">
        <f>431005.328048298/(10^3)</f>
        <v>431.005328048298</v>
      </c>
      <c r="AX72" s="11">
        <f>422809.500096934/(10^3)</f>
        <v>422.80950009693396</v>
      </c>
      <c r="AY72" s="11">
        <f>415248.165482429/(10^3)</f>
        <v>415.24816548242899</v>
      </c>
      <c r="AZ72" s="11">
        <f>433933.22603785/(10^3)</f>
        <v>433.93322603785003</v>
      </c>
      <c r="BA72" s="11">
        <f>4412.74208238546/(10^3)</f>
        <v>4.41274208238546</v>
      </c>
      <c r="BB72" s="11">
        <f>459137.737033919/(10^3)</f>
        <v>459.13773703391905</v>
      </c>
      <c r="BC72" s="11">
        <f>450709.632156221/(10^3)</f>
        <v>450.70963215622101</v>
      </c>
      <c r="BD72" s="11">
        <f>461390.905757903/(10^3)</f>
        <v>461.390905757903</v>
      </c>
      <c r="BE72" s="11">
        <f>483759.973143125/(10^3)</f>
        <v>483.75997314312502</v>
      </c>
      <c r="BF72" s="11">
        <f>495151.567703107/(10^3)</f>
        <v>495.15156770310705</v>
      </c>
      <c r="BG72" s="11">
        <f>49322459.8070775/(10^3)</f>
        <v>49322.459807077495</v>
      </c>
      <c r="BH72" s="11">
        <f>510087.22586088/(10^3)</f>
        <v>510.08722586087998</v>
      </c>
      <c r="BI72" s="11">
        <f>522472.586337657/(10^3)</f>
        <v>522.47258633765705</v>
      </c>
      <c r="BJ72" s="11">
        <f>542288.86603868/(10^3)</f>
        <v>542.28886603868</v>
      </c>
      <c r="BK72" s="11">
        <f>539720.442189168/(10^3)</f>
        <v>539.7204421891679</v>
      </c>
      <c r="BL72" s="11">
        <f>552058.543417683/(10^3)</f>
        <v>552.05854341768304</v>
      </c>
      <c r="BM72" s="11">
        <f>5654.29791346552/(10^3)</f>
        <v>5.6542979134655198</v>
      </c>
      <c r="BN72" s="11">
        <f>582653.684939717/(10^3)</f>
        <v>582.65368493971698</v>
      </c>
      <c r="BO72" s="11">
        <f>599388.518073601/(10^3)</f>
        <v>599.38851807360095</v>
      </c>
      <c r="BP72" s="11">
        <f>603291.463884374/(10^3)</f>
        <v>603.29146388437402</v>
      </c>
      <c r="BQ72" s="11">
        <f>614543.28504706/(10^3)</f>
        <v>614.54328504705995</v>
      </c>
      <c r="BR72" s="11">
        <f>644027.776816085/(10^3)</f>
        <v>644.02777681608495</v>
      </c>
      <c r="BS72" s="11">
        <f>65022363.3845916/(10^3)</f>
        <v>65022.363384591605</v>
      </c>
      <c r="BT72" s="11">
        <f>639219.700020208/(10^3)</f>
        <v>639.21970002020805</v>
      </c>
      <c r="BU72" s="11">
        <f>659980.384299694/(10^3)</f>
        <v>659.98038429969392</v>
      </c>
      <c r="BV72" s="11">
        <f>678362.239631119/(10^3)</f>
        <v>678.362239631119</v>
      </c>
      <c r="BW72" s="11">
        <f>697970.535497234/(10^3)</f>
        <v>697.97053549723398</v>
      </c>
      <c r="BX72" s="11">
        <f>714410.096213114/(10^3)</f>
        <v>714.410096213114</v>
      </c>
      <c r="BY72" s="11">
        <f>7395.7047048518/(10^3)</f>
        <v>7.3957047048517994</v>
      </c>
      <c r="BZ72" s="11">
        <f>739570.47048518/(10^3)</f>
        <v>739.57047048518007</v>
      </c>
      <c r="CA72" s="11">
        <f>758644.549817691/(10^3)</f>
        <v>758.64454981769097</v>
      </c>
      <c r="CB72" s="11">
        <f>777553.437799999/(10^3)</f>
        <v>777.55343779999907</v>
      </c>
      <c r="CC72" s="12"/>
      <c r="CZ72" s="11">
        <v>405.47744681469192</v>
      </c>
      <c r="DA72" s="11">
        <v>401.25075712123095</v>
      </c>
      <c r="DB72" s="11">
        <v>422.65672025804378</v>
      </c>
      <c r="DC72" s="11">
        <v>441.27420823854561</v>
      </c>
      <c r="DD72" s="11">
        <v>565.42979134655207</v>
      </c>
      <c r="DE72" s="11">
        <v>739.57047048518007</v>
      </c>
      <c r="DG72" s="11">
        <v>364.55618564417688</v>
      </c>
      <c r="DH72" s="11">
        <v>394.25407594683031</v>
      </c>
      <c r="DI72" s="11">
        <v>425.32248366155494</v>
      </c>
      <c r="DJ72" s="11">
        <v>423.90515373391196</v>
      </c>
      <c r="DK72" s="11">
        <v>493.22459807077473</v>
      </c>
      <c r="DL72" s="11">
        <v>650.2236338459162</v>
      </c>
    </row>
    <row r="73" spans="4:116" ht="15.6" outlineLevel="1" x14ac:dyDescent="0.25">
      <c r="D73" s="10" t="s">
        <v>134</v>
      </c>
      <c r="E73" s="10" t="s">
        <v>109</v>
      </c>
      <c r="F73" s="10" t="s">
        <v>151</v>
      </c>
      <c r="G73" s="10" t="s">
        <v>182</v>
      </c>
      <c r="H73" s="62" t="str">
        <f t="shared" si="3"/>
        <v>Salt Lake City (피합병)</v>
      </c>
      <c r="I73" s="11">
        <f>1074605.69795899/(10^3)</f>
        <v>1074.60569795899</v>
      </c>
      <c r="J73" s="11">
        <f>1118042.30357489/(10^3)</f>
        <v>1118.04230357489</v>
      </c>
      <c r="K73" s="11">
        <f>114976836.112854/(10^3)</f>
        <v>114976.836112854</v>
      </c>
      <c r="L73" s="11">
        <f>1196523.8775435/(10^3)</f>
        <v>1196.5238775435</v>
      </c>
      <c r="M73" s="11">
        <f>1243266.99660848/(10^3)</f>
        <v>1243.2669966084802</v>
      </c>
      <c r="N73" s="11">
        <f>1289464.62312136/(10^3)</f>
        <v>1289.4646231213601</v>
      </c>
      <c r="O73" s="11">
        <f>1349971.62834622/(10^3)</f>
        <v>1349.9716283462199</v>
      </c>
      <c r="P73" s="11">
        <f>1375671.9137872/(10^3)</f>
        <v>1375.6719137872001</v>
      </c>
      <c r="Q73" s="11">
        <f>13719.9752713535/(10^3)</f>
        <v>13.719975271353499</v>
      </c>
      <c r="R73" s="11">
        <f>1417201.68449066/(10^3)</f>
        <v>1417.20168449066</v>
      </c>
      <c r="S73" s="11">
        <f>1447087.10470323/(10^3)</f>
        <v>1447.0871047032301</v>
      </c>
      <c r="T73" s="11">
        <f>1477237.67930254/(10^3)</f>
        <v>1477.2376793025398</v>
      </c>
      <c r="U73" s="11">
        <f>1492334.64277442/(10^3)</f>
        <v>1492.33464277442</v>
      </c>
      <c r="V73" s="11">
        <f>1477076.95011789/(10^3)</f>
        <v>1477.07695011789</v>
      </c>
      <c r="W73" s="11">
        <f>145029752.584818/(10^3)</f>
        <v>145029.75258481799</v>
      </c>
      <c r="X73" s="11">
        <f>1494150.0295319/(10^3)</f>
        <v>1494.1500295319001</v>
      </c>
      <c r="Y73" s="11">
        <f>1470771.26271425/(10^3)</f>
        <v>1470.77126271425</v>
      </c>
      <c r="Z73" s="11">
        <f>1454846.47056809/(10^3)</f>
        <v>1454.8464705680899</v>
      </c>
      <c r="AA73" s="11">
        <f>1526741.31326861/(10^3)</f>
        <v>1526.7413132686102</v>
      </c>
      <c r="AB73" s="11">
        <f>1507152.6261166/(10^3)</f>
        <v>1507.1526261165998</v>
      </c>
      <c r="AC73" s="11">
        <f>15021.0604214034/(10^3)</f>
        <v>15.0210604214034</v>
      </c>
      <c r="AD73" s="11">
        <f>1497347.92245389/(10^3)</f>
        <v>1497.3479224538901</v>
      </c>
      <c r="AE73" s="11">
        <f>1486098.71575152/(10^3)</f>
        <v>1486.0987157515199</v>
      </c>
      <c r="AF73" s="11">
        <f>1464546.35827388/(10^3)</f>
        <v>1464.5463582738801</v>
      </c>
      <c r="AG73" s="11">
        <f>1465217.05898665/(10^3)</f>
        <v>1465.21705898665</v>
      </c>
      <c r="AH73" s="11">
        <f>1510801.98949477/(10^3)</f>
        <v>1510.8019894947702</v>
      </c>
      <c r="AI73" s="11">
        <f>150125357.907962/(10^3)</f>
        <v>150125.357907962</v>
      </c>
      <c r="AJ73" s="11">
        <f>1494219.0439692/(10^3)</f>
        <v>1494.2190439691999</v>
      </c>
      <c r="AK73" s="11">
        <f>1485116.38715051/(10^3)</f>
        <v>1485.11638715051</v>
      </c>
      <c r="AL73" s="11">
        <f>1484055.84531443/(10^3)</f>
        <v>1484.0558453144301</v>
      </c>
      <c r="AM73" s="11">
        <f>1521366.68549757/(10^3)</f>
        <v>1521.3666854975702</v>
      </c>
      <c r="AN73" s="11">
        <f>1508119.80881616/(10^3)</f>
        <v>1508.11980881616</v>
      </c>
      <c r="AO73" s="11">
        <f>14825.7920497174/(10^3)</f>
        <v>14.8257920497174</v>
      </c>
      <c r="AP73" s="11">
        <f>1465290.33080047/(10^3)</f>
        <v>1465.29033080047</v>
      </c>
      <c r="AQ73" s="11">
        <f>1436784.66354094/(10^3)</f>
        <v>1436.7846635409401</v>
      </c>
      <c r="AR73" s="11">
        <f>1433998.53160753/(10^3)</f>
        <v>1433.9985316075301</v>
      </c>
      <c r="AS73" s="11">
        <f>1410069.28465549/(10^3)</f>
        <v>1410.06928465549</v>
      </c>
      <c r="AT73" s="11">
        <f>1460500.70612086/(10^3)</f>
        <v>1460.5007061208601</v>
      </c>
      <c r="AU73" s="11">
        <f>151955674.504469/(10^3)</f>
        <v>151955.674504469</v>
      </c>
      <c r="AV73" s="11">
        <f>1500121.73456393/(10^3)</f>
        <v>1500.12173456393</v>
      </c>
      <c r="AW73" s="11">
        <f>1563947.16681982/(10^3)</f>
        <v>1563.94716681982</v>
      </c>
      <c r="AX73" s="11">
        <f>1623341.8753929/(10^3)</f>
        <v>1623.3418753929002</v>
      </c>
      <c r="AY73" s="11">
        <f>1658858.48330901/(10^3)</f>
        <v>1658.8584833090101</v>
      </c>
      <c r="AZ73" s="11">
        <f>1627021.16605402/(10^3)</f>
        <v>1627.0211660540199</v>
      </c>
      <c r="BA73" s="11">
        <f>16134.506748776/(10^3)</f>
        <v>16.134506748776001</v>
      </c>
      <c r="BB73" s="11">
        <f>1675996.77045351/(10^3)</f>
        <v>1675.9967704535102</v>
      </c>
      <c r="BC73" s="11">
        <f>1724122.65917765/(10^3)</f>
        <v>1724.1226591776499</v>
      </c>
      <c r="BD73" s="11">
        <f>1726954.80173339/(10^3)</f>
        <v>1726.95480173339</v>
      </c>
      <c r="BE73" s="11">
        <f>1736707.06304423/(10^3)</f>
        <v>1736.7070630442299</v>
      </c>
      <c r="BF73" s="11">
        <f>1771218.30434266/(10^3)</f>
        <v>1771.2183043426598</v>
      </c>
      <c r="BG73" s="11">
        <f>175847814.10274/(10^3)</f>
        <v>175847.81410274</v>
      </c>
      <c r="BH73" s="11">
        <f>1762961.46900978/(10^3)</f>
        <v>1762.9614690097801</v>
      </c>
      <c r="BI73" s="11">
        <f>1793763.36609607/(10^3)</f>
        <v>1793.7633660960701</v>
      </c>
      <c r="BJ73" s="11">
        <f>1797468.51421028/(10^3)</f>
        <v>1797.4685142102801</v>
      </c>
      <c r="BK73" s="11">
        <f>1829894.77378807/(10^3)</f>
        <v>1829.8947737880701</v>
      </c>
      <c r="BL73" s="11">
        <f>1879744.39905208/(10^3)</f>
        <v>1879.7443990520801</v>
      </c>
      <c r="BM73" s="11">
        <f>18536.7446237687/(10^3)</f>
        <v>18.536744623768701</v>
      </c>
      <c r="BN73" s="11">
        <f>1821018.6354273/(10^3)</f>
        <v>1821.0186354272998</v>
      </c>
      <c r="BO73" s="11">
        <f>1860946.85643851/(10^3)</f>
        <v>1860.9468564385099</v>
      </c>
      <c r="BP73" s="11">
        <f>1949780.92624324/(10^3)</f>
        <v>1949.7809262432399</v>
      </c>
      <c r="BQ73" s="11">
        <f>2033281.04719648/(10^3)</f>
        <v>2033.2810471964799</v>
      </c>
      <c r="BR73" s="11">
        <f>2128742.8473356/(10^3)</f>
        <v>2128.7428473355999</v>
      </c>
      <c r="BS73" s="11">
        <f>210905278.033906/(10^3)</f>
        <v>210905.27803390601</v>
      </c>
      <c r="BT73" s="11">
        <f>2137726.9033876/(10^3)</f>
        <v>2137.7269033876</v>
      </c>
      <c r="BU73" s="11">
        <f>2217751.05163406/(10^3)</f>
        <v>2217.7510516340603</v>
      </c>
      <c r="BV73" s="11">
        <f>2220111.65518196/(10^3)</f>
        <v>2220.11165518196</v>
      </c>
      <c r="BW73" s="11">
        <f>2323118.92342899/(10^3)</f>
        <v>2323.11892342899</v>
      </c>
      <c r="BX73" s="11">
        <f>2282015.18935429/(10^3)</f>
        <v>2282.0151893542898</v>
      </c>
      <c r="BY73" s="11">
        <f>23016.0880589741/(10^3)</f>
        <v>23.016088058974098</v>
      </c>
      <c r="BZ73" s="11">
        <f>2301608.80589741/(10^3)</f>
        <v>2301.6088058974101</v>
      </c>
      <c r="CA73" s="11">
        <f>2274236.3506701/(10^3)</f>
        <v>2274.2363506701004</v>
      </c>
      <c r="CB73" s="11">
        <f>2343546.26221863/(10^3)</f>
        <v>2343.5462622186301</v>
      </c>
      <c r="CC73" s="12"/>
      <c r="CZ73" s="11">
        <v>1371.9975271353544</v>
      </c>
      <c r="DA73" s="11">
        <v>1502.1060421403415</v>
      </c>
      <c r="DB73" s="11">
        <v>1482.5792049717388</v>
      </c>
      <c r="DC73" s="11">
        <v>1613.4506748776005</v>
      </c>
      <c r="DD73" s="11">
        <v>1853.6744623768686</v>
      </c>
      <c r="DE73" s="11">
        <v>2301.6088058974133</v>
      </c>
      <c r="DG73" s="11">
        <v>1149.7683611285388</v>
      </c>
      <c r="DH73" s="11">
        <v>1450.2975258481831</v>
      </c>
      <c r="DI73" s="11">
        <v>1501.2535790796219</v>
      </c>
      <c r="DJ73" s="11">
        <v>1519.5567450446858</v>
      </c>
      <c r="DK73" s="11">
        <v>1758.4781410273999</v>
      </c>
      <c r="DL73" s="11">
        <v>2109.0527803390601</v>
      </c>
    </row>
    <row r="74" spans="4:116" ht="15.6" outlineLevel="1" x14ac:dyDescent="0.25">
      <c r="D74" s="10" t="s">
        <v>135</v>
      </c>
      <c r="E74" s="10" t="s">
        <v>115</v>
      </c>
      <c r="F74" s="10" t="s">
        <v>151</v>
      </c>
      <c r="G74" s="10" t="s">
        <v>182</v>
      </c>
      <c r="H74" s="62" t="str">
        <f t="shared" si="3"/>
        <v>Olympia (피합병)</v>
      </c>
      <c r="I74" s="11">
        <f>76259.945519757/(10^3)</f>
        <v>76.259945519757011</v>
      </c>
      <c r="J74" s="11">
        <f>79360.9333025102/(10^3)</f>
        <v>79.36093330251019</v>
      </c>
      <c r="K74" s="11">
        <f>7984386.92977057/(10^3)</f>
        <v>7984.3869297705705</v>
      </c>
      <c r="L74" s="11">
        <f>79919.5773176923/(10^3)</f>
        <v>79.919577317692301</v>
      </c>
      <c r="M74" s="11">
        <f>78703.1467358984/(10^3)</f>
        <v>78.7031467358984</v>
      </c>
      <c r="N74" s="11">
        <f>81684.653325252/(10^3)</f>
        <v>81.684653325252</v>
      </c>
      <c r="O74" s="11">
        <f>84189.7563637018/(10^3)</f>
        <v>84.189756363701804</v>
      </c>
      <c r="P74" s="11">
        <f>85654.7079701202/(10^3)</f>
        <v>85.654707970120199</v>
      </c>
      <c r="Q74" s="11">
        <f>881.026664596025/(10^3)</f>
        <v>0.88102666459602497</v>
      </c>
      <c r="R74" s="11">
        <f>89491.5852679946/(10^3)</f>
        <v>89.491585267994594</v>
      </c>
      <c r="S74" s="11">
        <f>90710.0889970225/(10^3)</f>
        <v>90.710088997022496</v>
      </c>
      <c r="T74" s="11">
        <f>90774.5007677884/(10^3)</f>
        <v>90.774500767788396</v>
      </c>
      <c r="U74" s="11">
        <f>89771.5242767641/(10^3)</f>
        <v>89.771524276764097</v>
      </c>
      <c r="V74" s="11">
        <f>88107.3519033291/(10^3)</f>
        <v>88.107351903329089</v>
      </c>
      <c r="W74" s="11">
        <f>8763750.63553431/(10^3)</f>
        <v>8763.7506355343103</v>
      </c>
      <c r="X74" s="11">
        <f>89671.81311227/(10^3)</f>
        <v>89.671813112270002</v>
      </c>
      <c r="Y74" s="11">
        <f>89277.3352854808/(10^3)</f>
        <v>89.277335285480802</v>
      </c>
      <c r="Z74" s="11">
        <f>92359.3725414476/(10^3)</f>
        <v>92.359372541447613</v>
      </c>
      <c r="AA74" s="11">
        <f>92143.3931495577/(10^3)</f>
        <v>92.143393149557696</v>
      </c>
      <c r="AB74" s="11">
        <f>91770.4941750673/(10^3)</f>
        <v>91.770494175067299</v>
      </c>
      <c r="AC74" s="11">
        <f>903.449101761103/(10^3)</f>
        <v>0.90344910176110294</v>
      </c>
      <c r="AD74" s="11">
        <f>88605.73570468/(10^3)</f>
        <v>88.605735704680001</v>
      </c>
      <c r="AE74" s="11">
        <f>88640.5820561229/(10^3)</f>
        <v>88.640582056122909</v>
      </c>
      <c r="AF74" s="11">
        <f>91076.0175305885/(10^3)</f>
        <v>91.076017530588501</v>
      </c>
      <c r="AG74" s="11">
        <f>90542.8802493077/(10^3)</f>
        <v>90.5428802493077</v>
      </c>
      <c r="AH74" s="11">
        <f>90016.2601651653/(10^3)</f>
        <v>90.016260165165292</v>
      </c>
      <c r="AI74" s="11">
        <f>8941469.71173891/(10^3)</f>
        <v>8941.4697117389114</v>
      </c>
      <c r="AJ74" s="11">
        <f>87651.770379425/(10^3)</f>
        <v>87.651770379425002</v>
      </c>
      <c r="AK74" s="11">
        <f>85993.6218339904/(10^3)</f>
        <v>85.993621833990403</v>
      </c>
      <c r="AL74" s="11">
        <f>85348.6878082955/(10^3)</f>
        <v>85.348687808295495</v>
      </c>
      <c r="AM74" s="11">
        <f>83716.305691182/(10^3)</f>
        <v>83.716305691182001</v>
      </c>
      <c r="AN74" s="11">
        <f>83711.9610262307/(10^3)</f>
        <v>83.711961026230696</v>
      </c>
      <c r="AO74" s="11">
        <f>835.235542352099/(10^3)</f>
        <v>0.83523554235209896</v>
      </c>
      <c r="AP74" s="11">
        <f>82986.7355726266/(10^3)</f>
        <v>82.9867355726266</v>
      </c>
      <c r="AQ74" s="11">
        <f>82928.8484009307/(10^3)</f>
        <v>82.928848400930704</v>
      </c>
      <c r="AR74" s="11">
        <f>81477.2222215025/(10^3)</f>
        <v>81.477222221502501</v>
      </c>
      <c r="AS74" s="11">
        <f>80534.1538187132/(10^3)</f>
        <v>80.534153818713193</v>
      </c>
      <c r="AT74" s="11">
        <f>79434.7043756627/(10^3)</f>
        <v>79.43470437566269</v>
      </c>
      <c r="AU74" s="11">
        <f>7916836.78854776/(10^3)</f>
        <v>7916.8367885477601</v>
      </c>
      <c r="AV74" s="11">
        <f>79032.4065425528/(10^3)</f>
        <v>79.032406542552792</v>
      </c>
      <c r="AW74" s="11">
        <f>78088.3046274609/(10^3)</f>
        <v>78.0883046274609</v>
      </c>
      <c r="AX74" s="11">
        <f>80979.9541356666/(10^3)</f>
        <v>80.979954135666603</v>
      </c>
      <c r="AY74" s="11">
        <f>80218.3188970243/(10^3)</f>
        <v>80.218318897024304</v>
      </c>
      <c r="AZ74" s="11">
        <f>79303.5696998805/(10^3)</f>
        <v>79.303569699880512</v>
      </c>
      <c r="BA74" s="11">
        <f>803.482294329842/(10^3)</f>
        <v>0.80348229432984208</v>
      </c>
      <c r="BB74" s="11">
        <f>80041.2401506867/(10^3)</f>
        <v>80.041240150686704</v>
      </c>
      <c r="BC74" s="11">
        <f>79583.8128145425/(10^3)</f>
        <v>79.583812814542497</v>
      </c>
      <c r="BD74" s="11">
        <f>80126.6539032881/(10^3)</f>
        <v>80.126653903288101</v>
      </c>
      <c r="BE74" s="11">
        <f>80223.1606474332/(10^3)</f>
        <v>80.22316064743319</v>
      </c>
      <c r="BF74" s="11">
        <f>82345.5071389871/(10^3)</f>
        <v>82.345507138987102</v>
      </c>
      <c r="BG74" s="11">
        <f>8630226.11377488/(10^3)</f>
        <v>8630.226113774881</v>
      </c>
      <c r="BH74" s="11">
        <f>88234.4121179843/(10^3)</f>
        <v>88.234412117984306</v>
      </c>
      <c r="BI74" s="11">
        <f>90277.9287863653/(10^3)</f>
        <v>90.277928786365294</v>
      </c>
      <c r="BJ74" s="11">
        <f>88988.2824404149/(10^3)</f>
        <v>88.988282440414906</v>
      </c>
      <c r="BK74" s="11">
        <f>88067.202719587/(10^3)</f>
        <v>88.067202719587002</v>
      </c>
      <c r="BL74" s="11">
        <f>89625.7168832263/(10^3)</f>
        <v>89.625716883226303</v>
      </c>
      <c r="BM74" s="11">
        <f>909.667278078856/(10^3)</f>
        <v>0.90966727807885606</v>
      </c>
      <c r="BN74" s="11">
        <f>93123.3032020714/(10^3)</f>
        <v>93.123303202071398</v>
      </c>
      <c r="BO74" s="11">
        <f>97015.4552138384/(10^3)</f>
        <v>97.015455213838408</v>
      </c>
      <c r="BP74" s="11">
        <f>100113.270099786/(10^3)</f>
        <v>100.11327009978599</v>
      </c>
      <c r="BQ74" s="11">
        <f>100592.932956775/(10^3)</f>
        <v>100.592932956775</v>
      </c>
      <c r="BR74" s="11">
        <f>104582.385186769/(10^3)</f>
        <v>104.582385186769</v>
      </c>
      <c r="BS74" s="11">
        <f>10623547.3173128/(10^3)</f>
        <v>10623.547317312799</v>
      </c>
      <c r="BT74" s="11">
        <f>108418.285307994/(10^3)</f>
        <v>108.418285307994</v>
      </c>
      <c r="BU74" s="11">
        <f>111194.065358305/(10^3)</f>
        <v>111.194065358305</v>
      </c>
      <c r="BV74" s="11">
        <f>112925.095067392/(10^3)</f>
        <v>112.92509506739201</v>
      </c>
      <c r="BW74" s="11">
        <f>117776.885943696/(10^3)</f>
        <v>117.776885943696</v>
      </c>
      <c r="BX74" s="11">
        <f>122958.179742856/(10^3)</f>
        <v>122.95817974285599</v>
      </c>
      <c r="BY74" s="11">
        <f>1210.7499388434/(10^3)</f>
        <v>1.2107499388434</v>
      </c>
      <c r="BZ74" s="11">
        <f>121074.99388434/(10^3)</f>
        <v>121.07499388434</v>
      </c>
      <c r="CA74" s="11">
        <f>126277.683384516/(10^3)</f>
        <v>126.277683384516</v>
      </c>
      <c r="CB74" s="11">
        <f>128282.139617521/(10^3)</f>
        <v>128.28213961752098</v>
      </c>
      <c r="CC74" s="12"/>
      <c r="CZ74" s="11">
        <v>88.102666459602474</v>
      </c>
      <c r="DA74" s="11">
        <v>90.344910176110275</v>
      </c>
      <c r="DB74" s="11">
        <v>83.523554235209943</v>
      </c>
      <c r="DC74" s="11">
        <v>80.34822943298424</v>
      </c>
      <c r="DD74" s="11">
        <v>90.966727807885604</v>
      </c>
      <c r="DE74" s="11">
        <v>121.0749938843402</v>
      </c>
      <c r="DG74" s="11">
        <v>79.843869297705737</v>
      </c>
      <c r="DH74" s="11">
        <v>87.637506355343064</v>
      </c>
      <c r="DI74" s="11">
        <v>89.414697117389153</v>
      </c>
      <c r="DJ74" s="11">
        <v>79.168367885477622</v>
      </c>
      <c r="DK74" s="11">
        <v>86.302261137748786</v>
      </c>
      <c r="DL74" s="11">
        <v>106.23547317312784</v>
      </c>
    </row>
    <row r="75" spans="4:116" ht="15.6" outlineLevel="1" x14ac:dyDescent="0.25">
      <c r="D75" s="10" t="s">
        <v>136</v>
      </c>
      <c r="E75" s="10" t="s">
        <v>115</v>
      </c>
      <c r="F75" s="10" t="s">
        <v>151</v>
      </c>
      <c r="G75" s="10" t="s">
        <v>182</v>
      </c>
      <c r="H75" s="62" t="str">
        <f t="shared" si="3"/>
        <v>Seattle (피합병)</v>
      </c>
      <c r="I75" s="11">
        <f>59947.8212184555/(10^3)</f>
        <v>59.947821218455502</v>
      </c>
      <c r="J75" s="11">
        <f>59071.5781084033/(10^3)</f>
        <v>59.071578108403301</v>
      </c>
      <c r="K75" s="11">
        <f>6046640.55145951/(10^3)</f>
        <v>6046.6405514595099</v>
      </c>
      <c r="L75" s="11">
        <f>61275.1724758865/(10^3)</f>
        <v>61.2751724758865</v>
      </c>
      <c r="M75" s="11">
        <f>60185.0577995936/(10^3)</f>
        <v>60.185057799593594</v>
      </c>
      <c r="N75" s="11">
        <f>63057.4135904125/(10^3)</f>
        <v>63.057413590412501</v>
      </c>
      <c r="O75" s="11">
        <f>65480.6755493476/(10^3)</f>
        <v>65.480675549347595</v>
      </c>
      <c r="P75" s="11">
        <f>67375.2103819953/(10^3)</f>
        <v>67.375210381995302</v>
      </c>
      <c r="Q75" s="11">
        <f>699.482109984942/(10^3)</f>
        <v>0.69948210998494198</v>
      </c>
      <c r="R75" s="11">
        <f>68880.1524346275/(10^3)</f>
        <v>68.88015243462749</v>
      </c>
      <c r="S75" s="11">
        <f>67684.4176328737/(10^3)</f>
        <v>67.684417632873689</v>
      </c>
      <c r="T75" s="11">
        <f>66707.4865627755/(10^3)</f>
        <v>66.7074865627755</v>
      </c>
      <c r="U75" s="11">
        <f>65795.1784094747/(10^3)</f>
        <v>65.795178409474701</v>
      </c>
      <c r="V75" s="11">
        <f>65005.845289099/(10^3)</f>
        <v>65.005845289099</v>
      </c>
      <c r="W75" s="11">
        <f>6776197.6988036/(10^3)</f>
        <v>6776.1976988036004</v>
      </c>
      <c r="X75" s="11">
        <f>66746.2583012197/(10^3)</f>
        <v>66.746258301219697</v>
      </c>
      <c r="Y75" s="11">
        <f>66055.7803632752/(10^3)</f>
        <v>66.055780363275204</v>
      </c>
      <c r="Z75" s="11">
        <f>68155.8131189764/(10^3)</f>
        <v>68.155813118976397</v>
      </c>
      <c r="AA75" s="11">
        <f>68895.8233242461/(10^3)</f>
        <v>68.895823324246095</v>
      </c>
      <c r="AB75" s="11">
        <f>68264.7207620355/(10^3)</f>
        <v>68.264720762035509</v>
      </c>
      <c r="AC75" s="11">
        <f>678.763675588358/(10^3)</f>
        <v>0.67876367558835793</v>
      </c>
      <c r="AD75" s="11">
        <f>67851.9905784084/(10^3)</f>
        <v>67.85199057840839</v>
      </c>
      <c r="AE75" s="11">
        <f>69119.2896550747/(10^3)</f>
        <v>69.119289655074695</v>
      </c>
      <c r="AF75" s="11">
        <f>70463.6070780957/(10^3)</f>
        <v>70.463607078095691</v>
      </c>
      <c r="AG75" s="11">
        <f>69083.2374785785/(10^3)</f>
        <v>69.083237478578511</v>
      </c>
      <c r="AH75" s="11">
        <f>68030.3816176191/(10^3)</f>
        <v>68.030381617619099</v>
      </c>
      <c r="AI75" s="11">
        <f>6772464.97751183/(10^3)</f>
        <v>6772.4649775118296</v>
      </c>
      <c r="AJ75" s="11">
        <f>70664.872683449/(10^3)</f>
        <v>70.664872683448991</v>
      </c>
      <c r="AK75" s="11">
        <f>69399.5146057022/(10^3)</f>
        <v>69.399514605702208</v>
      </c>
      <c r="AL75" s="11">
        <f>69307.1446236073/(10^3)</f>
        <v>69.3071446236073</v>
      </c>
      <c r="AM75" s="11">
        <f>69116.5372811867/(10^3)</f>
        <v>69.116537281186694</v>
      </c>
      <c r="AN75" s="11">
        <f>70337.7060731305/(10^3)</f>
        <v>70.337706073130491</v>
      </c>
      <c r="AO75" s="11">
        <f>693.634575533164/(10^3)</f>
        <v>0.69363457553316399</v>
      </c>
      <c r="AP75" s="11">
        <f>71228.4510352643/(10^3)</f>
        <v>71.2284510352643</v>
      </c>
      <c r="AQ75" s="11">
        <f>74605.5410741218/(10^3)</f>
        <v>74.605541074121788</v>
      </c>
      <c r="AR75" s="11">
        <f>74310.6480228808/(10^3)</f>
        <v>74.310648022880812</v>
      </c>
      <c r="AS75" s="11">
        <f>77220.2862576085/(10^3)</f>
        <v>77.220286257608507</v>
      </c>
      <c r="AT75" s="11">
        <f>79948.1781666538/(10^3)</f>
        <v>79.948178166653804</v>
      </c>
      <c r="AU75" s="11">
        <f>7855884.79086887/(10^3)</f>
        <v>7855.8847908688704</v>
      </c>
      <c r="AV75" s="11">
        <f>77713.3087560902/(10^3)</f>
        <v>77.7133087560902</v>
      </c>
      <c r="AW75" s="11">
        <f>76660.8283330214/(10^3)</f>
        <v>76.660828333021399</v>
      </c>
      <c r="AX75" s="11">
        <f>75367.7893700664/(10^3)</f>
        <v>75.367789370066404</v>
      </c>
      <c r="AY75" s="11">
        <f>74790.40259918/(10^3)</f>
        <v>74.790402599179998</v>
      </c>
      <c r="AZ75" s="11">
        <f>77391.3507621815/(10^3)</f>
        <v>77.391350762181489</v>
      </c>
      <c r="BA75" s="11">
        <f>783.567563217407/(10^3)</f>
        <v>0.78356756321740706</v>
      </c>
      <c r="BB75" s="11">
        <f>78552.1904779589/(10^3)</f>
        <v>78.552190477958888</v>
      </c>
      <c r="BC75" s="11">
        <f>78283.3228232569/(10^3)</f>
        <v>78.283322823256896</v>
      </c>
      <c r="BD75" s="11">
        <f>79673.9375959709/(10^3)</f>
        <v>79.673937595970898</v>
      </c>
      <c r="BE75" s="11">
        <f>79224.075759637/(10^3)</f>
        <v>79.224075759636989</v>
      </c>
      <c r="BF75" s="11">
        <f>80131.9484777233/(10^3)</f>
        <v>80.131948477723299</v>
      </c>
      <c r="BG75" s="11">
        <f>8205473.92083741/(10^3)</f>
        <v>8205.4739208374103</v>
      </c>
      <c r="BH75" s="11">
        <f>80777.4982436271/(10^3)</f>
        <v>80.777498243627093</v>
      </c>
      <c r="BI75" s="11">
        <f>83970.0658983566/(10^3)</f>
        <v>83.970065898356594</v>
      </c>
      <c r="BJ75" s="11">
        <f>84987.0177550235/(10^3)</f>
        <v>84.987017755023501</v>
      </c>
      <c r="BK75" s="11">
        <f>86811.9054206651/(10^3)</f>
        <v>86.811905420665099</v>
      </c>
      <c r="BL75" s="11">
        <f>91081.9395952147/(10^3)</f>
        <v>91.081939595214706</v>
      </c>
      <c r="BM75" s="11">
        <f>949.9908787734/(10^3)</f>
        <v>0.94999087877340005</v>
      </c>
      <c r="BN75" s="11">
        <f>97992.2509048348/(10^3)</f>
        <v>97.992250904834805</v>
      </c>
      <c r="BO75" s="11">
        <f>99528.4836884341/(10^3)</f>
        <v>99.528483688434108</v>
      </c>
      <c r="BP75" s="11">
        <f>101977.825500781/(10^3)</f>
        <v>101.97782550078099</v>
      </c>
      <c r="BQ75" s="11">
        <f>102099.418696161/(10^3)</f>
        <v>102.099418696161</v>
      </c>
      <c r="BR75" s="11">
        <f>100522.356910936/(10^3)</f>
        <v>100.522356910936</v>
      </c>
      <c r="BS75" s="11">
        <f>10372472.5647296/(10^3)</f>
        <v>10372.4725647296</v>
      </c>
      <c r="BT75" s="11">
        <f>102929.992799827/(10^3)</f>
        <v>102.92999279982701</v>
      </c>
      <c r="BU75" s="11">
        <f>104598.804904097/(10^3)</f>
        <v>104.59880490409701</v>
      </c>
      <c r="BV75" s="11">
        <f>108486.608332172/(10^3)</f>
        <v>108.48660833217201</v>
      </c>
      <c r="BW75" s="11">
        <f>108863.534224652/(10^3)</f>
        <v>108.863534224652</v>
      </c>
      <c r="BX75" s="11">
        <f>109814.248732557/(10^3)</f>
        <v>109.81424873255699</v>
      </c>
      <c r="BY75" s="11">
        <f>1122.34358168285/(10^3)</f>
        <v>1.12234358168285</v>
      </c>
      <c r="BZ75" s="11">
        <f>112234.358168285/(10^3)</f>
        <v>112.234358168285</v>
      </c>
      <c r="CA75" s="11">
        <f>111196.981436724/(10^3)</f>
        <v>111.196981436724</v>
      </c>
      <c r="CB75" s="11">
        <f>113685.971503066/(10^3)</f>
        <v>113.685971503066</v>
      </c>
      <c r="CC75" s="12"/>
      <c r="CZ75" s="11">
        <v>69.94821099849419</v>
      </c>
      <c r="DA75" s="11">
        <v>67.87636755883581</v>
      </c>
      <c r="DB75" s="11">
        <v>69.363457553316366</v>
      </c>
      <c r="DC75" s="11">
        <v>78.356756321740662</v>
      </c>
      <c r="DD75" s="11">
        <v>94.999087877339974</v>
      </c>
      <c r="DE75" s="11">
        <v>112.2343581682854</v>
      </c>
      <c r="DG75" s="11">
        <v>60.466405514595138</v>
      </c>
      <c r="DH75" s="11">
        <v>67.761976988035997</v>
      </c>
      <c r="DI75" s="11">
        <v>67.724649775118266</v>
      </c>
      <c r="DJ75" s="11">
        <v>78.558847908688719</v>
      </c>
      <c r="DK75" s="11">
        <v>82.05473920837413</v>
      </c>
      <c r="DL75" s="11">
        <v>103.72472564729647</v>
      </c>
    </row>
    <row r="76" spans="4:116" ht="15.6" outlineLevel="1" x14ac:dyDescent="0.25">
      <c r="D76" s="10" t="s">
        <v>36</v>
      </c>
      <c r="E76" s="10" t="s">
        <v>35</v>
      </c>
      <c r="F76" s="10" t="s">
        <v>150</v>
      </c>
      <c r="G76" s="10" t="s">
        <v>182</v>
      </c>
      <c r="H76" s="62" t="str">
        <f t="shared" si="3"/>
        <v>Jacksonville (피합병)</v>
      </c>
      <c r="I76" s="11">
        <f>27822.4382673376/(10^3)</f>
        <v>27.822438267337599</v>
      </c>
      <c r="J76" s="11">
        <f>29052.985766459/(10^3)</f>
        <v>29.052985766459003</v>
      </c>
      <c r="K76" s="11">
        <f>2854971.38812857/(10^3)</f>
        <v>2854.9713881285697</v>
      </c>
      <c r="L76" s="11">
        <f>28862.8892019859/(10^3)</f>
        <v>28.862889201985901</v>
      </c>
      <c r="M76" s="11">
        <f>28687.8797844462/(10^3)</f>
        <v>28.687879784446199</v>
      </c>
      <c r="N76" s="11">
        <f>28919.4793193046/(10^3)</f>
        <v>28.9194793193046</v>
      </c>
      <c r="O76" s="11">
        <f>29669.710949139/(10^3)</f>
        <v>29.669710949138999</v>
      </c>
      <c r="P76" s="11">
        <f>29105.0936545362/(10^3)</f>
        <v>29.105093654536198</v>
      </c>
      <c r="Q76" s="11">
        <f>292.079306577994/(10^3)</f>
        <v>0.29207930657799397</v>
      </c>
      <c r="R76" s="11">
        <f>29807.2691803215/(10^3)</f>
        <v>29.807269180321498</v>
      </c>
      <c r="S76" s="11">
        <f>30917.397780355/(10^3)</f>
        <v>30.917397780355</v>
      </c>
      <c r="T76" s="11">
        <f>31319.0238982345/(10^3)</f>
        <v>31.319023898234502</v>
      </c>
      <c r="U76" s="11">
        <f>31908.4820640972/(10^3)</f>
        <v>31.9084820640972</v>
      </c>
      <c r="V76" s="11">
        <f>31363.1140227538/(10^3)</f>
        <v>31.363114022753802</v>
      </c>
      <c r="W76" s="11">
        <f>3237978.17192354/(10^3)</f>
        <v>3237.9781719235402</v>
      </c>
      <c r="X76" s="11">
        <f>32470.9853130936/(10^3)</f>
        <v>32.4709853130936</v>
      </c>
      <c r="Y76" s="11">
        <f>32434.9819840294/(10^3)</f>
        <v>32.434981984029399</v>
      </c>
      <c r="Z76" s="11">
        <f>31915.0637893392/(10^3)</f>
        <v>31.9150637893392</v>
      </c>
      <c r="AA76" s="11">
        <f>32590.0406020835/(10^3)</f>
        <v>32.590040602083498</v>
      </c>
      <c r="AB76" s="11">
        <f>32465.1467655529/(10^3)</f>
        <v>32.465146765552902</v>
      </c>
      <c r="AC76" s="11">
        <f>321.044329004641/(10^3)</f>
        <v>0.32104432900464097</v>
      </c>
      <c r="AD76" s="11">
        <f>31476.8323248311/(10^3)</f>
        <v>31.476832324831101</v>
      </c>
      <c r="AE76" s="11">
        <f>32582.6551972782/(10^3)</f>
        <v>32.5826551972782</v>
      </c>
      <c r="AF76" s="11">
        <f>32483.6632017379/(10^3)</f>
        <v>32.483663201737905</v>
      </c>
      <c r="AG76" s="11">
        <f>32370.3487356028/(10^3)</f>
        <v>32.370348735602803</v>
      </c>
      <c r="AH76" s="11">
        <f>33923.6288293312/(10^3)</f>
        <v>33.9236288293312</v>
      </c>
      <c r="AI76" s="11">
        <f>3351350.90151341/(10^3)</f>
        <v>3351.35090151341</v>
      </c>
      <c r="AJ76" s="11">
        <f>33143.6331599827/(10^3)</f>
        <v>33.143633159982706</v>
      </c>
      <c r="AK76" s="11">
        <f>32532.894956443/(10^3)</f>
        <v>32.532894956443002</v>
      </c>
      <c r="AL76" s="11">
        <f>34011.571925409/(10^3)</f>
        <v>34.011571925409001</v>
      </c>
      <c r="AM76" s="11">
        <f>34948.0041922638/(10^3)</f>
        <v>34.948004192263795</v>
      </c>
      <c r="AN76" s="11">
        <f>34911.346052347/(10^3)</f>
        <v>34.911346052347</v>
      </c>
      <c r="AO76" s="11">
        <f>361.197088405426/(10^3)</f>
        <v>0.36119708840542597</v>
      </c>
      <c r="AP76" s="11">
        <f>37358.8371102128/(10^3)</f>
        <v>37.358837110212804</v>
      </c>
      <c r="AQ76" s="11">
        <f>36621.4650265943/(10^3)</f>
        <v>36.621465026594301</v>
      </c>
      <c r="AR76" s="11">
        <f>38409.7735237922/(10^3)</f>
        <v>38.409773523792204</v>
      </c>
      <c r="AS76" s="11">
        <f>40263.4450606433/(10^3)</f>
        <v>40.263445060643299</v>
      </c>
      <c r="AT76" s="11">
        <f>39697.4116820606/(10^3)</f>
        <v>39.697411682060597</v>
      </c>
      <c r="AU76" s="11">
        <f>4156895.63867059/(10^3)</f>
        <v>4156.8956386705895</v>
      </c>
      <c r="AV76" s="11">
        <f>42350.7945980012/(10^3)</f>
        <v>42.350794598001201</v>
      </c>
      <c r="AW76" s="11">
        <f>42241.7012670395/(10^3)</f>
        <v>42.241701267039495</v>
      </c>
      <c r="AX76" s="11">
        <f>41951.4146177815/(10^3)</f>
        <v>41.951414617781495</v>
      </c>
      <c r="AY76" s="11">
        <f>43967.7613678505/(10^3)</f>
        <v>43.9677613678505</v>
      </c>
      <c r="AZ76" s="11">
        <f>43350.8568970776/(10^3)</f>
        <v>43.350856897077605</v>
      </c>
      <c r="BA76" s="11">
        <f>445.47574772081/(10^3)</f>
        <v>0.44547574772081</v>
      </c>
      <c r="BB76" s="11">
        <f>44197.7393046677/(10^3)</f>
        <v>44.197739304667699</v>
      </c>
      <c r="BC76" s="11">
        <f>43367.4830662578/(10^3)</f>
        <v>43.367483066257805</v>
      </c>
      <c r="BD76" s="11">
        <f>45389.898604996/(10^3)</f>
        <v>45.389898604995999</v>
      </c>
      <c r="BE76" s="11">
        <f>46686.6265983206/(10^3)</f>
        <v>46.686626598320601</v>
      </c>
      <c r="BF76" s="11">
        <f>46568.3926963619/(10^3)</f>
        <v>46.568392696361904</v>
      </c>
      <c r="BG76" s="11">
        <f>4673807.48527138/(10^3)</f>
        <v>4673.8074852713798</v>
      </c>
      <c r="BH76" s="11">
        <f>47488.9702160161/(10^3)</f>
        <v>47.488970216016106</v>
      </c>
      <c r="BI76" s="11">
        <f>47378.4748772593/(10^3)</f>
        <v>47.378474877259301</v>
      </c>
      <c r="BJ76" s="11">
        <f>49012.8349418487/(10^3)</f>
        <v>49.012834941848695</v>
      </c>
      <c r="BK76" s="11">
        <f>49411.5777225504/(10^3)</f>
        <v>49.411577722550398</v>
      </c>
      <c r="BL76" s="11">
        <f>51484.9473349647/(10^3)</f>
        <v>51.484947334964701</v>
      </c>
      <c r="BM76" s="11">
        <f>536.36812641918/(10^3)</f>
        <v>0.53636812641918008</v>
      </c>
      <c r="BN76" s="11">
        <f>54418.8817987928/(10^3)</f>
        <v>54.418881798792796</v>
      </c>
      <c r="BO76" s="11">
        <f>55213.7586145225/(10^3)</f>
        <v>55.213758614522497</v>
      </c>
      <c r="BP76" s="11">
        <f>56365.7632105184/(10^3)</f>
        <v>56.365763210518402</v>
      </c>
      <c r="BQ76" s="11">
        <f>56132.6395058889/(10^3)</f>
        <v>56.132639505888903</v>
      </c>
      <c r="BR76" s="11">
        <f>57910.0128099912/(10^3)</f>
        <v>57.910012809991201</v>
      </c>
      <c r="BS76" s="11">
        <f>5943303.15014677/(10^3)</f>
        <v>5943.3031501467703</v>
      </c>
      <c r="BT76" s="11">
        <f>59778.4056729022/(10^3)</f>
        <v>59.778405672902196</v>
      </c>
      <c r="BU76" s="11">
        <f>59867.4666825278/(10^3)</f>
        <v>59.867466682527798</v>
      </c>
      <c r="BV76" s="11">
        <f>59698.3618993576/(10^3)</f>
        <v>59.6983618993576</v>
      </c>
      <c r="BW76" s="11">
        <f>62309.5153449564/(10^3)</f>
        <v>62.309515344956402</v>
      </c>
      <c r="BX76" s="11">
        <f>61514.6821581454/(10^3)</f>
        <v>61.514682158145398</v>
      </c>
      <c r="BY76" s="11">
        <f>640.309130644333/(10^3)</f>
        <v>0.64030913064433304</v>
      </c>
      <c r="BZ76" s="11">
        <f>64030.9130644333/(10^3)</f>
        <v>64.030913064433292</v>
      </c>
      <c r="CA76" s="11">
        <f>65342.4169275391/(10^3)</f>
        <v>65.342416927539105</v>
      </c>
      <c r="CB76" s="11">
        <f>68385.1135014378/(10^3)</f>
        <v>68.3851135014378</v>
      </c>
      <c r="CC76" s="12"/>
      <c r="CZ76" s="11">
        <v>29.207930657799441</v>
      </c>
      <c r="DA76" s="11">
        <v>32.104432900464055</v>
      </c>
      <c r="DB76" s="11">
        <v>36.119708840542607</v>
      </c>
      <c r="DC76" s="11">
        <v>44.547574772081049</v>
      </c>
      <c r="DD76" s="11">
        <v>53.63681264191797</v>
      </c>
      <c r="DE76" s="11">
        <v>64.030913064433321</v>
      </c>
      <c r="DG76" s="11">
        <v>28.549713881285687</v>
      </c>
      <c r="DH76" s="11">
        <v>32.379781719235368</v>
      </c>
      <c r="DI76" s="11">
        <v>33.513509015134147</v>
      </c>
      <c r="DJ76" s="11">
        <v>41.568956386705864</v>
      </c>
      <c r="DK76" s="11">
        <v>46.738074852713837</v>
      </c>
      <c r="DL76" s="11">
        <v>59.433031501467738</v>
      </c>
    </row>
    <row r="77" spans="4:116" ht="15.6" outlineLevel="1" x14ac:dyDescent="0.25">
      <c r="D77" s="10" t="s">
        <v>38</v>
      </c>
      <c r="E77" s="10" t="s">
        <v>37</v>
      </c>
      <c r="F77" s="10" t="s">
        <v>149</v>
      </c>
      <c r="G77" s="10" t="s">
        <v>182</v>
      </c>
      <c r="H77" s="62" t="str">
        <f t="shared" si="3"/>
        <v>Jefferson City (피합병)</v>
      </c>
      <c r="I77" s="11">
        <f>42307.9681581058/(10^3)</f>
        <v>42.307968158105801</v>
      </c>
      <c r="J77" s="11">
        <f>42002.0361662022/(10^3)</f>
        <v>42.002036166202195</v>
      </c>
      <c r="K77" s="11">
        <f>4172679.39948176/(10^3)</f>
        <v>4172.6793994817599</v>
      </c>
      <c r="L77" s="11">
        <f>40947.2832239404/(10^3)</f>
        <v>40.947283223940403</v>
      </c>
      <c r="M77" s="11">
        <f>41663.660876781/(10^3)</f>
        <v>41.663660876781002</v>
      </c>
      <c r="N77" s="11">
        <f>42146.247247535/(10^3)</f>
        <v>42.146247247535001</v>
      </c>
      <c r="O77" s="11">
        <f>42755.2700122363/(10^3)</f>
        <v>42.755270012236302</v>
      </c>
      <c r="P77" s="11">
        <f>42336.9137230425/(10^3)</f>
        <v>42.3369137230425</v>
      </c>
      <c r="Q77" s="11">
        <f>426.793412755323/(10^3)</f>
        <v>0.42679341275532301</v>
      </c>
      <c r="R77" s="11">
        <f>43887.9617376627/(10^3)</f>
        <v>43.8879617376627</v>
      </c>
      <c r="S77" s="11">
        <f>45181.8217333122/(10^3)</f>
        <v>45.181821733312198</v>
      </c>
      <c r="T77" s="11">
        <f>44776.1166920501/(10^3)</f>
        <v>44.776116692050095</v>
      </c>
      <c r="U77" s="11">
        <f>44170.5302234877/(10^3)</f>
        <v>44.170530223487702</v>
      </c>
      <c r="V77" s="11">
        <f>44066.4879064946/(10^3)</f>
        <v>44.066487906494601</v>
      </c>
      <c r="W77" s="11">
        <f>4591885.78171909/(10^3)</f>
        <v>4591.8857817190901</v>
      </c>
      <c r="X77" s="11">
        <f>46643.3855753117/(10^3)</f>
        <v>46.643385575311704</v>
      </c>
      <c r="Y77" s="11">
        <f>46335.3593782159/(10^3)</f>
        <v>46.335359378215898</v>
      </c>
      <c r="Z77" s="11">
        <f>46245.5771092424/(10^3)</f>
        <v>46.245577109242397</v>
      </c>
      <c r="AA77" s="11">
        <f>46960.6820618995/(10^3)</f>
        <v>46.960682061899497</v>
      </c>
      <c r="AB77" s="11">
        <f>48457.296924452/(10^3)</f>
        <v>48.457296924452002</v>
      </c>
      <c r="AC77" s="11">
        <f>499.034680867475/(10^3)</f>
        <v>0.49903468086747499</v>
      </c>
      <c r="AD77" s="11">
        <f>49362.9026798871/(10^3)</f>
        <v>49.3629026798871</v>
      </c>
      <c r="AE77" s="11">
        <f>49559.0896950292/(10^3)</f>
        <v>49.559089695029201</v>
      </c>
      <c r="AF77" s="11">
        <f>51451.0574258673/(10^3)</f>
        <v>51.451057425867297</v>
      </c>
      <c r="AG77" s="11">
        <f>51964.4771451048/(10^3)</f>
        <v>51.964477145104802</v>
      </c>
      <c r="AH77" s="11">
        <f>50941.5936064711/(10^3)</f>
        <v>50.941593606471102</v>
      </c>
      <c r="AI77" s="11">
        <f>5224456.75202194/(10^3)</f>
        <v>5224.4567520219407</v>
      </c>
      <c r="AJ77" s="11">
        <f>52958.6345001228/(10^3)</f>
        <v>52.958634500122798</v>
      </c>
      <c r="AK77" s="11">
        <f>52746.9530774357/(10^3)</f>
        <v>52.746953077435698</v>
      </c>
      <c r="AL77" s="11">
        <f>51993.5773787526/(10^3)</f>
        <v>51.993577378752597</v>
      </c>
      <c r="AM77" s="11">
        <f>51957.4798034434/(10^3)</f>
        <v>51.957479803443398</v>
      </c>
      <c r="AN77" s="11">
        <f>54069.8993707777/(10^3)</f>
        <v>54.069899370777698</v>
      </c>
      <c r="AO77" s="11">
        <f>542.799234690994/(10^3)</f>
        <v>0.542799234690994</v>
      </c>
      <c r="AP77" s="11">
        <f>56838.8201840243/(10^3)</f>
        <v>56.8388201840243</v>
      </c>
      <c r="AQ77" s="11">
        <f>57943.9105337203/(10^3)</f>
        <v>57.943910533720299</v>
      </c>
      <c r="AR77" s="11">
        <f>58662.8883667232/(10^3)</f>
        <v>58.662888366723202</v>
      </c>
      <c r="AS77" s="11">
        <f>59389.3078147102/(10^3)</f>
        <v>59.3893078147102</v>
      </c>
      <c r="AT77" s="11">
        <f>58312.4900819976/(10^3)</f>
        <v>58.312490081997602</v>
      </c>
      <c r="AU77" s="11">
        <f>5985772.12161787/(10^3)</f>
        <v>5985.7721216178707</v>
      </c>
      <c r="AV77" s="11">
        <f>58765.3946907436/(10^3)</f>
        <v>58.765394690743598</v>
      </c>
      <c r="AW77" s="11">
        <f>58536.34934927/(10^3)</f>
        <v>58.536349349269997</v>
      </c>
      <c r="AX77" s="11">
        <f>60104.5486352345/(10^3)</f>
        <v>60.104548635234501</v>
      </c>
      <c r="AY77" s="11">
        <f>61819.5366524164/(10^3)</f>
        <v>61.819536652416396</v>
      </c>
      <c r="AZ77" s="11">
        <f>62176.5000395373/(10^3)</f>
        <v>62.176500039537302</v>
      </c>
      <c r="BA77" s="11">
        <f>616.528953635063/(10^3)</f>
        <v>0.61652895363506299</v>
      </c>
      <c r="BB77" s="11">
        <f>62712.6119304955/(10^3)</f>
        <v>62.712611930495498</v>
      </c>
      <c r="BC77" s="11">
        <f>63514.4421447111/(10^3)</f>
        <v>63.514442144711104</v>
      </c>
      <c r="BD77" s="11">
        <f>65506.6106214254/(10^3)</f>
        <v>65.506610621425409</v>
      </c>
      <c r="BE77" s="11">
        <f>64813.4206460541/(10^3)</f>
        <v>64.813420646054098</v>
      </c>
      <c r="BF77" s="11">
        <f>67457.0282315532/(10^3)</f>
        <v>67.457028231553195</v>
      </c>
      <c r="BG77" s="11">
        <f>6933266.78355938/(10^3)</f>
        <v>6933.2667835593802</v>
      </c>
      <c r="BH77" s="11">
        <f>71161.9722411909/(10^3)</f>
        <v>71.161972241190909</v>
      </c>
      <c r="BI77" s="11">
        <f>73081.1235034623/(10^3)</f>
        <v>73.081123503462294</v>
      </c>
      <c r="BJ77" s="11">
        <f>71679.1308576759/(10^3)</f>
        <v>71.679130857675901</v>
      </c>
      <c r="BK77" s="11">
        <f>71809.4331805421/(10^3)</f>
        <v>71.809433180542101</v>
      </c>
      <c r="BL77" s="11">
        <f>72155.0551530552/(10^3)</f>
        <v>72.155055153055201</v>
      </c>
      <c r="BM77" s="11">
        <f>748.575368936875/(10^3)</f>
        <v>0.74857536893687493</v>
      </c>
      <c r="BN77" s="11">
        <f>74788.1917292872/(10^3)</f>
        <v>74.788191729287192</v>
      </c>
      <c r="BO77" s="11">
        <f>77687.3850109328/(10^3)</f>
        <v>77.6873850109328</v>
      </c>
      <c r="BP77" s="11">
        <f>76540.9436123405/(10^3)</f>
        <v>76.540943612340499</v>
      </c>
      <c r="BQ77" s="11">
        <f>76753.7573759734/(10^3)</f>
        <v>76.753757375973393</v>
      </c>
      <c r="BR77" s="11">
        <f>78330.300357284/(10^3)</f>
        <v>78.330300357283988</v>
      </c>
      <c r="BS77" s="11">
        <f>7978076.84423954/(10^3)</f>
        <v>7978.0768442395402</v>
      </c>
      <c r="BT77" s="11">
        <f>81300.2191488517/(10^3)</f>
        <v>81.300219148851696</v>
      </c>
      <c r="BU77" s="11">
        <f>80792.7300165986/(10^3)</f>
        <v>80.792730016598597</v>
      </c>
      <c r="BV77" s="11">
        <f>82047.8411825962/(10^3)</f>
        <v>82.047841182596201</v>
      </c>
      <c r="BW77" s="11">
        <f>84686.9736130575/(10^3)</f>
        <v>84.686973613057503</v>
      </c>
      <c r="BX77" s="11">
        <f>85003.8663031284/(10^3)</f>
        <v>85.00386630312839</v>
      </c>
      <c r="BY77" s="11">
        <f>888.370393622884/(10^3)</f>
        <v>0.88837039362288395</v>
      </c>
      <c r="BZ77" s="11">
        <f>88837.0393622884/(10^3)</f>
        <v>88.837039362288394</v>
      </c>
      <c r="CA77" s="11">
        <f>90544.9804154621/(10^3)</f>
        <v>90.544980415462092</v>
      </c>
      <c r="CB77" s="11">
        <f>92354.755561363/(10^3)</f>
        <v>92.354755561362992</v>
      </c>
      <c r="CC77" s="12"/>
      <c r="CZ77" s="11">
        <v>42.679341275532281</v>
      </c>
      <c r="DA77" s="11">
        <v>49.903468086747495</v>
      </c>
      <c r="DB77" s="11">
        <v>54.279923469099437</v>
      </c>
      <c r="DC77" s="11">
        <v>61.652895363506261</v>
      </c>
      <c r="DD77" s="11">
        <v>74.857536893687495</v>
      </c>
      <c r="DE77" s="11">
        <v>88.837039362288408</v>
      </c>
      <c r="DG77" s="11">
        <v>41.726793994817598</v>
      </c>
      <c r="DH77" s="11">
        <v>45.918857817190869</v>
      </c>
      <c r="DI77" s="11">
        <v>52.244567520219405</v>
      </c>
      <c r="DJ77" s="11">
        <v>59.857721216178739</v>
      </c>
      <c r="DK77" s="11">
        <v>69.332667835593796</v>
      </c>
      <c r="DL77" s="11">
        <v>79.780768442395356</v>
      </c>
    </row>
    <row r="78" spans="4:116" ht="15.6" outlineLevel="1" x14ac:dyDescent="0.25">
      <c r="D78" s="10" t="s">
        <v>39</v>
      </c>
      <c r="E78" s="10" t="s">
        <v>37</v>
      </c>
      <c r="F78" s="10" t="s">
        <v>149</v>
      </c>
      <c r="G78" s="10" t="s">
        <v>182</v>
      </c>
      <c r="H78" s="62" t="str">
        <f t="shared" si="3"/>
        <v>Kansas City (피합병)</v>
      </c>
      <c r="I78" s="11">
        <f>88923.1449128844/(10^3)</f>
        <v>88.923144912884396</v>
      </c>
      <c r="J78" s="11">
        <f>89151.4042532849/(10^3)</f>
        <v>89.151404253284895</v>
      </c>
      <c r="K78" s="11">
        <f>8969242.0488485/(10^3)</f>
        <v>8969.2420488485004</v>
      </c>
      <c r="L78" s="11">
        <f>91959.6570884942/(10^3)</f>
        <v>91.959657088494211</v>
      </c>
      <c r="M78" s="11">
        <f>92447.4782413775/(10^3)</f>
        <v>92.447478241377496</v>
      </c>
      <c r="N78" s="11">
        <f>94222.3234719972/(10^3)</f>
        <v>94.2223234719972</v>
      </c>
      <c r="O78" s="11">
        <f>97311.8351424236/(10^3)</f>
        <v>97.311835142423604</v>
      </c>
      <c r="P78" s="11">
        <f>95767.6740796955/(10^3)</f>
        <v>95.767674079695496</v>
      </c>
      <c r="Q78" s="11">
        <f>949.957146821525/(10^3)</f>
        <v>0.94995714682152499</v>
      </c>
      <c r="R78" s="11">
        <f>98719.4366686579/(10^3)</f>
        <v>98.719436668657906</v>
      </c>
      <c r="S78" s="11">
        <f>102765.344787133/(10^3)</f>
        <v>102.765344787133</v>
      </c>
      <c r="T78" s="11">
        <f>101523.752755401/(10^3)</f>
        <v>101.52375275540101</v>
      </c>
      <c r="U78" s="11">
        <f>103990.489076879/(10^3)</f>
        <v>103.990489076879</v>
      </c>
      <c r="V78" s="11">
        <f>106151.460536337/(10^3)</f>
        <v>106.15146053633701</v>
      </c>
      <c r="W78" s="11">
        <f>10875191.3787727/(10^3)</f>
        <v>10875.191378772701</v>
      </c>
      <c r="X78" s="11">
        <f>109132.565963836/(10^3)</f>
        <v>109.132565963836</v>
      </c>
      <c r="Y78" s="11">
        <f>114129.803851794/(10^3)</f>
        <v>114.12980385179399</v>
      </c>
      <c r="Z78" s="11">
        <f>119795.411273374/(10^3)</f>
        <v>119.795411273374</v>
      </c>
      <c r="AA78" s="11">
        <f>125666.930717968/(10^3)</f>
        <v>125.666930717968</v>
      </c>
      <c r="AB78" s="11">
        <f>125438.821401734/(10^3)</f>
        <v>125.438821401734</v>
      </c>
      <c r="AC78" s="11">
        <f>1245.89738171802/(10^3)</f>
        <v>1.2458973817180199</v>
      </c>
      <c r="AD78" s="11">
        <f>123202.357208121/(10^3)</f>
        <v>123.202357208121</v>
      </c>
      <c r="AE78" s="11">
        <f>125772.818218812/(10^3)</f>
        <v>125.77281821881199</v>
      </c>
      <c r="AF78" s="11">
        <f>129651.086529007/(10^3)</f>
        <v>129.65108652900702</v>
      </c>
      <c r="AG78" s="11">
        <f>129123.149958039/(10^3)</f>
        <v>129.12314995803899</v>
      </c>
      <c r="AH78" s="11">
        <f>134041.269170418/(10^3)</f>
        <v>134.04126917041799</v>
      </c>
      <c r="AI78" s="11">
        <f>13137214.9803505/(10^3)</f>
        <v>13137.2149803505</v>
      </c>
      <c r="AJ78" s="11">
        <f>134352.659043452/(10^3)</f>
        <v>134.35265904345201</v>
      </c>
      <c r="AK78" s="11">
        <f>135356.763311191/(10^3)</f>
        <v>135.356763311191</v>
      </c>
      <c r="AL78" s="11">
        <f>133530.577678784/(10^3)</f>
        <v>133.530577678784</v>
      </c>
      <c r="AM78" s="11">
        <f>132842.171602405/(10^3)</f>
        <v>132.84217160240499</v>
      </c>
      <c r="AN78" s="11">
        <f>131243.289906136/(10^3)</f>
        <v>131.243289906136</v>
      </c>
      <c r="AO78" s="11">
        <f>1306.62692314739/(10^3)</f>
        <v>1.3066269231473899</v>
      </c>
      <c r="AP78" s="11">
        <f>135284.952948261/(10^3)</f>
        <v>135.28495294826101</v>
      </c>
      <c r="AQ78" s="11">
        <f>133550.578105258/(10^3)</f>
        <v>133.55057810525801</v>
      </c>
      <c r="AR78" s="11">
        <f>132543.725871699/(10^3)</f>
        <v>132.543725871699</v>
      </c>
      <c r="AS78" s="11">
        <f>130761.372472654/(10^3)</f>
        <v>130.76137247265399</v>
      </c>
      <c r="AT78" s="11">
        <f>131843.07643453/(10^3)</f>
        <v>131.84307643452999</v>
      </c>
      <c r="AU78" s="11">
        <f>13141328.8198264/(10^3)</f>
        <v>13141.3288198264</v>
      </c>
      <c r="AV78" s="11">
        <f>135648.88714012/(10^3)</f>
        <v>135.64888714012</v>
      </c>
      <c r="AW78" s="11">
        <f>139600.703997278/(10^3)</f>
        <v>139.600703997278</v>
      </c>
      <c r="AX78" s="11">
        <f>140681.635808962/(10^3)</f>
        <v>140.681635808962</v>
      </c>
      <c r="AY78" s="11">
        <f>138399.404617069/(10^3)</f>
        <v>138.399404617069</v>
      </c>
      <c r="AZ78" s="11">
        <f>139690.199133202/(10^3)</f>
        <v>139.69019913320199</v>
      </c>
      <c r="BA78" s="11">
        <f>1404.60085414776/(10^3)</f>
        <v>1.4046008541477599</v>
      </c>
      <c r="BB78" s="11">
        <f>143693.522025799/(10^3)</f>
        <v>143.69352202579901</v>
      </c>
      <c r="BC78" s="11">
        <f>142166.889935153/(10^3)</f>
        <v>142.16688993515302</v>
      </c>
      <c r="BD78" s="11">
        <f>147440.551863854/(10^3)</f>
        <v>147.44055186385398</v>
      </c>
      <c r="BE78" s="11">
        <f>146223.137033108/(10^3)</f>
        <v>146.223137033108</v>
      </c>
      <c r="BF78" s="11">
        <f>148865.868701352/(10^3)</f>
        <v>148.86586870135201</v>
      </c>
      <c r="BG78" s="11">
        <f>15435687.4589324/(10^3)</f>
        <v>15435.6874589324</v>
      </c>
      <c r="BH78" s="11">
        <f>154597.004716991/(10^3)</f>
        <v>154.59700471699102</v>
      </c>
      <c r="BI78" s="11">
        <f>156224.174379094/(10^3)</f>
        <v>156.22417437909399</v>
      </c>
      <c r="BJ78" s="11">
        <f>153761.682421582/(10^3)</f>
        <v>153.76168242158198</v>
      </c>
      <c r="BK78" s="11">
        <f>156308.259251965/(10^3)</f>
        <v>156.30825925196501</v>
      </c>
      <c r="BL78" s="11">
        <f>155302.146715872/(10^3)</f>
        <v>155.302146715872</v>
      </c>
      <c r="BM78" s="11">
        <f>1538.11256713371/(10^3)</f>
        <v>1.5381125671337099</v>
      </c>
      <c r="BN78" s="11">
        <f>159760.454335934/(10^3)</f>
        <v>159.76045433593399</v>
      </c>
      <c r="BO78" s="11">
        <f>165646.508735321/(10^3)</f>
        <v>165.64650873532099</v>
      </c>
      <c r="BP78" s="11">
        <f>168103.516673319/(10^3)</f>
        <v>168.10351667331901</v>
      </c>
      <c r="BQ78" s="11">
        <f>165209.276671377/(10^3)</f>
        <v>165.20927667137701</v>
      </c>
      <c r="BR78" s="11">
        <f>162281.907171139/(10^3)</f>
        <v>162.28190717113901</v>
      </c>
      <c r="BS78" s="11">
        <f>16881577.9515673/(10^3)</f>
        <v>16881.577951567298</v>
      </c>
      <c r="BT78" s="11">
        <f>170445.962360651/(10^3)</f>
        <v>170.44596236065101</v>
      </c>
      <c r="BU78" s="11">
        <f>170306.974477383/(10^3)</f>
        <v>170.30697447738299</v>
      </c>
      <c r="BV78" s="11">
        <f>175492.063947426/(10^3)</f>
        <v>175.492063947426</v>
      </c>
      <c r="BW78" s="11">
        <f>176855.485432149/(10^3)</f>
        <v>176.85548543214901</v>
      </c>
      <c r="BX78" s="11">
        <f>174403.313925016/(10^3)</f>
        <v>174.40331392501599</v>
      </c>
      <c r="BY78" s="11">
        <f>1694.67818815809/(10^3)</f>
        <v>1.6946781881580901</v>
      </c>
      <c r="BZ78" s="11">
        <f>169467.818815809/(10^3)</f>
        <v>169.46781881580901</v>
      </c>
      <c r="CA78" s="11">
        <f>175938.474012264/(10^3)</f>
        <v>175.93847401226398</v>
      </c>
      <c r="CB78" s="11">
        <f>177969.911004386/(10^3)</f>
        <v>177.96991100438601</v>
      </c>
      <c r="CC78" s="12"/>
      <c r="CZ78" s="11">
        <v>94.995714682152467</v>
      </c>
      <c r="DA78" s="11">
        <v>124.58973817180234</v>
      </c>
      <c r="DB78" s="11">
        <v>130.66269231473913</v>
      </c>
      <c r="DC78" s="11">
        <v>140.4600854147757</v>
      </c>
      <c r="DD78" s="11">
        <v>153.8112567133708</v>
      </c>
      <c r="DE78" s="11">
        <v>169.46781881580876</v>
      </c>
      <c r="DG78" s="11">
        <v>89.692420488485013</v>
      </c>
      <c r="DH78" s="11">
        <v>108.75191378772698</v>
      </c>
      <c r="DI78" s="11">
        <v>131.37214980350518</v>
      </c>
      <c r="DJ78" s="11">
        <v>131.41328819826421</v>
      </c>
      <c r="DK78" s="11">
        <v>154.35687458932441</v>
      </c>
      <c r="DL78" s="11">
        <v>168.81577951567294</v>
      </c>
    </row>
    <row r="79" spans="4:116" ht="15.6" outlineLevel="1" x14ac:dyDescent="0.25">
      <c r="D79" s="10" t="s">
        <v>40</v>
      </c>
      <c r="E79" s="10" t="s">
        <v>25</v>
      </c>
      <c r="F79" s="10" t="s">
        <v>149</v>
      </c>
      <c r="G79" s="10" t="s">
        <v>182</v>
      </c>
      <c r="H79" s="62" t="str">
        <f t="shared" si="3"/>
        <v>Lansing (피합병)</v>
      </c>
      <c r="I79" s="11">
        <f>81931.7188285175/(10^3)</f>
        <v>81.931718828517504</v>
      </c>
      <c r="J79" s="11">
        <f>84586.8498762539/(10^3)</f>
        <v>84.586849876253893</v>
      </c>
      <c r="K79" s="11">
        <f>8440445.91462953/(10^3)</f>
        <v>8440.4459146295303</v>
      </c>
      <c r="L79" s="11">
        <f>86274.1006346862/(10^3)</f>
        <v>86.274100634686192</v>
      </c>
      <c r="M79" s="11">
        <f>90235.2336045863/(10^3)</f>
        <v>90.235233604586298</v>
      </c>
      <c r="N79" s="11">
        <f>93796.0665321939/(10^3)</f>
        <v>93.796066532193905</v>
      </c>
      <c r="O79" s="11">
        <f>92273.3545562106/(10^3)</f>
        <v>92.273354556210606</v>
      </c>
      <c r="P79" s="11">
        <f>93747.3570573341/(10^3)</f>
        <v>93.747357057334099</v>
      </c>
      <c r="Q79" s="11">
        <f>947.971555743706/(10^3)</f>
        <v>0.94797155574370595</v>
      </c>
      <c r="R79" s="11">
        <f>98357.0821059094/(10^3)</f>
        <v>98.357082105909399</v>
      </c>
      <c r="S79" s="11">
        <f>101462.071092758/(10^3)</f>
        <v>101.46207109275799</v>
      </c>
      <c r="T79" s="11">
        <f>100404.142901499/(10^3)</f>
        <v>100.404142901499</v>
      </c>
      <c r="U79" s="11">
        <f>99366.5352035747/(10^3)</f>
        <v>99.366535203574699</v>
      </c>
      <c r="V79" s="11">
        <f>99510.9579272405/(10^3)</f>
        <v>99.510957927240497</v>
      </c>
      <c r="W79" s="11">
        <f>9851984.9238592/(10^3)</f>
        <v>9851.9849238591996</v>
      </c>
      <c r="X79" s="11">
        <f>98825.0537608485/(10^3)</f>
        <v>98.825053760848505</v>
      </c>
      <c r="Y79" s="11">
        <f>99695.247760203/(10^3)</f>
        <v>99.695247760203003</v>
      </c>
      <c r="Z79" s="11">
        <f>99801.8970429706/(10^3)</f>
        <v>99.801897042970594</v>
      </c>
      <c r="AA79" s="11">
        <f>98600.2292143065/(10^3)</f>
        <v>98.600229214306495</v>
      </c>
      <c r="AB79" s="11">
        <f>100564.044890864/(10^3)</f>
        <v>100.564044890864</v>
      </c>
      <c r="AC79" s="11">
        <f>1001.13624300708/(10^3)</f>
        <v>1.00113624300708</v>
      </c>
      <c r="AD79" s="11">
        <f>102524.612424862/(10^3)</f>
        <v>102.524612424862</v>
      </c>
      <c r="AE79" s="11">
        <f>106139.818097442/(10^3)</f>
        <v>106.13981809744199</v>
      </c>
      <c r="AF79" s="11">
        <f>105627.11081211/(10^3)</f>
        <v>105.62711081210999</v>
      </c>
      <c r="AG79" s="11">
        <f>105142.722607435/(10^3)</f>
        <v>105.142722607435</v>
      </c>
      <c r="AH79" s="11">
        <f>104164.57123644/(10^3)</f>
        <v>104.16457123644</v>
      </c>
      <c r="AI79" s="11">
        <f>10353688.2363866/(10^3)</f>
        <v>10353.688236386601</v>
      </c>
      <c r="AJ79" s="11">
        <f>102862.589589089/(10^3)</f>
        <v>102.862589589089</v>
      </c>
      <c r="AK79" s="11">
        <f>100830.137936841/(10^3)</f>
        <v>100.830137936841</v>
      </c>
      <c r="AL79" s="11">
        <f>99986.9809686516/(10^3)</f>
        <v>99.986980968651594</v>
      </c>
      <c r="AM79" s="11">
        <f>104179.160985723/(10^3)</f>
        <v>104.179160985723</v>
      </c>
      <c r="AN79" s="11">
        <f>102102.622464074/(10^3)</f>
        <v>102.102622464074</v>
      </c>
      <c r="AO79" s="11">
        <f>1043.90831565443/(10^3)</f>
        <v>1.04390831565443</v>
      </c>
      <c r="AP79" s="11">
        <f>108562.544475457/(10^3)</f>
        <v>108.562544475457</v>
      </c>
      <c r="AQ79" s="11">
        <f>108028.014992838/(10^3)</f>
        <v>108.028014992838</v>
      </c>
      <c r="AR79" s="11">
        <f>106428.773582857/(10^3)</f>
        <v>106.428773582857</v>
      </c>
      <c r="AS79" s="11">
        <f>105885.991181005/(10^3)</f>
        <v>105.885991181005</v>
      </c>
      <c r="AT79" s="11">
        <f>105719.207503445/(10^3)</f>
        <v>105.71920750344499</v>
      </c>
      <c r="AU79" s="11">
        <f>10910880.316849/(10^3)</f>
        <v>10910.880316849001</v>
      </c>
      <c r="AV79" s="11">
        <f>107405.035602886/(10^3)</f>
        <v>107.405035602886</v>
      </c>
      <c r="AW79" s="11">
        <f>108247.000457088/(10^3)</f>
        <v>108.24700045708799</v>
      </c>
      <c r="AX79" s="11">
        <f>107151.372183925/(10^3)</f>
        <v>107.15137218392501</v>
      </c>
      <c r="AY79" s="11">
        <f>105835.545970189/(10^3)</f>
        <v>105.835545970189</v>
      </c>
      <c r="AZ79" s="11">
        <f>108146.567063383/(10^3)</f>
        <v>108.146567063383</v>
      </c>
      <c r="BA79" s="11">
        <f>1081.36516339922/(10^3)</f>
        <v>1.0813651633992198</v>
      </c>
      <c r="BB79" s="11">
        <f>110374.207235749/(10^3)</f>
        <v>110.374207235749</v>
      </c>
      <c r="BC79" s="11">
        <f>111766.735102422/(10^3)</f>
        <v>111.766735102422</v>
      </c>
      <c r="BD79" s="11">
        <f>116269.061584938/(10^3)</f>
        <v>116.269061584938</v>
      </c>
      <c r="BE79" s="11">
        <f>115060.699608659/(10^3)</f>
        <v>115.06069960865899</v>
      </c>
      <c r="BF79" s="11">
        <f>113252.778023794/(10^3)</f>
        <v>113.25277802379401</v>
      </c>
      <c r="BG79" s="11">
        <f>11613198.5384332/(10^3)</f>
        <v>11613.1985384332</v>
      </c>
      <c r="BH79" s="11">
        <f>114906.418318839/(10^3)</f>
        <v>114.906418318839</v>
      </c>
      <c r="BI79" s="11">
        <f>116514.069434367/(10^3)</f>
        <v>116.514069434367</v>
      </c>
      <c r="BJ79" s="11">
        <f>121591.872967368/(10^3)</f>
        <v>121.591872967368</v>
      </c>
      <c r="BK79" s="11">
        <f>124570.635627353/(10^3)</f>
        <v>124.570635627353</v>
      </c>
      <c r="BL79" s="11">
        <f>128346.092017772/(10^3)</f>
        <v>128.34609201777201</v>
      </c>
      <c r="BM79" s="11">
        <f>1283.99180099383/(10^3)</f>
        <v>1.28399180099383</v>
      </c>
      <c r="BN79" s="11">
        <f>131177.01246646/(10^3)</f>
        <v>131.17701246646001</v>
      </c>
      <c r="BO79" s="11">
        <f>129510.682199089/(10^3)</f>
        <v>129.51068219908899</v>
      </c>
      <c r="BP79" s="11">
        <f>131483.006143801/(10^3)</f>
        <v>131.48300614380099</v>
      </c>
      <c r="BQ79" s="11">
        <f>131584.178415852/(10^3)</f>
        <v>131.58417841585199</v>
      </c>
      <c r="BR79" s="11">
        <f>135422.837040738/(10^3)</f>
        <v>135.42283704073799</v>
      </c>
      <c r="BS79" s="11">
        <f>14104425.1576857/(10^3)</f>
        <v>14104.4251576857</v>
      </c>
      <c r="BT79" s="11">
        <f>144012.877876857/(10^3)</f>
        <v>144.012877876857</v>
      </c>
      <c r="BU79" s="11">
        <f>146915.752394811/(10^3)</f>
        <v>146.91575239481099</v>
      </c>
      <c r="BV79" s="11">
        <f>146488.847647124/(10^3)</f>
        <v>146.488847647124</v>
      </c>
      <c r="BW79" s="11">
        <f>146132.776031896/(10^3)</f>
        <v>146.13277603189601</v>
      </c>
      <c r="BX79" s="11">
        <f>146780.571091692/(10^3)</f>
        <v>146.780571091692</v>
      </c>
      <c r="BY79" s="11">
        <f>1516.8418106056/(10^3)</f>
        <v>1.5168418106055999</v>
      </c>
      <c r="BZ79" s="11">
        <f>151684.18106056/(10^3)</f>
        <v>151.68418106055998</v>
      </c>
      <c r="CA79" s="11">
        <f>149626.403199847/(10^3)</f>
        <v>149.626403199847</v>
      </c>
      <c r="CB79" s="11">
        <f>156042.429197623/(10^3)</f>
        <v>156.04242919762299</v>
      </c>
      <c r="CC79" s="12"/>
      <c r="CZ79" s="11">
        <v>94.797155574370578</v>
      </c>
      <c r="DA79" s="11">
        <v>100.11362430070776</v>
      </c>
      <c r="DB79" s="11">
        <v>104.39083156544292</v>
      </c>
      <c r="DC79" s="11">
        <v>108.13651633992198</v>
      </c>
      <c r="DD79" s="11">
        <v>128.39918009938327</v>
      </c>
      <c r="DE79" s="11">
        <v>151.68418106055969</v>
      </c>
      <c r="DG79" s="11">
        <v>84.404459146295281</v>
      </c>
      <c r="DH79" s="11">
        <v>98.519849238592045</v>
      </c>
      <c r="DI79" s="11">
        <v>103.53688236386638</v>
      </c>
      <c r="DJ79" s="11">
        <v>109.1088031684901</v>
      </c>
      <c r="DK79" s="11">
        <v>116.13198538433231</v>
      </c>
      <c r="DL79" s="11">
        <v>141.04425157685722</v>
      </c>
    </row>
    <row r="80" spans="4:116" ht="15.6" outlineLevel="1" x14ac:dyDescent="0.25">
      <c r="D80" s="10" t="s">
        <v>42</v>
      </c>
      <c r="E80" s="10" t="s">
        <v>41</v>
      </c>
      <c r="F80" s="10" t="s">
        <v>149</v>
      </c>
      <c r="G80" s="10" t="s">
        <v>182</v>
      </c>
      <c r="H80" s="62" t="str">
        <f t="shared" si="3"/>
        <v>Lincoln (피합병)</v>
      </c>
      <c r="I80" s="11">
        <f>38324.8107758515/(10^3)</f>
        <v>38.324810775851503</v>
      </c>
      <c r="J80" s="11">
        <f>38391.0272814847/(10^3)</f>
        <v>38.391027281484696</v>
      </c>
      <c r="K80" s="11">
        <f>4009144.42571811/(10^3)</f>
        <v>4009.1444257181101</v>
      </c>
      <c r="L80" s="11">
        <f>41751.6312662651/(10^3)</f>
        <v>41.7516312662651</v>
      </c>
      <c r="M80" s="11">
        <f>41133.5340546668/(10^3)</f>
        <v>41.133534054666804</v>
      </c>
      <c r="N80" s="11">
        <f>40987.7467161601/(10^3)</f>
        <v>40.987746716160103</v>
      </c>
      <c r="O80" s="11">
        <f>40405.6576846206/(10^3)</f>
        <v>40.4056576846206</v>
      </c>
      <c r="P80" s="11">
        <f>40620.8286541671/(10^3)</f>
        <v>40.620828654167099</v>
      </c>
      <c r="Q80" s="11">
        <f>409.23875111073/(10^3)</f>
        <v>0.40923875111072999</v>
      </c>
      <c r="R80" s="11">
        <f>41966.1482936086/(10^3)</f>
        <v>41.966148293608605</v>
      </c>
      <c r="S80" s="11">
        <f>43628.672658068/(10^3)</f>
        <v>43.628672658067998</v>
      </c>
      <c r="T80" s="11">
        <f>43434.9788735633/(10^3)</f>
        <v>43.434978873563296</v>
      </c>
      <c r="U80" s="11">
        <f>43053.4144842405/(10^3)</f>
        <v>43.053414484240498</v>
      </c>
      <c r="V80" s="11">
        <f>43923.8122658624/(10^3)</f>
        <v>43.923812265862395</v>
      </c>
      <c r="W80" s="11">
        <f>4312110.34149083/(10^3)</f>
        <v>4312.1103414908303</v>
      </c>
      <c r="X80" s="11">
        <f>44380.8262598799/(10^3)</f>
        <v>44.380826259879896</v>
      </c>
      <c r="Y80" s="11">
        <f>43879.9946031118/(10^3)</f>
        <v>43.879994603111804</v>
      </c>
      <c r="Z80" s="11">
        <f>45190.2241575347/(10^3)</f>
        <v>45.190224157534701</v>
      </c>
      <c r="AA80" s="11">
        <f>44857.142369882/(10^3)</f>
        <v>44.857142369881998</v>
      </c>
      <c r="AB80" s="11">
        <f>44014.0672705078/(10^3)</f>
        <v>44.014067270507802</v>
      </c>
      <c r="AC80" s="11">
        <f>431.40368739492/(10^3)</f>
        <v>0.43140368739491997</v>
      </c>
      <c r="AD80" s="11">
        <f>42299.2268273678/(10^3)</f>
        <v>42.299226827367796</v>
      </c>
      <c r="AE80" s="11">
        <f>43190.5014595755/(10^3)</f>
        <v>43.190501459575501</v>
      </c>
      <c r="AF80" s="11">
        <f>43336.3033804189/(10^3)</f>
        <v>43.336303380418904</v>
      </c>
      <c r="AG80" s="11">
        <f>43052.3497817428/(10^3)</f>
        <v>43.052349781742798</v>
      </c>
      <c r="AH80" s="11">
        <f>44762.1395591233/(10^3)</f>
        <v>44.762139559123298</v>
      </c>
      <c r="AI80" s="11">
        <f>4396546.70265174/(10^3)</f>
        <v>4396.5467026517399</v>
      </c>
      <c r="AJ80" s="11">
        <f>45600.5080941261/(10^3)</f>
        <v>45.600508094126099</v>
      </c>
      <c r="AK80" s="11">
        <f>45082.6528623531/(10^3)</f>
        <v>45.0826528623531</v>
      </c>
      <c r="AL80" s="11">
        <f>44200.7448801429/(10^3)</f>
        <v>44.200744880142899</v>
      </c>
      <c r="AM80" s="11">
        <f>44435.4715187967/(10^3)</f>
        <v>44.435471518796703</v>
      </c>
      <c r="AN80" s="11">
        <f>44249.1120763545/(10^3)</f>
        <v>44.2491120763545</v>
      </c>
      <c r="AO80" s="11">
        <f>443.269066646044/(10^3)</f>
        <v>0.44326906664604399</v>
      </c>
      <c r="AP80" s="11">
        <f>43891.8231602055/(10^3)</f>
        <v>43.891823160205504</v>
      </c>
      <c r="AQ80" s="11">
        <f>45359.8326072182/(10^3)</f>
        <v>45.359832607218202</v>
      </c>
      <c r="AR80" s="11">
        <f>46163.7350798689/(10^3)</f>
        <v>46.1637350798689</v>
      </c>
      <c r="AS80" s="11">
        <f>45428.7698279777/(10^3)</f>
        <v>45.428769827977703</v>
      </c>
      <c r="AT80" s="11">
        <f>45997.9156966617/(10^3)</f>
        <v>45.9979156966617</v>
      </c>
      <c r="AU80" s="11">
        <f>4599518.84470337/(10^3)</f>
        <v>4599.5188447033697</v>
      </c>
      <c r="AV80" s="11">
        <f>45115.1629311827/(10^3)</f>
        <v>45.115162931182695</v>
      </c>
      <c r="AW80" s="11">
        <f>44921.2372300932/(10^3)</f>
        <v>44.921237230093197</v>
      </c>
      <c r="AX80" s="11">
        <f>46306.9074673033/(10^3)</f>
        <v>46.306907467303304</v>
      </c>
      <c r="AY80" s="11">
        <f>48214.8613189126/(10^3)</f>
        <v>48.214861318912597</v>
      </c>
      <c r="AZ80" s="11">
        <f>48247.7616577743/(10^3)</f>
        <v>48.247761657774305</v>
      </c>
      <c r="BA80" s="11">
        <f>483.959706220759/(10^3)</f>
        <v>0.48395970622075901</v>
      </c>
      <c r="BB80" s="11">
        <f>47581.8595201777/(10^3)</f>
        <v>47.581859520177701</v>
      </c>
      <c r="BC80" s="11">
        <f>47907.4448995846/(10^3)</f>
        <v>47.907444899584604</v>
      </c>
      <c r="BD80" s="11">
        <f>46984.0301528383/(10^3)</f>
        <v>46.984030152838301</v>
      </c>
      <c r="BE80" s="11">
        <f>48214.3897160467/(10^3)</f>
        <v>48.214389716046703</v>
      </c>
      <c r="BF80" s="11">
        <f>50585.8730128346/(10^3)</f>
        <v>50.585873012834597</v>
      </c>
      <c r="BG80" s="11">
        <f>5120487.49235871/(10^3)</f>
        <v>5120.4874923587095</v>
      </c>
      <c r="BH80" s="11">
        <f>53321.8244715813/(10^3)</f>
        <v>53.321824471581301</v>
      </c>
      <c r="BI80" s="11">
        <f>53426.9872519131/(10^3)</f>
        <v>53.426987251913104</v>
      </c>
      <c r="BJ80" s="11">
        <f>52616.0281570743/(10^3)</f>
        <v>52.616028157074304</v>
      </c>
      <c r="BK80" s="11">
        <f>54424.8916227586/(10^3)</f>
        <v>54.424891622758601</v>
      </c>
      <c r="BL80" s="11">
        <f>53685.4277697262/(10^3)</f>
        <v>53.685427769726203</v>
      </c>
      <c r="BM80" s="11">
        <f>539.294074414285/(10^3)</f>
        <v>0.53929407441428501</v>
      </c>
      <c r="BN80" s="11">
        <f>56242.7069002885/(10^3)</f>
        <v>56.242706900288496</v>
      </c>
      <c r="BO80" s="11">
        <f>56549.7681990504/(10^3)</f>
        <v>56.549768199050398</v>
      </c>
      <c r="BP80" s="11">
        <f>57950.0037356615/(10^3)</f>
        <v>57.950003735661497</v>
      </c>
      <c r="BQ80" s="11">
        <f>57707.0553310254/(10^3)</f>
        <v>57.707055331025401</v>
      </c>
      <c r="BR80" s="11">
        <f>58121.2066977728/(10^3)</f>
        <v>58.121206697772806</v>
      </c>
      <c r="BS80" s="11">
        <f>6031823.07049381/(10^3)</f>
        <v>6031.8230704938096</v>
      </c>
      <c r="BT80" s="11">
        <f>61955.9941769326/(10^3)</f>
        <v>61.955994176932606</v>
      </c>
      <c r="BU80" s="11">
        <f>64541.4205453903/(10^3)</f>
        <v>64.541420545390295</v>
      </c>
      <c r="BV80" s="11">
        <f>65133.5323048169/(10^3)</f>
        <v>65.133532304816896</v>
      </c>
      <c r="BW80" s="11">
        <f>64770.4169170754/(10^3)</f>
        <v>64.770416917075408</v>
      </c>
      <c r="BX80" s="11">
        <f>67675.389277587/(10^3)</f>
        <v>67.675389277587001</v>
      </c>
      <c r="BY80" s="11">
        <f>710.738665488983/(10^3)</f>
        <v>0.71073866548898301</v>
      </c>
      <c r="BZ80" s="11">
        <f>71073.8665488983/(10^3)</f>
        <v>71.073866548898295</v>
      </c>
      <c r="CA80" s="11">
        <f>72115.7306944119/(10^3)</f>
        <v>72.115730694411909</v>
      </c>
      <c r="CB80" s="11">
        <f>74464.9391240163/(10^3)</f>
        <v>74.464939124016297</v>
      </c>
      <c r="CC80" s="12"/>
      <c r="CZ80" s="11">
        <v>40.923875111073009</v>
      </c>
      <c r="DA80" s="11">
        <v>43.14036873949204</v>
      </c>
      <c r="DB80" s="11">
        <v>44.326906664604394</v>
      </c>
      <c r="DC80" s="11">
        <v>48.395970622075922</v>
      </c>
      <c r="DD80" s="11">
        <v>53.929407441428467</v>
      </c>
      <c r="DE80" s="11">
        <v>71.07386654889828</v>
      </c>
      <c r="DG80" s="11">
        <v>40.091444257181138</v>
      </c>
      <c r="DH80" s="11">
        <v>43.121103414908269</v>
      </c>
      <c r="DI80" s="11">
        <v>43.965467026517352</v>
      </c>
      <c r="DJ80" s="11">
        <v>45.995188447033719</v>
      </c>
      <c r="DK80" s="11">
        <v>51.204874923587084</v>
      </c>
      <c r="DL80" s="11">
        <v>60.318230704938081</v>
      </c>
    </row>
    <row r="81" spans="4:116" ht="15.6" outlineLevel="1" x14ac:dyDescent="0.25">
      <c r="D81" s="10" t="s">
        <v>44</v>
      </c>
      <c r="E81" s="10" t="s">
        <v>43</v>
      </c>
      <c r="F81" s="10" t="s">
        <v>150</v>
      </c>
      <c r="G81" s="10" t="s">
        <v>182</v>
      </c>
      <c r="H81" s="62" t="str">
        <f t="shared" si="3"/>
        <v>Little Rock (피합병)</v>
      </c>
      <c r="I81" s="11">
        <f>57297.034965035/(10^3)</f>
        <v>57.297034965035003</v>
      </c>
      <c r="J81" s="11">
        <f>59809.5729976603/(10^3)</f>
        <v>59.809572997660304</v>
      </c>
      <c r="K81" s="11">
        <f>6071044.73384334/(10^3)</f>
        <v>6071.0447338433396</v>
      </c>
      <c r="L81" s="11">
        <f>60466.0638359707/(10^3)</f>
        <v>60.466063835970701</v>
      </c>
      <c r="M81" s="11">
        <f>60236.9569714568/(10^3)</f>
        <v>60.236956971456799</v>
      </c>
      <c r="N81" s="11">
        <f>60796.2775562819/(10^3)</f>
        <v>60.7962775562819</v>
      </c>
      <c r="O81" s="11">
        <f>61133.7870040218/(10^3)</f>
        <v>61.133787004021798</v>
      </c>
      <c r="P81" s="11">
        <f>63051.2067503427/(10^3)</f>
        <v>63.051206750342701</v>
      </c>
      <c r="Q81" s="11">
        <f>653.713132564896/(10^3)</f>
        <v>0.65371313256489605</v>
      </c>
      <c r="R81" s="11">
        <f>67397.1625066892/(10^3)</f>
        <v>67.397162506689199</v>
      </c>
      <c r="S81" s="11">
        <f>68243.5406252613/(10^3)</f>
        <v>68.243540625261303</v>
      </c>
      <c r="T81" s="11">
        <f>68564.8683757999/(10^3)</f>
        <v>68.56486837579989</v>
      </c>
      <c r="U81" s="11">
        <f>68996.033583226/(10^3)</f>
        <v>68.996033583226009</v>
      </c>
      <c r="V81" s="11">
        <f>67617.1486403459/(10^3)</f>
        <v>67.617148640345903</v>
      </c>
      <c r="W81" s="11">
        <f>6718511.69732794/(10^3)</f>
        <v>6718.5116973279401</v>
      </c>
      <c r="X81" s="11">
        <f>66747.6543433695/(10^3)</f>
        <v>66.747654343369504</v>
      </c>
      <c r="Y81" s="11">
        <f>68118.6423839125/(10^3)</f>
        <v>68.118642383912501</v>
      </c>
      <c r="Z81" s="11">
        <f>67855.2038928096/(10^3)</f>
        <v>67.855203892809598</v>
      </c>
      <c r="AA81" s="11">
        <f>70753.8620103722/(10^3)</f>
        <v>70.753862010372202</v>
      </c>
      <c r="AB81" s="11">
        <f>69990.676593679/(10^3)</f>
        <v>69.990676593678998</v>
      </c>
      <c r="AC81" s="11">
        <f>734.541525723342/(10^3)</f>
        <v>0.73454152572334208</v>
      </c>
      <c r="AD81" s="11">
        <f>73453.6036417972/(10^3)</f>
        <v>73.453603641797201</v>
      </c>
      <c r="AE81" s="11">
        <f>74242.0564802389/(10^3)</f>
        <v>74.242056480238901</v>
      </c>
      <c r="AF81" s="11">
        <f>73218.9034017998/(10^3)</f>
        <v>73.218903401799807</v>
      </c>
      <c r="AG81" s="11">
        <f>73036.8138490534/(10^3)</f>
        <v>73.036813849053402</v>
      </c>
      <c r="AH81" s="11">
        <f>74122.4241108713/(10^3)</f>
        <v>74.122424110871307</v>
      </c>
      <c r="AI81" s="11">
        <f>7754189.8348393/(10^3)</f>
        <v>7754.1898348393006</v>
      </c>
      <c r="AJ81" s="11">
        <f>76924.6174258929/(10^3)</f>
        <v>76.92461742589289</v>
      </c>
      <c r="AK81" s="11">
        <f>75991.0137845106/(10^3)</f>
        <v>75.991013784510599</v>
      </c>
      <c r="AL81" s="11">
        <f>74892.9065349984/(10^3)</f>
        <v>74.892906534998403</v>
      </c>
      <c r="AM81" s="11">
        <f>77972.3806816701/(10^3)</f>
        <v>77.972380681670103</v>
      </c>
      <c r="AN81" s="11">
        <f>78641.0696810455/(10^3)</f>
        <v>78.641069681045494</v>
      </c>
      <c r="AO81" s="11">
        <f>788.082728830132/(10^3)</f>
        <v>0.78808272883013208</v>
      </c>
      <c r="AP81" s="11">
        <f>78208.2141269251/(10^3)</f>
        <v>78.2082141269251</v>
      </c>
      <c r="AQ81" s="11">
        <f>77928.7955661253/(10^3)</f>
        <v>77.928795566125302</v>
      </c>
      <c r="AR81" s="11">
        <f>77660.7647016869/(10^3)</f>
        <v>77.660764701686901</v>
      </c>
      <c r="AS81" s="11">
        <f>76985.162265238/(10^3)</f>
        <v>76.985162265238003</v>
      </c>
      <c r="AT81" s="11">
        <f>76231.7669232099/(10^3)</f>
        <v>76.231766923209904</v>
      </c>
      <c r="AU81" s="11">
        <f>7760100.84021773/(10^3)</f>
        <v>7760.1008402177304</v>
      </c>
      <c r="AV81" s="11">
        <f>77281.4525599845/(10^3)</f>
        <v>77.281452559984487</v>
      </c>
      <c r="AW81" s="11">
        <f>75964.2780113327/(10^3)</f>
        <v>75.964278011332709</v>
      </c>
      <c r="AX81" s="11">
        <f>76477.9312112716/(10^3)</f>
        <v>76.477931211271596</v>
      </c>
      <c r="AY81" s="11">
        <f>75426.1416900446/(10^3)</f>
        <v>75.426141690044602</v>
      </c>
      <c r="AZ81" s="11">
        <f>75416.8886361848/(10^3)</f>
        <v>75.416888636184794</v>
      </c>
      <c r="BA81" s="11">
        <f>743.974512486773/(10^3)</f>
        <v>0.74397451248677304</v>
      </c>
      <c r="BB81" s="11">
        <f>74812.7165192815/(10^3)</f>
        <v>74.812716519281494</v>
      </c>
      <c r="BC81" s="11">
        <f>76821.3890987183/(10^3)</f>
        <v>76.821389098718299</v>
      </c>
      <c r="BD81" s="11">
        <f>77001.8080655768/(10^3)</f>
        <v>77.001808065576796</v>
      </c>
      <c r="BE81" s="11">
        <f>79059.7771235252/(10^3)</f>
        <v>79.059777123525194</v>
      </c>
      <c r="BF81" s="11">
        <f>81514.7115428716/(10^3)</f>
        <v>81.514711542871609</v>
      </c>
      <c r="BG81" s="11">
        <f>8253135.09636654/(10^3)</f>
        <v>8253.1350963665391</v>
      </c>
      <c r="BH81" s="11">
        <f>85889.9487813638/(10^3)</f>
        <v>85.889948781363799</v>
      </c>
      <c r="BI81" s="11">
        <f>89139.9479873377/(10^3)</f>
        <v>89.139947987337692</v>
      </c>
      <c r="BJ81" s="11">
        <f>91136.6868296148/(10^3)</f>
        <v>91.136686829614803</v>
      </c>
      <c r="BK81" s="11">
        <f>91427.8870293075/(10^3)</f>
        <v>91.427887029307499</v>
      </c>
      <c r="BL81" s="11">
        <f>95017.411482605/(10^3)</f>
        <v>95.017411482605013</v>
      </c>
      <c r="BM81" s="11">
        <f>956.640214779591/(10^3)</f>
        <v>0.95664021477959105</v>
      </c>
      <c r="BN81" s="11">
        <f>94667.309686069/(10^3)</f>
        <v>94.667309686069004</v>
      </c>
      <c r="BO81" s="11">
        <f>93525.8785332471/(10^3)</f>
        <v>93.525878533247095</v>
      </c>
      <c r="BP81" s="11">
        <f>91687.119525916/(10^3)</f>
        <v>91.687119525916003</v>
      </c>
      <c r="BQ81" s="11">
        <f>89934.078501333/(10^3)</f>
        <v>89.934078501333005</v>
      </c>
      <c r="BR81" s="11">
        <f>89490.7986819796/(10^3)</f>
        <v>89.490798681979612</v>
      </c>
      <c r="BS81" s="11">
        <f>9383892.65872888/(10^3)</f>
        <v>9383.8926587288806</v>
      </c>
      <c r="BT81" s="11">
        <f>92958.3087089829/(10^3)</f>
        <v>92.958308708982912</v>
      </c>
      <c r="BU81" s="11">
        <f>96456.8709930965/(10^3)</f>
        <v>96.456870993096501</v>
      </c>
      <c r="BV81" s="11">
        <f>97252.6704743465/(10^3)</f>
        <v>97.252670474346488</v>
      </c>
      <c r="BW81" s="11">
        <f>95798.5030844042/(10^3)</f>
        <v>95.798503084404203</v>
      </c>
      <c r="BX81" s="11">
        <f>95914.2187370308/(10^3)</f>
        <v>95.914218737030794</v>
      </c>
      <c r="BY81" s="11">
        <f>1014.61771648728/(10^3)</f>
        <v>1.0146177164872801</v>
      </c>
      <c r="BZ81" s="11">
        <f>101461.771648728/(10^3)</f>
        <v>101.461771648728</v>
      </c>
      <c r="CA81" s="11">
        <f>104181.792037104/(10^3)</f>
        <v>104.18179203710399</v>
      </c>
      <c r="CB81" s="11">
        <f>106193.470691532/(10^3)</f>
        <v>106.193470691532</v>
      </c>
      <c r="CC81" s="12"/>
      <c r="CZ81" s="11">
        <v>65.371313256489614</v>
      </c>
      <c r="DA81" s="11">
        <v>73.454152572334209</v>
      </c>
      <c r="DB81" s="11">
        <v>78.808272883013231</v>
      </c>
      <c r="DC81" s="11">
        <v>74.397451248677257</v>
      </c>
      <c r="DD81" s="11">
        <v>95.664021477959153</v>
      </c>
      <c r="DE81" s="11">
        <v>101.46177164872802</v>
      </c>
      <c r="DG81" s="11">
        <v>60.710447338433426</v>
      </c>
      <c r="DH81" s="11">
        <v>67.185116973279406</v>
      </c>
      <c r="DI81" s="11">
        <v>77.541898348393005</v>
      </c>
      <c r="DJ81" s="11">
        <v>77.601008402177257</v>
      </c>
      <c r="DK81" s="11">
        <v>82.531350963665375</v>
      </c>
      <c r="DL81" s="11">
        <v>93.838926587288853</v>
      </c>
    </row>
    <row r="82" spans="4:116" ht="15.6" outlineLevel="1" x14ac:dyDescent="0.25">
      <c r="D82" s="10" t="s">
        <v>45</v>
      </c>
      <c r="E82" s="10" t="s">
        <v>29</v>
      </c>
      <c r="F82" s="10" t="s">
        <v>150</v>
      </c>
      <c r="G82" s="10" t="s">
        <v>182</v>
      </c>
      <c r="H82" s="62" t="str">
        <f t="shared" si="3"/>
        <v>Louisville (피합병)</v>
      </c>
      <c r="I82" s="11">
        <f>83874.4723488853/(10^3)</f>
        <v>83.874472348885305</v>
      </c>
      <c r="J82" s="11">
        <f>86031.2551324584/(10^3)</f>
        <v>86.031255132458412</v>
      </c>
      <c r="K82" s="11">
        <f>8975993.83987898/(10^3)</f>
        <v>8975.99383987898</v>
      </c>
      <c r="L82" s="11">
        <f>94141.8444528519/(10^3)</f>
        <v>94.141844452851899</v>
      </c>
      <c r="M82" s="11">
        <f>94785.8600885857/(10^3)</f>
        <v>94.785860088585707</v>
      </c>
      <c r="N82" s="11">
        <f>94590.8487538572/(10^3)</f>
        <v>94.590848753857188</v>
      </c>
      <c r="O82" s="11">
        <f>93844.7663446769/(10^3)</f>
        <v>93.844766344676898</v>
      </c>
      <c r="P82" s="11">
        <f>98419.7234538724/(10^3)</f>
        <v>98.419723453872408</v>
      </c>
      <c r="Q82" s="11">
        <f>988.415669533922/(10^3)</f>
        <v>0.98841566953392201</v>
      </c>
      <c r="R82" s="11">
        <f>100368.117934799/(10^3)</f>
        <v>100.368117934799</v>
      </c>
      <c r="S82" s="11">
        <f>103568.251838429/(10^3)</f>
        <v>103.56825183842901</v>
      </c>
      <c r="T82" s="11">
        <f>102161.167821137/(10^3)</f>
        <v>102.161167821137</v>
      </c>
      <c r="U82" s="11">
        <f>101863.833396366/(10^3)</f>
        <v>101.86383339636599</v>
      </c>
      <c r="V82" s="11">
        <f>104890.420624485/(10^3)</f>
        <v>104.890420624485</v>
      </c>
      <c r="W82" s="11">
        <f>10785342.3464287/(10^3)</f>
        <v>10785.342346428701</v>
      </c>
      <c r="X82" s="11">
        <f>107022.167701667/(10^3)</f>
        <v>107.022167701667</v>
      </c>
      <c r="Y82" s="11">
        <f>105454.201681733/(10^3)</f>
        <v>105.454201681733</v>
      </c>
      <c r="Z82" s="11">
        <f>103705.611483509/(10^3)</f>
        <v>103.705611483509</v>
      </c>
      <c r="AA82" s="11">
        <f>102620.888245278/(10^3)</f>
        <v>102.620888245278</v>
      </c>
      <c r="AB82" s="11">
        <f>102831.889124334/(10^3)</f>
        <v>102.831889124334</v>
      </c>
      <c r="AC82" s="11">
        <f>1025.81366989614/(10^3)</f>
        <v>1.02581366989614</v>
      </c>
      <c r="AD82" s="11">
        <f>106024.97177777/(10^3)</f>
        <v>106.02497177777001</v>
      </c>
      <c r="AE82" s="11">
        <f>104600.28143708/(10^3)</f>
        <v>104.60028143708</v>
      </c>
      <c r="AF82" s="11">
        <f>103698.531479405/(10^3)</f>
        <v>103.69853147940501</v>
      </c>
      <c r="AG82" s="11">
        <f>107962.147467854/(10^3)</f>
        <v>107.962147467854</v>
      </c>
      <c r="AH82" s="11">
        <f>105900.151104235/(10^3)</f>
        <v>105.90015110423501</v>
      </c>
      <c r="AI82" s="11">
        <f>10509965.7754028/(10^3)</f>
        <v>10509.965775402799</v>
      </c>
      <c r="AJ82" s="11">
        <f>105043.888199166/(10^3)</f>
        <v>105.04388819916601</v>
      </c>
      <c r="AK82" s="11">
        <f>106948.56362678/(10^3)</f>
        <v>106.94856362678</v>
      </c>
      <c r="AL82" s="11">
        <f>105689.267554079/(10^3)</f>
        <v>105.689267554079</v>
      </c>
      <c r="AM82" s="11">
        <f>104878.669925296/(10^3)</f>
        <v>104.87866992529599</v>
      </c>
      <c r="AN82" s="11">
        <f>106205.92204131/(10^3)</f>
        <v>106.20592204131</v>
      </c>
      <c r="AO82" s="11">
        <f>1061.57278163875/(10^3)</f>
        <v>1.0615727816387501</v>
      </c>
      <c r="AP82" s="11">
        <f>109796.104784416/(10^3)</f>
        <v>109.796104784416</v>
      </c>
      <c r="AQ82" s="11">
        <f>107641.56674332/(10^3)</f>
        <v>107.64156674332</v>
      </c>
      <c r="AR82" s="11">
        <f>106217.699212258/(10^3)</f>
        <v>106.217699212258</v>
      </c>
      <c r="AS82" s="11">
        <f>106392.281251468/(10^3)</f>
        <v>106.39228125146799</v>
      </c>
      <c r="AT82" s="11">
        <f>108258.625930989/(10^3)</f>
        <v>108.258625930989</v>
      </c>
      <c r="AU82" s="11">
        <f>10909365.822992/(10^3)</f>
        <v>10909.365822992</v>
      </c>
      <c r="AV82" s="11">
        <f>113825.838782562/(10^3)</f>
        <v>113.825838782562</v>
      </c>
      <c r="AW82" s="11">
        <f>113224.0337674/(10^3)</f>
        <v>113.2240337674</v>
      </c>
      <c r="AX82" s="11">
        <f>112617.853689085/(10^3)</f>
        <v>112.617853689085</v>
      </c>
      <c r="AY82" s="11">
        <f>112414.691950975/(10^3)</f>
        <v>112.414691950975</v>
      </c>
      <c r="AZ82" s="11">
        <f>115004.622648664/(10^3)</f>
        <v>115.004622648664</v>
      </c>
      <c r="BA82" s="11">
        <f>1163.49377550029/(10^3)</f>
        <v>1.1634937755002901</v>
      </c>
      <c r="BB82" s="11">
        <f>120974.023012582/(10^3)</f>
        <v>120.97402301258199</v>
      </c>
      <c r="BC82" s="11">
        <f>118861.479731559/(10^3)</f>
        <v>118.861479731559</v>
      </c>
      <c r="BD82" s="11">
        <f>120340.662523563/(10^3)</f>
        <v>120.34066252356301</v>
      </c>
      <c r="BE82" s="11">
        <f>120749.913760873/(10^3)</f>
        <v>120.749913760873</v>
      </c>
      <c r="BF82" s="11">
        <f>119529.849265731/(10^3)</f>
        <v>119.529849265731</v>
      </c>
      <c r="BG82" s="11">
        <f>11882792.0496996/(10^3)</f>
        <v>11882.792049699601</v>
      </c>
      <c r="BH82" s="11">
        <f>116675.423584963/(10^3)</f>
        <v>116.675423584963</v>
      </c>
      <c r="BI82" s="11">
        <f>115446.086351941/(10^3)</f>
        <v>115.44608635194101</v>
      </c>
      <c r="BJ82" s="11">
        <f>118607.585035692/(10^3)</f>
        <v>118.607585035692</v>
      </c>
      <c r="BK82" s="11">
        <f>117767.349489588/(10^3)</f>
        <v>117.767349489588</v>
      </c>
      <c r="BL82" s="11">
        <f>115516.961892681/(10^3)</f>
        <v>115.51696189268101</v>
      </c>
      <c r="BM82" s="11">
        <f>1167.85807694971/(10^3)</f>
        <v>1.16785807694971</v>
      </c>
      <c r="BN82" s="11">
        <f>117568.997929512/(10^3)</f>
        <v>117.56899792951199</v>
      </c>
      <c r="BO82" s="11">
        <f>122013.035369706/(10^3)</f>
        <v>122.013035369706</v>
      </c>
      <c r="BP82" s="11">
        <f>122041.083954497/(10^3)</f>
        <v>122.041083954497</v>
      </c>
      <c r="BQ82" s="11">
        <f>123103.713980791/(10^3)</f>
        <v>123.103713980791</v>
      </c>
      <c r="BR82" s="11">
        <f>125036.22739696/(10^3)</f>
        <v>125.03622739696</v>
      </c>
      <c r="BS82" s="11">
        <f>13072285.70673/(10^3)</f>
        <v>13072.285706730001</v>
      </c>
      <c r="BT82" s="11">
        <f>130009.534918648/(10^3)</f>
        <v>130.009534918648</v>
      </c>
      <c r="BU82" s="11">
        <f>135902.45480379/(10^3)</f>
        <v>135.90245480378999</v>
      </c>
      <c r="BV82" s="11">
        <f>140271.041697955/(10^3)</f>
        <v>140.27104169795498</v>
      </c>
      <c r="BW82" s="11">
        <f>141746.907282713/(10^3)</f>
        <v>141.74690728271298</v>
      </c>
      <c r="BX82" s="11">
        <f>139713.403238097/(10^3)</f>
        <v>139.71340323809702</v>
      </c>
      <c r="BY82" s="11">
        <f>1457.44145606304/(10^3)</f>
        <v>1.45744145606304</v>
      </c>
      <c r="BZ82" s="11">
        <f>145744.145606304/(10^3)</f>
        <v>145.74414560630399</v>
      </c>
      <c r="CA82" s="11">
        <f>147371.557068084/(10^3)</f>
        <v>147.371557068084</v>
      </c>
      <c r="CB82" s="11">
        <f>151233.88658738/(10^3)</f>
        <v>151.23388658738</v>
      </c>
      <c r="CC82" s="12"/>
      <c r="CZ82" s="11">
        <v>98.841566953392189</v>
      </c>
      <c r="DA82" s="11">
        <v>102.58136698961441</v>
      </c>
      <c r="DB82" s="11">
        <v>106.1572781638753</v>
      </c>
      <c r="DC82" s="11">
        <v>116.34937755002855</v>
      </c>
      <c r="DD82" s="11">
        <v>116.78580769497091</v>
      </c>
      <c r="DE82" s="11">
        <v>145.74414560630373</v>
      </c>
      <c r="DG82" s="11">
        <v>89.759938398789771</v>
      </c>
      <c r="DH82" s="11">
        <v>107.85342346428673</v>
      </c>
      <c r="DI82" s="11">
        <v>105.09965775402804</v>
      </c>
      <c r="DJ82" s="11">
        <v>109.09365822991977</v>
      </c>
      <c r="DK82" s="11">
        <v>118.82792049699584</v>
      </c>
      <c r="DL82" s="11">
        <v>130.72285706730037</v>
      </c>
    </row>
    <row r="83" spans="4:116" ht="15.6" outlineLevel="1" x14ac:dyDescent="0.25">
      <c r="D83" s="10" t="s">
        <v>55</v>
      </c>
      <c r="E83" s="10" t="s">
        <v>54</v>
      </c>
      <c r="F83" s="10" t="s">
        <v>149</v>
      </c>
      <c r="G83" s="10" t="s">
        <v>182</v>
      </c>
      <c r="H83" s="62" t="str">
        <f t="shared" si="3"/>
        <v>Madison (피합병)</v>
      </c>
      <c r="I83" s="11">
        <f>9484.61126333822/(10^3)</f>
        <v>9.4846112633382198</v>
      </c>
      <c r="J83" s="11">
        <f>9356.41943514837/(10^3)</f>
        <v>9.3564194351483696</v>
      </c>
      <c r="K83" s="11">
        <f>951149.085452394/(10^3)</f>
        <v>951.14908545239393</v>
      </c>
      <c r="L83" s="11">
        <f>9925.49731518269/(10^3)</f>
        <v>9.9254973151826906</v>
      </c>
      <c r="M83" s="11">
        <f>10217.1682182947/(10^3)</f>
        <v>10.217168218294701</v>
      </c>
      <c r="N83" s="11">
        <f>10050.7210756941/(10^3)</f>
        <v>10.050721075694101</v>
      </c>
      <c r="O83" s="11">
        <f>9972.3250053334/(10^3)</f>
        <v>9.9723250053333992</v>
      </c>
      <c r="P83" s="11">
        <f>10308.2145734174/(10^3)</f>
        <v>10.308214573417398</v>
      </c>
      <c r="Q83" s="11">
        <f>102.506422869729/(10^3)</f>
        <v>0.102506422869729</v>
      </c>
      <c r="R83" s="11">
        <f>10605.676214625/(10^3)</f>
        <v>10.605676214624999</v>
      </c>
      <c r="S83" s="11">
        <f>10564.060894623/(10^3)</f>
        <v>10.564060894623001</v>
      </c>
      <c r="T83" s="11">
        <f>10973.3002311398/(10^3)</f>
        <v>10.973300231139799</v>
      </c>
      <c r="U83" s="11">
        <f>10954.748294597/(10^3)</f>
        <v>10.954748294597</v>
      </c>
      <c r="V83" s="11">
        <f>11414.4323015954/(10^3)</f>
        <v>11.414432301595399</v>
      </c>
      <c r="W83" s="11">
        <f>1182439.319752/(10^3)</f>
        <v>1182.4393197520001</v>
      </c>
      <c r="X83" s="11">
        <f>11703.8378247927/(10^3)</f>
        <v>11.7038378247927</v>
      </c>
      <c r="Y83" s="11">
        <f>12254.8731694891/(10^3)</f>
        <v>12.2548731694891</v>
      </c>
      <c r="Z83" s="11">
        <f>12655.1371137681/(10^3)</f>
        <v>12.655137113768101</v>
      </c>
      <c r="AA83" s="11">
        <f>12466.0511425369/(10^3)</f>
        <v>12.4660511425369</v>
      </c>
      <c r="AB83" s="11">
        <f>12320.6725670159/(10^3)</f>
        <v>12.320672567015899</v>
      </c>
      <c r="AC83" s="11">
        <f>122.792132646953/(10^3)</f>
        <v>0.12279213264695299</v>
      </c>
      <c r="AD83" s="11">
        <f>12248.7703944638/(10^3)</f>
        <v>12.248770394463799</v>
      </c>
      <c r="AE83" s="11">
        <f>12231.1570126402/(10^3)</f>
        <v>12.2311570126402</v>
      </c>
      <c r="AF83" s="11">
        <f>12131.2149378148/(10^3)</f>
        <v>12.1312149378148</v>
      </c>
      <c r="AG83" s="11">
        <f>12029.5650366632/(10^3)</f>
        <v>12.0295650366632</v>
      </c>
      <c r="AH83" s="11">
        <f>12473.7386332181/(10^3)</f>
        <v>12.473738633218099</v>
      </c>
      <c r="AI83" s="11">
        <f>1274299.85945335/(10^3)</f>
        <v>1274.2998594533501</v>
      </c>
      <c r="AJ83" s="11">
        <f>12568.5711507419/(10^3)</f>
        <v>12.568571150741899</v>
      </c>
      <c r="AK83" s="11">
        <f>12683.6291673473/(10^3)</f>
        <v>12.6836291673473</v>
      </c>
      <c r="AL83" s="11">
        <f>12524.8248916973/(10^3)</f>
        <v>12.524824891697302</v>
      </c>
      <c r="AM83" s="11">
        <f>12331.3994325994/(10^3)</f>
        <v>12.331399432599401</v>
      </c>
      <c r="AN83" s="11">
        <f>12270.5873927788/(10^3)</f>
        <v>12.270587392778801</v>
      </c>
      <c r="AO83" s="11">
        <f>122.97123395953/(10^3)</f>
        <v>0.12297123395953</v>
      </c>
      <c r="AP83" s="11">
        <f>12265.4156850665/(10^3)</f>
        <v>12.2654156850665</v>
      </c>
      <c r="AQ83" s="11">
        <f>12032.9713591214/(10^3)</f>
        <v>12.032971359121401</v>
      </c>
      <c r="AR83" s="11">
        <f>12479.3042652756/(10^3)</f>
        <v>12.4793042652756</v>
      </c>
      <c r="AS83" s="11">
        <f>12473.4704339901/(10^3)</f>
        <v>12.4734704339901</v>
      </c>
      <c r="AT83" s="11">
        <f>12245.330825369/(10^3)</f>
        <v>12.245330825368999</v>
      </c>
      <c r="AU83" s="11">
        <f>1237532.86774686/(10^3)</f>
        <v>1237.5328677468601</v>
      </c>
      <c r="AV83" s="11">
        <f>12162.9315894776/(10^3)</f>
        <v>12.1629315894776</v>
      </c>
      <c r="AW83" s="11">
        <f>12081.9760245501/(10^3)</f>
        <v>12.0819760245501</v>
      </c>
      <c r="AX83" s="11">
        <f>11848.2381007526/(10^3)</f>
        <v>11.848238100752599</v>
      </c>
      <c r="AY83" s="11">
        <f>12375.8791621038/(10^3)</f>
        <v>12.3758791621038</v>
      </c>
      <c r="AZ83" s="11">
        <f>12750.1531326336/(10^3)</f>
        <v>12.750153132633601</v>
      </c>
      <c r="BA83" s="11">
        <f>126.162534462834/(10^3)</f>
        <v>0.12616253446283401</v>
      </c>
      <c r="BB83" s="11">
        <f>13031.8747793139/(10^3)</f>
        <v>13.031874779313899</v>
      </c>
      <c r="BC83" s="11">
        <f>12970.9591018803/(10^3)</f>
        <v>12.9709591018803</v>
      </c>
      <c r="BD83" s="11">
        <f>13104.5224718875/(10^3)</f>
        <v>13.104522471887499</v>
      </c>
      <c r="BE83" s="11">
        <f>13117.5805549043/(10^3)</f>
        <v>13.117580554904301</v>
      </c>
      <c r="BF83" s="11">
        <f>13062.2866978843/(10^3)</f>
        <v>13.0622866978843</v>
      </c>
      <c r="BG83" s="11">
        <f>1371251.84735516/(10^3)</f>
        <v>1371.25184735516</v>
      </c>
      <c r="BH83" s="11">
        <f>14109.0498532201/(10^3)</f>
        <v>14.1090498532201</v>
      </c>
      <c r="BI83" s="11">
        <f>14526.9981153623/(10^3)</f>
        <v>14.5269981153623</v>
      </c>
      <c r="BJ83" s="11">
        <f>14676.4282805217/(10^3)</f>
        <v>14.676428280521701</v>
      </c>
      <c r="BK83" s="11">
        <f>14640.7104600615/(10^3)</f>
        <v>14.6407104600615</v>
      </c>
      <c r="BL83" s="11">
        <f>14460.1342559692/(10^3)</f>
        <v>14.4601342559692</v>
      </c>
      <c r="BM83" s="11">
        <f>145.963930458767/(10^3)</f>
        <v>0.14596393045876702</v>
      </c>
      <c r="BN83" s="11">
        <f>15210.1620058839/(10^3)</f>
        <v>15.2101620058839</v>
      </c>
      <c r="BO83" s="11">
        <f>15270.7456553193/(10^3)</f>
        <v>15.270745655319301</v>
      </c>
      <c r="BP83" s="11">
        <f>15559.990803919/(10^3)</f>
        <v>15.559990803919</v>
      </c>
      <c r="BQ83" s="11">
        <f>16318.3517964742/(10^3)</f>
        <v>16.3183517964742</v>
      </c>
      <c r="BR83" s="11">
        <f>16435.2750700513/(10^3)</f>
        <v>16.435275070051297</v>
      </c>
      <c r="BS83" s="11">
        <f>1701225.82369301/(10^3)</f>
        <v>1701.2258236930099</v>
      </c>
      <c r="BT83" s="11">
        <f>17470.4688198033/(10^3)</f>
        <v>17.470468819803301</v>
      </c>
      <c r="BU83" s="11">
        <f>17350.3541757678/(10^3)</f>
        <v>17.350354175767798</v>
      </c>
      <c r="BV83" s="11">
        <f>17618.2699853357/(10^3)</f>
        <v>17.618269985335701</v>
      </c>
      <c r="BW83" s="11">
        <f>18033.9978776554/(10^3)</f>
        <v>18.033997877655402</v>
      </c>
      <c r="BX83" s="11">
        <f>18793.8314550445/(10^3)</f>
        <v>18.793831455044501</v>
      </c>
      <c r="BY83" s="11">
        <f>193.584374884989/(10^3)</f>
        <v>0.193584374884989</v>
      </c>
      <c r="BZ83" s="11">
        <f>19358.4374884989/(10^3)</f>
        <v>19.3584374884989</v>
      </c>
      <c r="CA83" s="11">
        <f>20005.1103163107/(10^3)</f>
        <v>20.005110316310699</v>
      </c>
      <c r="CB83" s="11">
        <f>19777.5555168742/(10^3)</f>
        <v>19.777555516874198</v>
      </c>
      <c r="CC83" s="12"/>
      <c r="CZ83" s="11">
        <v>10.250642286972916</v>
      </c>
      <c r="DA83" s="11">
        <v>12.279213264695338</v>
      </c>
      <c r="DB83" s="11">
        <v>12.29712339595299</v>
      </c>
      <c r="DC83" s="11">
        <v>12.616253446283437</v>
      </c>
      <c r="DD83" s="11">
        <v>14.596393045876695</v>
      </c>
      <c r="DE83" s="11">
        <v>19.358437488498868</v>
      </c>
      <c r="DG83" s="11">
        <v>9.5114908545239434</v>
      </c>
      <c r="DH83" s="11">
        <v>11.824393197519969</v>
      </c>
      <c r="DI83" s="11">
        <v>12.742998594533512</v>
      </c>
      <c r="DJ83" s="11">
        <v>12.375328677468621</v>
      </c>
      <c r="DK83" s="11">
        <v>13.712518473551635</v>
      </c>
      <c r="DL83" s="11">
        <v>17.012258236930062</v>
      </c>
    </row>
    <row r="84" spans="4:116" ht="15.6" outlineLevel="1" x14ac:dyDescent="0.25">
      <c r="D84" s="10" t="s">
        <v>57</v>
      </c>
      <c r="E84" s="10" t="s">
        <v>56</v>
      </c>
      <c r="F84" s="10" t="s">
        <v>150</v>
      </c>
      <c r="G84" s="10" t="s">
        <v>182</v>
      </c>
      <c r="H84" s="62" t="str">
        <f t="shared" si="3"/>
        <v>Memphis (피합병)</v>
      </c>
      <c r="I84" s="11"/>
      <c r="J84" s="14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>
        <f>3619.61286375147/(10^3)</f>
        <v>3.61961286375147</v>
      </c>
      <c r="W84" s="11">
        <f>376378.152497276/(10^3)</f>
        <v>376.37815249727601</v>
      </c>
      <c r="X84" s="11">
        <f>3764.58109232424/(10^3)</f>
        <v>3.7645810923242404</v>
      </c>
      <c r="Y84" s="11">
        <f>3751.52521789066/(10^3)</f>
        <v>3.7515252178906597</v>
      </c>
      <c r="Z84" s="11">
        <f>3874.79027315057/(10^3)</f>
        <v>3.8747902731505701</v>
      </c>
      <c r="AA84" s="11">
        <f>3865.19945262066/(10^3)</f>
        <v>3.8651994526206601</v>
      </c>
      <c r="AB84" s="11">
        <f>3859.76074805478/(10^3)</f>
        <v>3.85976074805478</v>
      </c>
      <c r="AC84" s="11">
        <f>37.9489246656869/(10^3)</f>
        <v>3.7948924665686903E-2</v>
      </c>
      <c r="AD84" s="11">
        <f>3774.3728389752/(10^3)</f>
        <v>3.7743728389752</v>
      </c>
      <c r="AE84" s="11">
        <f>3707.20514172876/(10^3)</f>
        <v>3.7072051417287599</v>
      </c>
      <c r="AF84" s="11">
        <f>3661.86334631888/(10^3)</f>
        <v>3.6618633463188797</v>
      </c>
      <c r="AG84" s="11">
        <f>3663.34062946147/(10^3)</f>
        <v>3.6633406294614703</v>
      </c>
      <c r="AH84" s="11">
        <f>3689.51985558318/(10^3)</f>
        <v>3.6895198555831796</v>
      </c>
      <c r="AI84" s="11">
        <f>365815.7246854/(10^3)</f>
        <v>365.81572468540003</v>
      </c>
      <c r="AJ84" s="11">
        <f>3610.27895752278/(10^3)</f>
        <v>3.6102789575227798</v>
      </c>
      <c r="AK84" s="11">
        <f>3573.22183840542/(10^3)</f>
        <v>3.57322183840542</v>
      </c>
      <c r="AL84" s="11">
        <f>3570.59935086059/(10^3)</f>
        <v>3.5705993508605904</v>
      </c>
      <c r="AM84" s="11">
        <f>3608.85827668914/(10^3)</f>
        <v>3.6088582766891402</v>
      </c>
      <c r="AN84" s="11">
        <f>3621.08188972059/(10^3)</f>
        <v>3.6210818897205899</v>
      </c>
      <c r="AO84" s="11">
        <f>35.4960663065578/(10^3)</f>
        <v>3.54960663065578E-2</v>
      </c>
      <c r="AP84" s="11">
        <f>3489.53078336591/(10^3)</f>
        <v>3.4895307833659097</v>
      </c>
      <c r="AQ84" s="11">
        <f>3636.73398952697/(10^3)</f>
        <v>3.6367339895269701</v>
      </c>
      <c r="AR84" s="11">
        <f>3609.82044979089/(10^3)</f>
        <v>3.6098204497908899</v>
      </c>
      <c r="AS84" s="11">
        <f>3578.1022145905/(10^3)</f>
        <v>3.5781022145904999</v>
      </c>
      <c r="AT84" s="11">
        <f>3622.16019328728/(10^3)</f>
        <v>3.62216019328728</v>
      </c>
      <c r="AU84" s="11">
        <f>358091.485927664/(10^3)</f>
        <v>358.091485927664</v>
      </c>
      <c r="AV84" s="11">
        <f>3619.60615583201/(10^3)</f>
        <v>3.6196061558320096</v>
      </c>
      <c r="AW84" s="11">
        <f>3608.67735781608/(10^3)</f>
        <v>3.60867735781608</v>
      </c>
      <c r="AX84" s="11">
        <f>3561.99004632494/(10^3)</f>
        <v>3.5619900463249401</v>
      </c>
      <c r="AY84" s="11">
        <f>3521.14551187999/(10^3)</f>
        <v>3.5211455118799901</v>
      </c>
      <c r="AZ84" s="11">
        <f>3481.73366380169/(10^3)</f>
        <v>3.4817336638016898</v>
      </c>
      <c r="BA84" s="11">
        <f>34.2813534223101/(10^3)</f>
        <v>3.4281353422310097E-2</v>
      </c>
      <c r="BB84" s="11">
        <f>3411.5743625853/(10^3)</f>
        <v>3.4115743625853003</v>
      </c>
      <c r="BC84" s="11">
        <f>3444.86916134423/(10^3)</f>
        <v>3.4448691613442302</v>
      </c>
      <c r="BD84" s="11">
        <f>3610.76045897359/(10^3)</f>
        <v>3.6107604589735902</v>
      </c>
      <c r="BE84" s="11">
        <f>3545.00268456942/(10^3)</f>
        <v>3.54500268456942</v>
      </c>
      <c r="BF84" s="11">
        <f>3582.97903662837/(10^3)</f>
        <v>3.58297903662837</v>
      </c>
      <c r="BG84" s="11">
        <f>369006.729860514/(10^3)</f>
        <v>369.00672986051399</v>
      </c>
      <c r="BH84" s="11">
        <f>3734.92171380072/(10^3)</f>
        <v>3.7349217138007202</v>
      </c>
      <c r="BI84" s="11">
        <f>3882.31667264065/(10^3)</f>
        <v>3.8823166726406497</v>
      </c>
      <c r="BJ84" s="11">
        <f>4059.02010913817/(10^3)</f>
        <v>4.0590201091381699</v>
      </c>
      <c r="BK84" s="11">
        <f>3979.76912417851/(10^3)</f>
        <v>3.9797691241785103</v>
      </c>
      <c r="BL84" s="11">
        <f>4118.38430494552/(10^3)</f>
        <v>4.1183843049455202</v>
      </c>
      <c r="BM84" s="11">
        <f>42.9643015561846/(10^3)</f>
        <v>4.2964301556184602E-2</v>
      </c>
      <c r="BN84" s="11">
        <f>4373.89652083819/(10^3)</f>
        <v>4.3738965208381897</v>
      </c>
      <c r="BO84" s="11">
        <f>4540.85344102859/(10^3)</f>
        <v>4.5408534410285899</v>
      </c>
      <c r="BP84" s="11">
        <f>4766.65543909749/(10^3)</f>
        <v>4.76665543909749</v>
      </c>
      <c r="BQ84" s="11">
        <f>4723.24146160982/(10^3)</f>
        <v>4.7232414616098204</v>
      </c>
      <c r="BR84" s="11">
        <f>4801.94284779565/(10^3)</f>
        <v>4.8019428477956501</v>
      </c>
      <c r="BS84" s="11">
        <f>471034.823663006/(10^3)</f>
        <v>471.03482366300602</v>
      </c>
      <c r="BT84" s="11">
        <f>4765.1380611873/(10^3)</f>
        <v>4.7651380611873</v>
      </c>
      <c r="BU84" s="11">
        <f>4978.2492254691/(10^3)</f>
        <v>4.9782492254690993</v>
      </c>
      <c r="BV84" s="11">
        <f>5201.60567606012/(10^3)</f>
        <v>5.2016056760601197</v>
      </c>
      <c r="BW84" s="11">
        <f>5193.31526817914/(10^3)</f>
        <v>5.1933152681791395</v>
      </c>
      <c r="BX84" s="11">
        <f>5175.58396129738/(10^3)</f>
        <v>5.17558396129738</v>
      </c>
      <c r="BY84" s="11">
        <f>53.6178356868088/(10^3)</f>
        <v>5.36178356868088E-2</v>
      </c>
      <c r="BZ84" s="11">
        <f>5361.78356868088/(10^3)</f>
        <v>5.3617835686808801</v>
      </c>
      <c r="CA84" s="11">
        <f>5538.63616759946/(10^3)</f>
        <v>5.53863616759946</v>
      </c>
      <c r="CB84" s="11">
        <f>5708.4668210205/(10^3)</f>
        <v>5.7084668210205001</v>
      </c>
      <c r="CC84" s="12"/>
      <c r="CZ84" s="11">
        <v>3.5997902348112065</v>
      </c>
      <c r="DA84" s="11">
        <v>3.7948924665686872</v>
      </c>
      <c r="DB84" s="11">
        <v>3.5496066306557839</v>
      </c>
      <c r="DC84" s="11">
        <v>3.4281353422310108</v>
      </c>
      <c r="DD84" s="11">
        <v>4.2964301556184559</v>
      </c>
      <c r="DE84" s="11">
        <v>5.3617835686808846</v>
      </c>
      <c r="DG84" s="11">
        <v>3.3177943845706674</v>
      </c>
      <c r="DH84" s="11">
        <v>3.7637815249727642</v>
      </c>
      <c r="DI84" s="11">
        <v>3.6581572468539978</v>
      </c>
      <c r="DJ84" s="11">
        <v>3.5809148592766396</v>
      </c>
      <c r="DK84" s="11">
        <v>3.6900672986051428</v>
      </c>
      <c r="DL84" s="11">
        <v>4.7103482366300566</v>
      </c>
    </row>
    <row r="85" spans="4:116" ht="15.6" outlineLevel="1" x14ac:dyDescent="0.25">
      <c r="D85" s="10" t="s">
        <v>58</v>
      </c>
      <c r="E85" s="10" t="s">
        <v>54</v>
      </c>
      <c r="F85" s="10" t="s">
        <v>149</v>
      </c>
      <c r="G85" s="10" t="s">
        <v>182</v>
      </c>
      <c r="H85" s="62" t="str">
        <f t="shared" si="3"/>
        <v>Milwaukee (피합병)</v>
      </c>
      <c r="I85" s="11">
        <f>8974.6131664211/(10^3)</f>
        <v>8.9746131664211006</v>
      </c>
      <c r="J85" s="11">
        <f>8910.69915213803/(10^3)</f>
        <v>8.9106991521380294</v>
      </c>
      <c r="K85" s="11">
        <f>917978.329733806/(10^3)</f>
        <v>917.97832973380594</v>
      </c>
      <c r="L85" s="11">
        <f>9144.83216207034/(10^3)</f>
        <v>9.1448321620703386</v>
      </c>
      <c r="M85" s="11">
        <f>9352.33037182267/(10^3)</f>
        <v>9.3523303718226707</v>
      </c>
      <c r="N85" s="11">
        <f>9251.48706270927/(10^3)</f>
        <v>9.2514870627092698</v>
      </c>
      <c r="O85" s="11">
        <f>9437.89129247226/(10^3)</f>
        <v>9.4378912924722602</v>
      </c>
      <c r="P85" s="11">
        <f>9672.32622053629/(10^3)</f>
        <v>9.6723262205362897</v>
      </c>
      <c r="Q85" s="11">
        <f>97.3362708832813/(10^3)</f>
        <v>9.7336270883281298E-2</v>
      </c>
      <c r="R85" s="11">
        <f>10078.9577297124/(10^3)</f>
        <v>10.0789577297124</v>
      </c>
      <c r="S85" s="11">
        <f>10458.4842362328/(10^3)</f>
        <v>10.458484236232801</v>
      </c>
      <c r="T85" s="11">
        <f>10566.3836061632/(10^3)</f>
        <v>10.5663836061632</v>
      </c>
      <c r="U85" s="11">
        <f>10548.2017048798/(10^3)</f>
        <v>10.548201704879801</v>
      </c>
      <c r="V85" s="11">
        <f>10429.3652330725/(10^3)</f>
        <v>10.429365233072501</v>
      </c>
      <c r="W85" s="11">
        <f>1024737.61095298/(10^3)</f>
        <v>1024.73761095298</v>
      </c>
      <c r="X85" s="11">
        <f>10082.5626224757/(10^3)</f>
        <v>10.082562622475701</v>
      </c>
      <c r="Y85" s="11">
        <f>9929.09865999043/(10^3)</f>
        <v>9.9290986599904301</v>
      </c>
      <c r="Z85" s="11">
        <f>9827.69074887761/(10^3)</f>
        <v>9.8276907488776111</v>
      </c>
      <c r="AA85" s="11">
        <f>9808.31497438543/(10^3)</f>
        <v>9.8083149743854303</v>
      </c>
      <c r="AB85" s="11">
        <f>10264.4355607885/(10^3)</f>
        <v>10.264435560788501</v>
      </c>
      <c r="AC85" s="11">
        <f>104.7719958498/(10^3)</f>
        <v>0.1047719958498</v>
      </c>
      <c r="AD85" s="11">
        <f>10810.0609503214/(10^3)</f>
        <v>10.8100609503214</v>
      </c>
      <c r="AE85" s="11">
        <f>10599.4508533729/(10^3)</f>
        <v>10.5994508533729</v>
      </c>
      <c r="AF85" s="11">
        <f>10701.4844609944/(10^3)</f>
        <v>10.701484460994399</v>
      </c>
      <c r="AG85" s="11">
        <f>10997.7691752431/(10^3)</f>
        <v>10.9977691752431</v>
      </c>
      <c r="AH85" s="11">
        <f>11202.4552935376/(10^3)</f>
        <v>11.2024552935376</v>
      </c>
      <c r="AI85" s="11">
        <f>1144036.40708186/(10^3)</f>
        <v>1144.0364070818598</v>
      </c>
      <c r="AJ85" s="11">
        <f>11278.379166565/(10^3)</f>
        <v>11.278379166565001</v>
      </c>
      <c r="AK85" s="11">
        <f>11776.3597151981/(10^3)</f>
        <v>11.776359715198099</v>
      </c>
      <c r="AL85" s="11">
        <f>11729.3647280371/(10^3)</f>
        <v>11.729364728037101</v>
      </c>
      <c r="AM85" s="11">
        <f>12243.7826707893/(10^3)</f>
        <v>12.243782670789299</v>
      </c>
      <c r="AN85" s="11">
        <f>12842.1771783675/(10^3)</f>
        <v>12.8421771783675</v>
      </c>
      <c r="AO85" s="11">
        <f>133.713167259722/(10^3)</f>
        <v>0.13371316725972202</v>
      </c>
      <c r="AP85" s="11">
        <f>13903.6256129612/(10^3)</f>
        <v>13.9036256129612</v>
      </c>
      <c r="AQ85" s="11">
        <f>13814.1926844865/(10^3)</f>
        <v>13.8141926844865</v>
      </c>
      <c r="AR85" s="11">
        <f>13618.5802217997/(10^3)</f>
        <v>13.6185802217997</v>
      </c>
      <c r="AS85" s="11">
        <f>14045.3111645236/(10^3)</f>
        <v>14.0453111645236</v>
      </c>
      <c r="AT85" s="11">
        <f>14630.1063827344/(10^3)</f>
        <v>14.6301063827344</v>
      </c>
      <c r="AU85" s="11">
        <f>1490163.01494333/(10^3)</f>
        <v>1490.1630149433302</v>
      </c>
      <c r="AV85" s="11">
        <f>14796.5520933448/(10^3)</f>
        <v>14.7965520933448</v>
      </c>
      <c r="AW85" s="11">
        <f>14788.4493488135/(10^3)</f>
        <v>14.788449348813499</v>
      </c>
      <c r="AX85" s="11">
        <f>15272.6145279213/(10^3)</f>
        <v>15.2726145279213</v>
      </c>
      <c r="AY85" s="11">
        <f>15165.8325298595/(10^3)</f>
        <v>15.165832529859498</v>
      </c>
      <c r="AZ85" s="11">
        <f>15336.6914510834/(10^3)</f>
        <v>15.3366914510834</v>
      </c>
      <c r="BA85" s="11">
        <f>151.53849718048/(10^3)</f>
        <v>0.15153849718047999</v>
      </c>
      <c r="BB85" s="11">
        <f>15404.2743165968/(10^3)</f>
        <v>15.404274316596801</v>
      </c>
      <c r="BC85" s="11">
        <f>15433.0661983057/(10^3)</f>
        <v>15.433066198305699</v>
      </c>
      <c r="BD85" s="11">
        <f>15782.6765808446/(10^3)</f>
        <v>15.782676580844599</v>
      </c>
      <c r="BE85" s="11">
        <f>16475.880862171/(10^3)</f>
        <v>16.475880862171003</v>
      </c>
      <c r="BF85" s="11">
        <f>16559.3308940916/(10^3)</f>
        <v>16.559330894091598</v>
      </c>
      <c r="BG85" s="11">
        <f>1736776.81523314/(10^3)</f>
        <v>1736.77681523314</v>
      </c>
      <c r="BH85" s="11">
        <f>17541.4404356764/(10^3)</f>
        <v>17.5414404356764</v>
      </c>
      <c r="BI85" s="11">
        <f>17970.9234884285/(10^3)</f>
        <v>17.9709234884285</v>
      </c>
      <c r="BJ85" s="11">
        <f>18753.1878557192/(10^3)</f>
        <v>18.753187855719201</v>
      </c>
      <c r="BK85" s="11">
        <f>18695.2011818195/(10^3)</f>
        <v>18.695201181819499</v>
      </c>
      <c r="BL85" s="11">
        <f>18678.9038892068/(10^3)</f>
        <v>18.678903889206797</v>
      </c>
      <c r="BM85" s="11">
        <f>192.980541089923/(10^3)</f>
        <v>0.19298054108992302</v>
      </c>
      <c r="BN85" s="11">
        <f>19527.5957816046/(10^3)</f>
        <v>19.5275957816046</v>
      </c>
      <c r="BO85" s="11">
        <f>19298.698997492/(10^3)</f>
        <v>19.298698997492</v>
      </c>
      <c r="BP85" s="11">
        <f>19180.6230756168/(10^3)</f>
        <v>19.180623075616801</v>
      </c>
      <c r="BQ85" s="11">
        <f>19882.32763349/(10^3)</f>
        <v>19.88232763349</v>
      </c>
      <c r="BR85" s="11">
        <f>20842.6317634011/(10^3)</f>
        <v>20.842631763401098</v>
      </c>
      <c r="BS85" s="11">
        <f>2077753.94549004/(10^3)</f>
        <v>2077.7539454900398</v>
      </c>
      <c r="BT85" s="11">
        <f>21422.9800149253/(10^3)</f>
        <v>21.422980014925297</v>
      </c>
      <c r="BU85" s="11">
        <f>21984.7186435683/(10^3)</f>
        <v>21.9847186435683</v>
      </c>
      <c r="BV85" s="11">
        <f>22859.7976253841/(10^3)</f>
        <v>22.8597976253841</v>
      </c>
      <c r="BW85" s="11">
        <f>23562.1785373533/(10^3)</f>
        <v>23.562178537353297</v>
      </c>
      <c r="BX85" s="11">
        <f>24250.3435390137/(10^3)</f>
        <v>24.250343539013699</v>
      </c>
      <c r="BY85" s="11">
        <f>256.691893115873/(10^3)</f>
        <v>0.25669189311587298</v>
      </c>
      <c r="BZ85" s="11">
        <f>25669.1893115873/(10^3)</f>
        <v>25.669189311587299</v>
      </c>
      <c r="CA85" s="11">
        <f>25657.0637678991/(10^3)</f>
        <v>25.6570637678991</v>
      </c>
      <c r="CB85" s="11">
        <f>25617.1027445085/(10^3)</f>
        <v>25.617102744508497</v>
      </c>
      <c r="CC85" s="12"/>
      <c r="CZ85" s="11">
        <v>9.7336270883281308</v>
      </c>
      <c r="DA85" s="11">
        <v>10.47719958498001</v>
      </c>
      <c r="DB85" s="11">
        <v>13.371316725972218</v>
      </c>
      <c r="DC85" s="11">
        <v>15.153849718048006</v>
      </c>
      <c r="DD85" s="11">
        <v>19.29805410899235</v>
      </c>
      <c r="DE85" s="11">
        <v>25.669189311587335</v>
      </c>
      <c r="DG85" s="11">
        <v>9.179783297338064</v>
      </c>
      <c r="DH85" s="11">
        <v>10.247376109529764</v>
      </c>
      <c r="DI85" s="11">
        <v>11.440364070818568</v>
      </c>
      <c r="DJ85" s="11">
        <v>14.901630149433283</v>
      </c>
      <c r="DK85" s="11">
        <v>17.367768152331386</v>
      </c>
      <c r="DL85" s="11">
        <v>20.777539454900399</v>
      </c>
    </row>
    <row r="86" spans="4:116" ht="15.6" outlineLevel="1" x14ac:dyDescent="0.25">
      <c r="D86" s="10" t="s">
        <v>60</v>
      </c>
      <c r="E86" s="10" t="s">
        <v>59</v>
      </c>
      <c r="F86" s="10" t="s">
        <v>149</v>
      </c>
      <c r="G86" s="10" t="s">
        <v>182</v>
      </c>
      <c r="H86" s="62" t="str">
        <f t="shared" si="3"/>
        <v>Minneapolis (피합병)</v>
      </c>
      <c r="I86" s="11">
        <f>5331.88595412559/(10^3)</f>
        <v>5.3318859541255899</v>
      </c>
      <c r="J86" s="11">
        <f>5372.42984036324/(10^3)</f>
        <v>5.3724298403632398</v>
      </c>
      <c r="K86" s="11">
        <f>542971.556575664/(10^3)</f>
        <v>542.97155657566395</v>
      </c>
      <c r="L86" s="11">
        <f>5359.76430237416/(10^3)</f>
        <v>5.3597643023741606</v>
      </c>
      <c r="M86" s="11">
        <f>5268.16924859216/(10^3)</f>
        <v>5.2681692485921605</v>
      </c>
      <c r="N86" s="11">
        <f>5439.19066620843/(10^3)</f>
        <v>5.4391906662084306</v>
      </c>
      <c r="O86" s="11">
        <f>5381.9045937999/(10^3)</f>
        <v>5.3819045937998995</v>
      </c>
      <c r="P86" s="11">
        <f>5642.40965899973/(10^3)</f>
        <v>5.6424096589997301</v>
      </c>
      <c r="Q86" s="11">
        <f>55.9614202205021/(10^3)</f>
        <v>5.5961420220502101E-2</v>
      </c>
      <c r="R86" s="11">
        <f>5658.12321236324/(10^3)</f>
        <v>5.6581232123632397</v>
      </c>
      <c r="S86" s="11">
        <f>5684.30045038994/(10^3)</f>
        <v>5.6843004503899399</v>
      </c>
      <c r="T86" s="11">
        <f>5625.24427118512/(10^3)</f>
        <v>5.62524427118512</v>
      </c>
      <c r="U86" s="11">
        <f>5525.43132197838/(10^3)</f>
        <v>5.5254313219783802</v>
      </c>
      <c r="V86" s="11">
        <f>5639.2868752876/(10^3)</f>
        <v>5.6392868752876</v>
      </c>
      <c r="W86" s="11">
        <f>574516.942403583/(10^3)</f>
        <v>574.51694240358302</v>
      </c>
      <c r="X86" s="11">
        <f>5744.19964507982/(10^3)</f>
        <v>5.7441996450798198</v>
      </c>
      <c r="Y86" s="11">
        <f>5683.82595593098/(10^3)</f>
        <v>5.6838259559309803</v>
      </c>
      <c r="Z86" s="11">
        <f>5751.80898047715/(10^3)</f>
        <v>5.7518089804771497</v>
      </c>
      <c r="AA86" s="11">
        <f>5720.4888472749/(10^3)</f>
        <v>5.7204888472748996</v>
      </c>
      <c r="AB86" s="11">
        <f>5689.85386604913/(10^3)</f>
        <v>5.6898538660491305</v>
      </c>
      <c r="AC86" s="11">
        <f>56.0127875972048/(10^3)</f>
        <v>5.6012787597204801E-2</v>
      </c>
      <c r="AD86" s="11">
        <f>5880.96786071004/(10^3)</f>
        <v>5.8809678607100402</v>
      </c>
      <c r="AE86" s="11">
        <f>5864.54773854546/(10^3)</f>
        <v>5.8645477385454594</v>
      </c>
      <c r="AF86" s="11">
        <f>5807.24500323616/(10^3)</f>
        <v>5.8072450032361607</v>
      </c>
      <c r="AG86" s="11">
        <f>5702.94002212528/(10^3)</f>
        <v>5.7029400221252802</v>
      </c>
      <c r="AH86" s="11">
        <f>5803.42213233618/(10^3)</f>
        <v>5.8034221323361797</v>
      </c>
      <c r="AI86" s="11">
        <f>589205.48832425/(10^3)</f>
        <v>589.20548832424993</v>
      </c>
      <c r="AJ86" s="11">
        <f>5896.96214982972/(10^3)</f>
        <v>5.8969621498297204</v>
      </c>
      <c r="AK86" s="11">
        <f>5860.84528252713/(10^3)</f>
        <v>5.86084528252713</v>
      </c>
      <c r="AL86" s="11">
        <f>6098.83897865842/(10^3)</f>
        <v>6.0988389786584198</v>
      </c>
      <c r="AM86" s="11">
        <f>6219.83077438798/(10^3)</f>
        <v>6.2198307743879795</v>
      </c>
      <c r="AN86" s="11">
        <f>6278.32775448606/(10^3)</f>
        <v>6.2783277544860603</v>
      </c>
      <c r="AO86" s="11">
        <f>62.5081178683511/(10^3)</f>
        <v>6.2508117868351101E-2</v>
      </c>
      <c r="AP86" s="11">
        <f>6551.18867269114/(10^3)</f>
        <v>6.5511886726911399</v>
      </c>
      <c r="AQ86" s="11">
        <f>6842.81960120764/(10^3)</f>
        <v>6.8428196012076397</v>
      </c>
      <c r="AR86" s="11">
        <f>6955.8704107727/(10^3)</f>
        <v>6.9558704107727003</v>
      </c>
      <c r="AS86" s="11">
        <f>6823.00156704031/(10^3)</f>
        <v>6.8230015670403104</v>
      </c>
      <c r="AT86" s="11">
        <f>6799.91289995363/(10^3)</f>
        <v>6.7999128999536298</v>
      </c>
      <c r="AU86" s="11">
        <f>670366.136525721/(10^3)</f>
        <v>670.366136525721</v>
      </c>
      <c r="AV86" s="11">
        <f>6635.42028448586/(10^3)</f>
        <v>6.6354202844858596</v>
      </c>
      <c r="AW86" s="11">
        <f>6651.06983833468/(10^3)</f>
        <v>6.6510698383346796</v>
      </c>
      <c r="AX86" s="11">
        <f>6719.93336902461/(10^3)</f>
        <v>6.7199333690246101</v>
      </c>
      <c r="AY86" s="11">
        <f>7011.41702451613/(10^3)</f>
        <v>7.0114170245161302</v>
      </c>
      <c r="AZ86" s="11">
        <f>7013.41931172995/(10^3)</f>
        <v>7.0134193117299501</v>
      </c>
      <c r="BA86" s="11">
        <f>71.035161780585/(10^3)</f>
        <v>7.1035161780584999E-2</v>
      </c>
      <c r="BB86" s="11">
        <f>7281.85324785478/(10^3)</f>
        <v>7.2818532478547802</v>
      </c>
      <c r="BC86" s="11">
        <f>7248.85093861238/(10^3)</f>
        <v>7.2488509386123798</v>
      </c>
      <c r="BD86" s="11">
        <f>7611.05785482154/(10^3)</f>
        <v>7.6110578548215395</v>
      </c>
      <c r="BE86" s="11">
        <f>7884.26240330471/(10^3)</f>
        <v>7.8842624033047093</v>
      </c>
      <c r="BF86" s="11">
        <f>8202.89415718443/(10^3)</f>
        <v>8.2028941571844296</v>
      </c>
      <c r="BG86" s="11">
        <f>808649.721761102/(10^3)</f>
        <v>808.649721761102</v>
      </c>
      <c r="BH86" s="11">
        <f>8403.65192060503/(10^3)</f>
        <v>8.4036519206050304</v>
      </c>
      <c r="BI86" s="11">
        <f>8707.30285906081/(10^3)</f>
        <v>8.7073028590608104</v>
      </c>
      <c r="BJ86" s="11">
        <f>8685.19420289511/(10^3)</f>
        <v>8.6851942028951115</v>
      </c>
      <c r="BK86" s="11">
        <f>8961.84939066686/(10^3)</f>
        <v>8.9618493906668597</v>
      </c>
      <c r="BL86" s="11">
        <f>8889.39730059891/(10^3)</f>
        <v>8.88939730059891</v>
      </c>
      <c r="BM86" s="11">
        <f>89.2729773686945/(10^3)</f>
        <v>8.9272977368694495E-2</v>
      </c>
      <c r="BN86" s="11">
        <f>9244.79992800048/(10^3)</f>
        <v>9.2447999280004804</v>
      </c>
      <c r="BO86" s="11">
        <f>9553.23134744929/(10^3)</f>
        <v>9.5532313474492891</v>
      </c>
      <c r="BP86" s="11">
        <f>9499.03693976737/(10^3)</f>
        <v>9.49903693976737</v>
      </c>
      <c r="BQ86" s="11">
        <f>9642.07308063477/(10^3)</f>
        <v>9.6420730806347699</v>
      </c>
      <c r="BR86" s="11">
        <f>9531.30408036209/(10^3)</f>
        <v>9.531304080362089</v>
      </c>
      <c r="BS86" s="11">
        <f>977958.006497153/(10^3)</f>
        <v>977.95800649715295</v>
      </c>
      <c r="BT86" s="11">
        <f>10223.9053874415/(10^3)</f>
        <v>10.2239053874415</v>
      </c>
      <c r="BU86" s="11">
        <f>10319.203386088/(10^3)</f>
        <v>10.319203386088001</v>
      </c>
      <c r="BV86" s="11">
        <f>10408.4171892022/(10^3)</f>
        <v>10.408417189202201</v>
      </c>
      <c r="BW86" s="11">
        <f>10257.1170140602/(10^3)</f>
        <v>10.257117014060201</v>
      </c>
      <c r="BX86" s="11">
        <f>10614.5650684546/(10^3)</f>
        <v>10.614565068454599</v>
      </c>
      <c r="BY86" s="11">
        <f>111.037041418132/(10^3)</f>
        <v>0.111037041418132</v>
      </c>
      <c r="BZ86" s="11">
        <f>11103.7041418132/(10^3)</f>
        <v>11.1037041418132</v>
      </c>
      <c r="CA86" s="11">
        <f>11039.8806757234/(10^3)</f>
        <v>11.039880675723399</v>
      </c>
      <c r="CB86" s="11">
        <f>10978.2638249628/(10^3)</f>
        <v>10.9782638249628</v>
      </c>
      <c r="CC86" s="12"/>
      <c r="CZ86" s="11">
        <v>5.5961420220502145</v>
      </c>
      <c r="DA86" s="11">
        <v>5.6012787597204818</v>
      </c>
      <c r="DB86" s="11">
        <v>6.2508117868351087</v>
      </c>
      <c r="DC86" s="11">
        <v>7.1035161780584994</v>
      </c>
      <c r="DD86" s="11">
        <v>8.9272977368694484</v>
      </c>
      <c r="DE86" s="11">
        <v>11.103704141813164</v>
      </c>
      <c r="DG86" s="11">
        <v>5.4297155657566405</v>
      </c>
      <c r="DH86" s="11">
        <v>5.7451694240358337</v>
      </c>
      <c r="DI86" s="11">
        <v>5.8920548832425039</v>
      </c>
      <c r="DJ86" s="11">
        <v>6.7036613652572088</v>
      </c>
      <c r="DK86" s="11">
        <v>8.086497217611015</v>
      </c>
      <c r="DL86" s="11">
        <v>9.7795800649715332</v>
      </c>
    </row>
    <row r="87" spans="4:116" ht="15.6" outlineLevel="1" x14ac:dyDescent="0.25">
      <c r="D87" s="10" t="s">
        <v>61</v>
      </c>
      <c r="E87" s="10" t="s">
        <v>2</v>
      </c>
      <c r="F87" s="10" t="s">
        <v>150</v>
      </c>
      <c r="G87" s="10" t="s">
        <v>182</v>
      </c>
      <c r="H87" s="62" t="str">
        <f t="shared" si="3"/>
        <v>Montgomery (피합병)</v>
      </c>
      <c r="I87" s="11">
        <f>2688.84586555825/(10^3)</f>
        <v>2.6888458655582501</v>
      </c>
      <c r="J87" s="11">
        <f>2781.8589011331/(10^3)</f>
        <v>2.7818589011330999</v>
      </c>
      <c r="K87" s="11">
        <f>277530.888035855/(10^3)</f>
        <v>277.53088803585501</v>
      </c>
      <c r="L87" s="11">
        <f>2752.9988784565/(10^3)</f>
        <v>2.7529988784564998</v>
      </c>
      <c r="M87" s="11">
        <f>2719.97834330957/(10^3)</f>
        <v>2.7199783433095699</v>
      </c>
      <c r="N87" s="11">
        <f>2675.66290383489/(10^3)</f>
        <v>2.67566290383489</v>
      </c>
      <c r="O87" s="11">
        <f>2648.38615947625/(10^3)</f>
        <v>2.6483861594762503</v>
      </c>
      <c r="P87" s="11">
        <f>2740.26362952145/(10^3)</f>
        <v>2.7402636295214502</v>
      </c>
      <c r="Q87" s="11">
        <f>27.1816845825113/(10^3)</f>
        <v>2.7181684582511297E-2</v>
      </c>
      <c r="R87" s="11">
        <f>2837.71074301518/(10^3)</f>
        <v>2.83771074301518</v>
      </c>
      <c r="S87" s="11">
        <f>2908.80374232835/(10^3)</f>
        <v>2.9088037423283497</v>
      </c>
      <c r="T87" s="11">
        <f>2958.38797266631/(10^3)</f>
        <v>2.9583879726663098</v>
      </c>
      <c r="U87" s="11">
        <f>2904.49643255908/(10^3)</f>
        <v>2.9044964325590801</v>
      </c>
      <c r="V87" s="11">
        <f>3026.97764282849/(10^3)</f>
        <v>3.02697764282849</v>
      </c>
      <c r="W87" s="11">
        <f>300929.428059298/(10^3)</f>
        <v>300.929428059298</v>
      </c>
      <c r="X87" s="11">
        <f>2951.36803870844/(10^3)</f>
        <v>2.95136803870844</v>
      </c>
      <c r="Y87" s="11">
        <f>2892.57189245876/(10^3)</f>
        <v>2.89257189245876</v>
      </c>
      <c r="Z87" s="11">
        <f>2979.62130179852/(10^3)</f>
        <v>2.9796213017985202</v>
      </c>
      <c r="AA87" s="11">
        <f>2966.19468718398/(10^3)</f>
        <v>2.9661946871839802</v>
      </c>
      <c r="AB87" s="11">
        <f>2940.81702742412/(10^3)</f>
        <v>2.9408170274241203</v>
      </c>
      <c r="AC87" s="11">
        <f>28.8700373171185/(10^3)</f>
        <v>2.8870037317118499E-2</v>
      </c>
      <c r="AD87" s="11">
        <f>2863.71183053935/(10^3)</f>
        <v>2.8637118305393501</v>
      </c>
      <c r="AE87" s="11">
        <f>2849.40849156375/(10^3)</f>
        <v>2.8494084915637501</v>
      </c>
      <c r="AF87" s="11">
        <f>2903.13689573723/(10^3)</f>
        <v>2.9031368957372301</v>
      </c>
      <c r="AG87" s="11">
        <f>2922.52177273369/(10^3)</f>
        <v>2.9225217727336901</v>
      </c>
      <c r="AH87" s="11">
        <f>2886.15177247554/(10^3)</f>
        <v>2.8861517724755399</v>
      </c>
      <c r="AI87" s="11">
        <f>296896.306907843/(10^3)</f>
        <v>296.89630690784298</v>
      </c>
      <c r="AJ87" s="11">
        <f>2959.83302858662/(10^3)</f>
        <v>2.9598330285866199</v>
      </c>
      <c r="AK87" s="11">
        <f>2937.8662810846/(10^3)</f>
        <v>2.9378662810845997</v>
      </c>
      <c r="AL87" s="11">
        <f>2884.31419907246/(10^3)</f>
        <v>2.8843141990724597</v>
      </c>
      <c r="AM87" s="11">
        <f>2915.06611754374/(10^3)</f>
        <v>2.91506611754374</v>
      </c>
      <c r="AN87" s="11">
        <f>2864.55023276495/(10^3)</f>
        <v>2.8645502327649499</v>
      </c>
      <c r="AO87" s="11">
        <f>29.5929800532583/(10^3)</f>
        <v>2.9592980053258302E-2</v>
      </c>
      <c r="AP87" s="11">
        <f>3058.47395271484/(10^3)</f>
        <v>3.0584739527148401</v>
      </c>
      <c r="AQ87" s="11">
        <f>3025.47893460486/(10^3)</f>
        <v>3.0254789346048603</v>
      </c>
      <c r="AR87" s="11">
        <f>3011.86198797861/(10^3)</f>
        <v>3.0118619879786102</v>
      </c>
      <c r="AS87" s="11">
        <f>2977.00130852889/(10^3)</f>
        <v>2.97700130852889</v>
      </c>
      <c r="AT87" s="11">
        <f>3012.45281884757/(10^3)</f>
        <v>3.0124528188475703</v>
      </c>
      <c r="AU87" s="11">
        <f>305512.452634625/(10^3)</f>
        <v>305.51245263462499</v>
      </c>
      <c r="AV87" s="11">
        <f>3015.72810511135/(10^3)</f>
        <v>3.01572810511135</v>
      </c>
      <c r="AW87" s="11">
        <f>3049.58409749178/(10^3)</f>
        <v>3.0495840974917803</v>
      </c>
      <c r="AX87" s="11">
        <f>3160.57915539351/(10^3)</f>
        <v>3.1605791553935099</v>
      </c>
      <c r="AY87" s="11">
        <f>3290.03717527133/(10^3)</f>
        <v>3.2900371752713298</v>
      </c>
      <c r="AZ87" s="11">
        <f>3246.72482202462/(10^3)</f>
        <v>3.2467248220246203</v>
      </c>
      <c r="BA87" s="11">
        <f>33.9569087205896/(10^3)</f>
        <v>3.3956908720589603E-2</v>
      </c>
      <c r="BB87" s="11">
        <f>3358.18519252102/(10^3)</f>
        <v>3.3581851925210198</v>
      </c>
      <c r="BC87" s="11">
        <f>3446.59065943711/(10^3)</f>
        <v>3.4465906594371098</v>
      </c>
      <c r="BD87" s="11">
        <f>3404.26487014796/(10^3)</f>
        <v>3.4042648701479603</v>
      </c>
      <c r="BE87" s="11">
        <f>3468.49516629719/(10^3)</f>
        <v>3.4684951662971897</v>
      </c>
      <c r="BF87" s="11">
        <f>3568.7720544059/(10^3)</f>
        <v>3.5687720544058998</v>
      </c>
      <c r="BG87" s="11">
        <f>363899.36444151/(10^3)</f>
        <v>363.89936444150999</v>
      </c>
      <c r="BH87" s="11">
        <f>3726.64776276911/(10^3)</f>
        <v>3.7266477627691104</v>
      </c>
      <c r="BI87" s="11">
        <f>3832.55732555597/(10^3)</f>
        <v>3.8325573255559697</v>
      </c>
      <c r="BJ87" s="11">
        <f>3887.5453326912/(10^3)</f>
        <v>3.8875453326912002</v>
      </c>
      <c r="BK87" s="11">
        <f>3842.33643124904/(10^3)</f>
        <v>3.84233643124904</v>
      </c>
      <c r="BL87" s="11">
        <f>4033.97472839266/(10^3)</f>
        <v>4.0339747283926597</v>
      </c>
      <c r="BM87" s="11">
        <f>40.0708198332888/(10^3)</f>
        <v>4.00708198332888E-2</v>
      </c>
      <c r="BN87" s="11">
        <f>4032.4975839008/(10^3)</f>
        <v>4.0324975839007999</v>
      </c>
      <c r="BO87" s="11">
        <f>3984.2615071126/(10^3)</f>
        <v>3.9842615071126</v>
      </c>
      <c r="BP87" s="11">
        <f>3957.81113228841/(10^3)</f>
        <v>3.95781113228841</v>
      </c>
      <c r="BQ87" s="11">
        <f>4143.07965474619/(10^3)</f>
        <v>4.1430796547461899</v>
      </c>
      <c r="BR87" s="11">
        <f>4262.62559224842/(10^3)</f>
        <v>4.26262559224842</v>
      </c>
      <c r="BS87" s="11">
        <f>427925.748732174/(10^3)</f>
        <v>427.92574873217399</v>
      </c>
      <c r="BT87" s="11">
        <f>4199.92079505/(10^3)</f>
        <v>4.1999207950500006</v>
      </c>
      <c r="BU87" s="11">
        <f>4335.98152743814/(10^3)</f>
        <v>4.3359815274381397</v>
      </c>
      <c r="BV87" s="11">
        <f>4411.20495192707/(10^3)</f>
        <v>4.4112049519270702</v>
      </c>
      <c r="BW87" s="11">
        <f>4404.75565437803/(10^3)</f>
        <v>4.4047556543780297</v>
      </c>
      <c r="BX87" s="11">
        <f>4486.3594979998/(10^3)</f>
        <v>4.4863594979997998</v>
      </c>
      <c r="BY87" s="11">
        <f>48.7402662560813/(10^3)</f>
        <v>4.8740266256081299E-2</v>
      </c>
      <c r="BZ87" s="11">
        <f>4874.02662560813/(10^3)</f>
        <v>4.8740266256081304</v>
      </c>
      <c r="CA87" s="11">
        <f>5078.54291664149/(10^3)</f>
        <v>5.0785429166414895</v>
      </c>
      <c r="CB87" s="11">
        <f>5210.30664716812/(10^3)</f>
        <v>5.2103066471681201</v>
      </c>
      <c r="CC87" s="12"/>
      <c r="CZ87" s="11">
        <v>2.7181684582511294</v>
      </c>
      <c r="DA87" s="11">
        <v>2.8870037317118511</v>
      </c>
      <c r="DB87" s="11">
        <v>2.9592980053258251</v>
      </c>
      <c r="DC87" s="11">
        <v>3.3956908720589585</v>
      </c>
      <c r="DD87" s="11">
        <v>4.0070819833288756</v>
      </c>
      <c r="DE87" s="11">
        <v>4.8740266256081339</v>
      </c>
      <c r="DG87" s="11">
        <v>2.7753088803585508</v>
      </c>
      <c r="DH87" s="11">
        <v>3.0092942805929779</v>
      </c>
      <c r="DI87" s="11">
        <v>2.9689630690784292</v>
      </c>
      <c r="DJ87" s="11">
        <v>3.0551245263462525</v>
      </c>
      <c r="DK87" s="11">
        <v>3.6389936444150952</v>
      </c>
      <c r="DL87" s="11">
        <v>4.2792574873217397</v>
      </c>
    </row>
    <row r="88" spans="4:116" ht="15.6" outlineLevel="1" x14ac:dyDescent="0.25">
      <c r="D88" s="10" t="s">
        <v>62</v>
      </c>
      <c r="E88" s="10" t="s">
        <v>56</v>
      </c>
      <c r="F88" s="10" t="s">
        <v>150</v>
      </c>
      <c r="G88" s="10" t="s">
        <v>182</v>
      </c>
      <c r="H88" s="62" t="str">
        <f t="shared" si="3"/>
        <v>Nashville (피합병)</v>
      </c>
      <c r="I88" s="11"/>
      <c r="J88" s="11"/>
      <c r="K88" s="11"/>
      <c r="L88" s="11">
        <f>3720.78333499496/(10^3)</f>
        <v>3.7207833349949602</v>
      </c>
      <c r="M88" s="11">
        <f>3772.11729982731/(10^3)</f>
        <v>3.7721172998273103</v>
      </c>
      <c r="N88" s="11">
        <f>3825.32451070483/(10^3)</f>
        <v>3.8253245107048301</v>
      </c>
      <c r="O88" s="11">
        <f>3846.47368289439/(10^3)</f>
        <v>3.84647368289439</v>
      </c>
      <c r="P88" s="11">
        <f>3886.99058290881/(10^3)</f>
        <v>3.8869905829088101</v>
      </c>
      <c r="Q88" s="11">
        <f>39.9631598353043/(10^3)</f>
        <v>3.9963159835304303E-2</v>
      </c>
      <c r="R88" s="11">
        <f>4194.36662962625/(10^3)</f>
        <v>4.1943666296262503</v>
      </c>
      <c r="S88" s="11">
        <f>4401.62804273975/(10^3)</f>
        <v>4.4016280427397501</v>
      </c>
      <c r="T88" s="11">
        <f>4611.37432737559/(10^3)</f>
        <v>4.6113743273755903</v>
      </c>
      <c r="U88" s="11">
        <f>4554.29271019875/(10^3)</f>
        <v>4.5542927101987498</v>
      </c>
      <c r="V88" s="11">
        <f>4551.77873630078/(10^3)</f>
        <v>4.55177873630078</v>
      </c>
      <c r="W88" s="11">
        <f>452762.91386178/(10^3)</f>
        <v>452.76291386178002</v>
      </c>
      <c r="X88" s="11">
        <f>4659.06767908146/(10^3)</f>
        <v>4.6590676790814598</v>
      </c>
      <c r="Y88" s="11">
        <f>4744.70017055941/(10^3)</f>
        <v>4.7447001705594101</v>
      </c>
      <c r="Z88" s="11">
        <f>4967.75786990767/(10^3)</f>
        <v>4.9677578699076701</v>
      </c>
      <c r="AA88" s="11">
        <f>4893.26465890194/(10^3)</f>
        <v>4.8932646589019395</v>
      </c>
      <c r="AB88" s="11">
        <f>4876.7322296937/(10^3)</f>
        <v>4.8767322296937001</v>
      </c>
      <c r="AC88" s="11">
        <f>48.1753837060078/(10^3)</f>
        <v>4.8175383706007803E-2</v>
      </c>
      <c r="AD88" s="11">
        <f>4960.07349831614/(10^3)</f>
        <v>4.9600734983161399</v>
      </c>
      <c r="AE88" s="11">
        <f>4929.60339728609/(10^3)</f>
        <v>4.9296033972860895</v>
      </c>
      <c r="AF88" s="11">
        <f>4858.35683654567/(10^3)</f>
        <v>4.8583568365456706</v>
      </c>
      <c r="AG88" s="11">
        <f>5085.90021434882/(10^3)</f>
        <v>5.0859002143488192</v>
      </c>
      <c r="AH88" s="11">
        <f>5089.43221694043/(10^3)</f>
        <v>5.0894322169404305</v>
      </c>
      <c r="AI88" s="11">
        <f>512758.003128429/(10^3)</f>
        <v>512.75800312842898</v>
      </c>
      <c r="AJ88" s="11">
        <f>5119.78165440213/(10^3)</f>
        <v>5.1197816544021295</v>
      </c>
      <c r="AK88" s="11">
        <f>5163.16075901146/(10^3)</f>
        <v>5.1631607590114603</v>
      </c>
      <c r="AL88" s="11">
        <f>5074.98676844877/(10^3)</f>
        <v>5.0749867684487695</v>
      </c>
      <c r="AM88" s="11">
        <f>5051.04897197902/(10^3)</f>
        <v>5.0510489719790206</v>
      </c>
      <c r="AN88" s="11">
        <f>5027.088259342/(10^3)</f>
        <v>5.0270882593420003</v>
      </c>
      <c r="AO88" s="11">
        <f>49.3286426877827/(10^3)</f>
        <v>4.9328642687782698E-2</v>
      </c>
      <c r="AP88" s="11">
        <f>4907.69667772099/(10^3)</f>
        <v>4.9076966777209901</v>
      </c>
      <c r="AQ88" s="11">
        <f>4896.85614390351/(10^3)</f>
        <v>4.8968561439035101</v>
      </c>
      <c r="AR88" s="11">
        <f>4919.68291796552/(10^3)</f>
        <v>4.9196829179655195</v>
      </c>
      <c r="AS88" s="11">
        <f>4918.95497384122/(10^3)</f>
        <v>4.9189549738412195</v>
      </c>
      <c r="AT88" s="11">
        <f>4914.85520172302/(10^3)</f>
        <v>4.9148552017230207</v>
      </c>
      <c r="AU88" s="11">
        <f>514915.91825436/(10^3)</f>
        <v>514.91591825436001</v>
      </c>
      <c r="AV88" s="11">
        <f>5214.14335268576/(10^3)</f>
        <v>5.2141433526857597</v>
      </c>
      <c r="AW88" s="11">
        <f>5472.72732079847/(10^3)</f>
        <v>5.4727273207984704</v>
      </c>
      <c r="AX88" s="11">
        <f>5604.88071386377/(10^3)</f>
        <v>5.6048807138637704</v>
      </c>
      <c r="AY88" s="11">
        <f>5604.94446127861/(10^3)</f>
        <v>5.6049444612786097</v>
      </c>
      <c r="AZ88" s="11">
        <f>5496.41815826662/(10^3)</f>
        <v>5.4964181582666196</v>
      </c>
      <c r="BA88" s="11">
        <f>56.3739490791795/(10^3)</f>
        <v>5.6373949079179503E-2</v>
      </c>
      <c r="BB88" s="11">
        <f>5760.77290522859/(10^3)</f>
        <v>5.7607729052285901</v>
      </c>
      <c r="BC88" s="11">
        <f>5739.42868759313/(10^3)</f>
        <v>5.7394286875931302</v>
      </c>
      <c r="BD88" s="11">
        <f>5678.58590888545/(10^3)</f>
        <v>5.6785859088854505</v>
      </c>
      <c r="BE88" s="11">
        <f>5885.17694572843/(10^3)</f>
        <v>5.8851769457284302</v>
      </c>
      <c r="BF88" s="11">
        <f>6010.14581889524/(10^3)</f>
        <v>6.0101458188952401</v>
      </c>
      <c r="BG88" s="11">
        <f>623025.148525782/(10^3)</f>
        <v>623.02514852578201</v>
      </c>
      <c r="BH88" s="11">
        <f>6453.40888650706/(10^3)</f>
        <v>6.4534088865070602</v>
      </c>
      <c r="BI88" s="11">
        <f>6379.95672339383/(10^3)</f>
        <v>6.3799567233938292</v>
      </c>
      <c r="BJ88" s="11">
        <f>6367.38349658655/(10^3)</f>
        <v>6.3673834965865499</v>
      </c>
      <c r="BK88" s="11">
        <f>6378.84827502489/(10^3)</f>
        <v>6.3788482750248905</v>
      </c>
      <c r="BL88" s="11">
        <f>6677.2651490502/(10^3)</f>
        <v>6.6772651490502</v>
      </c>
      <c r="BM88" s="11">
        <f>66.114218057316/(10^3)</f>
        <v>6.6114218057316002E-2</v>
      </c>
      <c r="BN88" s="11">
        <f>6622.28258822834/(10^3)</f>
        <v>6.6222825882283392</v>
      </c>
      <c r="BO88" s="11">
        <f>6865.32371317313/(10^3)</f>
        <v>6.8653237131731304</v>
      </c>
      <c r="BP88" s="11">
        <f>7024.29421657527/(10^3)</f>
        <v>7.02429421657527</v>
      </c>
      <c r="BQ88" s="11">
        <f>7075.86199470945/(10^3)</f>
        <v>7.0758619947094505</v>
      </c>
      <c r="BR88" s="11">
        <f>7282.27110776871/(10^3)</f>
        <v>7.2822711077687101</v>
      </c>
      <c r="BS88" s="11">
        <f>716337.529716679/(10^3)</f>
        <v>716.337529716679</v>
      </c>
      <c r="BT88" s="11">
        <f>7306.63677379338/(10^3)</f>
        <v>7.3066367737933797</v>
      </c>
      <c r="BU88" s="11">
        <f>7557.36106983269/(10^3)</f>
        <v>7.5573610698326901</v>
      </c>
      <c r="BV88" s="11">
        <f>7449.53215097372/(10^3)</f>
        <v>7.4495321509737193</v>
      </c>
      <c r="BW88" s="11">
        <f>7568.53728224414/(10^3)</f>
        <v>7.5685372822441401</v>
      </c>
      <c r="BX88" s="11">
        <f>7787.51360534319/(10^3)</f>
        <v>7.7875136053431895</v>
      </c>
      <c r="BY88" s="11">
        <f>78.2224388364454/(10^3)</f>
        <v>7.8222438836445404E-2</v>
      </c>
      <c r="BZ88" s="11">
        <f>7822.24388364454/(10^3)</f>
        <v>7.82224388364454</v>
      </c>
      <c r="CA88" s="11">
        <f>8093.09436656413/(10^3)</f>
        <v>8.0930943665641291</v>
      </c>
      <c r="CB88" s="11">
        <f>8073.17343347902/(10^3)</f>
        <v>8.0731734334790204</v>
      </c>
      <c r="CC88" s="12"/>
      <c r="CZ88" s="11">
        <v>3.9963159835304323</v>
      </c>
      <c r="DA88" s="11">
        <v>4.8175383706007802</v>
      </c>
      <c r="DB88" s="11">
        <v>4.9328642687782684</v>
      </c>
      <c r="DC88" s="11">
        <v>5.6373949079179528</v>
      </c>
      <c r="DD88" s="11">
        <v>6.6114218057316041</v>
      </c>
      <c r="DE88" s="11">
        <v>7.8222438836445436</v>
      </c>
      <c r="DG88" s="11">
        <v>3.705041700924685</v>
      </c>
      <c r="DH88" s="11">
        <v>4.5276291386177965</v>
      </c>
      <c r="DI88" s="11">
        <v>5.1275800312842952</v>
      </c>
      <c r="DJ88" s="11">
        <v>5.1491591825436007</v>
      </c>
      <c r="DK88" s="11">
        <v>6.2302514852578197</v>
      </c>
      <c r="DL88" s="11">
        <v>7.1633752971667866</v>
      </c>
    </row>
    <row r="89" spans="4:116" ht="15.6" outlineLevel="1" x14ac:dyDescent="0.25">
      <c r="D89" s="10" t="s">
        <v>63</v>
      </c>
      <c r="E89" s="10" t="s">
        <v>14</v>
      </c>
      <c r="F89" s="10" t="s">
        <v>150</v>
      </c>
      <c r="G89" s="10" t="s">
        <v>182</v>
      </c>
      <c r="H89" s="62" t="str">
        <f t="shared" si="3"/>
        <v>New Orleans (피합병)</v>
      </c>
      <c r="I89" s="11"/>
      <c r="J89" s="11"/>
      <c r="K89" s="11"/>
      <c r="L89" s="11"/>
      <c r="M89" s="11"/>
      <c r="N89" s="11"/>
      <c r="O89" s="11">
        <f>3129.01498469202/(10^3)</f>
        <v>3.1290149846920197</v>
      </c>
      <c r="P89" s="11">
        <f>3211.06658661605/(10^3)</f>
        <v>3.2110665866160497</v>
      </c>
      <c r="Q89" s="11">
        <f>31.6103842786755/(10^3)</f>
        <v>3.1610384278675498E-2</v>
      </c>
      <c r="R89" s="11">
        <f>3317.369748748/(10^3)</f>
        <v>3.3173697487479998</v>
      </c>
      <c r="S89" s="11">
        <f>3412.87040734967/(10^3)</f>
        <v>3.4128704073496703</v>
      </c>
      <c r="T89" s="11">
        <f>3402.06205218566/(10^3)</f>
        <v>3.4020620521856597</v>
      </c>
      <c r="U89" s="11">
        <f>3569.66886922126/(10^3)</f>
        <v>3.5696688692212599</v>
      </c>
      <c r="V89" s="11">
        <f>3592.01517177546/(10^3)</f>
        <v>3.59201517177546</v>
      </c>
      <c r="W89" s="11">
        <f>353215.178983214/(10^3)</f>
        <v>353.215178983214</v>
      </c>
      <c r="X89" s="11">
        <f>3678.89452709454/(10^3)</f>
        <v>3.6788945270945401</v>
      </c>
      <c r="Y89" s="11">
        <f>3626.73898666082/(10^3)</f>
        <v>3.6267389866608202</v>
      </c>
      <c r="Z89" s="11">
        <f>3599.20032875765/(10^3)</f>
        <v>3.5992003287576497</v>
      </c>
      <c r="AA89" s="11">
        <f>3591.63064809528/(10^3)</f>
        <v>3.59163064809528</v>
      </c>
      <c r="AB89" s="11">
        <f>3587.96752077855/(10^3)</f>
        <v>3.58796752077855</v>
      </c>
      <c r="AC89" s="11">
        <f>36.2595812475158/(10^3)</f>
        <v>3.6259581247515799E-2</v>
      </c>
      <c r="AD89" s="11">
        <f>3623.1898931059/(10^3)</f>
        <v>3.6231898931058999</v>
      </c>
      <c r="AE89" s="11">
        <f>3648.03533897468/(10^3)</f>
        <v>3.64803533897468</v>
      </c>
      <c r="AF89" s="11">
        <f>3763.48995266014/(10^3)</f>
        <v>3.76348995266014</v>
      </c>
      <c r="AG89" s="11">
        <f>3737.25448507108/(10^3)</f>
        <v>3.7372544850710803</v>
      </c>
      <c r="AH89" s="11">
        <f>3897.31220607259/(10^3)</f>
        <v>3.89731220607259</v>
      </c>
      <c r="AI89" s="11">
        <f>382647.755694146/(10^3)</f>
        <v>382.64775569414599</v>
      </c>
      <c r="AJ89" s="11">
        <f>3811.5493101391/(10^3)</f>
        <v>3.8115493101391</v>
      </c>
      <c r="AK89" s="11">
        <f>3755.14467799315/(10^3)</f>
        <v>3.7551446779931497</v>
      </c>
      <c r="AL89" s="11">
        <f>3734.28803958099/(10^3)</f>
        <v>3.7342880395809899</v>
      </c>
      <c r="AM89" s="11">
        <f>3703.16619386521/(10^3)</f>
        <v>3.7031661938652101</v>
      </c>
      <c r="AN89" s="11">
        <f>3630.29298735939/(10^3)</f>
        <v>3.6302929873593897</v>
      </c>
      <c r="AO89" s="11">
        <f>35.9119281569662/(10^3)</f>
        <v>3.59119281569662E-2</v>
      </c>
      <c r="AP89" s="11">
        <f>3582.02966183797/(10^3)</f>
        <v>3.5820296618379697</v>
      </c>
      <c r="AQ89" s="11">
        <f>3540.52165536623/(10^3)</f>
        <v>3.5405216553662298</v>
      </c>
      <c r="AR89" s="11">
        <f>3549.4056062593/(10^3)</f>
        <v>3.5494056062592998</v>
      </c>
      <c r="AS89" s="11">
        <f>3603.19309884267/(10^3)</f>
        <v>3.6031930988426701</v>
      </c>
      <c r="AT89" s="11">
        <f>3678.77252683164/(10^3)</f>
        <v>3.67877252683164</v>
      </c>
      <c r="AU89" s="11">
        <f>365753.691280893/(10^3)</f>
        <v>365.75369128089301</v>
      </c>
      <c r="AV89" s="11">
        <f>3759.30812715639/(10^3)</f>
        <v>3.7593081271563902</v>
      </c>
      <c r="AW89" s="11">
        <f>3751.82412040988/(10^3)</f>
        <v>3.7518241204098799</v>
      </c>
      <c r="AX89" s="11">
        <f>3871.31981055566/(10^3)</f>
        <v>3.8713198105556597</v>
      </c>
      <c r="AY89" s="11">
        <f>3800.41117618627/(10^3)</f>
        <v>3.80041117618627</v>
      </c>
      <c r="AZ89" s="11">
        <f>3729.69226283811/(10^3)</f>
        <v>3.72969226283811</v>
      </c>
      <c r="BA89" s="11">
        <f>37.5860885294694/(10^3)</f>
        <v>3.7586088529469402E-2</v>
      </c>
      <c r="BB89" s="11">
        <f>3691.08121044745/(10^3)</f>
        <v>3.6910812104474497</v>
      </c>
      <c r="BC89" s="11">
        <f>3667.29826917623/(10^3)</f>
        <v>3.6672982691762299</v>
      </c>
      <c r="BD89" s="11">
        <f>3814.84713801991/(10^3)</f>
        <v>3.81484713801991</v>
      </c>
      <c r="BE89" s="11">
        <f>3897.74545210265/(10^3)</f>
        <v>3.89774545210265</v>
      </c>
      <c r="BF89" s="11">
        <f>3865.80652404421/(10^3)</f>
        <v>3.8658065240442103</v>
      </c>
      <c r="BG89" s="11">
        <f>405629.395654392/(10^3)</f>
        <v>405.629395654392</v>
      </c>
      <c r="BH89" s="11">
        <f>3992.32208504592/(10^3)</f>
        <v>3.9923220850459202</v>
      </c>
      <c r="BI89" s="11">
        <f>4088.86277166142/(10^3)</f>
        <v>4.0888627716614199</v>
      </c>
      <c r="BJ89" s="11">
        <f>4157.05238638603/(10^3)</f>
        <v>4.15705238638603</v>
      </c>
      <c r="BK89" s="11">
        <f>4094.96141216293/(10^3)</f>
        <v>4.0949614121629301</v>
      </c>
      <c r="BL89" s="11">
        <f>4072.58034439423/(10^3)</f>
        <v>4.0725803443942299</v>
      </c>
      <c r="BM89" s="11">
        <f>41.1663094026266/(10^3)</f>
        <v>4.1166309402626604E-2</v>
      </c>
      <c r="BN89" s="11">
        <f>4093.2832038099/(10^3)</f>
        <v>4.0932832038099001</v>
      </c>
      <c r="BO89" s="11">
        <f>4026.89129410206/(10^3)</f>
        <v>4.02689129410206</v>
      </c>
      <c r="BP89" s="11">
        <f>4084.19137708927/(10^3)</f>
        <v>4.0841913770892706</v>
      </c>
      <c r="BQ89" s="11">
        <f>4285.4338481999/(10^3)</f>
        <v>4.2854338481998999</v>
      </c>
      <c r="BR89" s="11">
        <f>4318.49952055739/(10^3)</f>
        <v>4.3184995205573893</v>
      </c>
      <c r="BS89" s="11">
        <f>451913.982985434/(10^3)</f>
        <v>451.91398298543402</v>
      </c>
      <c r="BT89" s="11">
        <f>4685.79467485342/(10^3)</f>
        <v>4.6857946748534198</v>
      </c>
      <c r="BU89" s="11">
        <f>4868.38707041054/(10^3)</f>
        <v>4.8683870704105399</v>
      </c>
      <c r="BV89" s="11">
        <f>4871.36673377971/(10^3)</f>
        <v>4.87136673377971</v>
      </c>
      <c r="BW89" s="11">
        <f>4863.85207538724/(10^3)</f>
        <v>4.8638520753872401</v>
      </c>
      <c r="BX89" s="11">
        <f>5007.83114308937/(10^3)</f>
        <v>5.0078311430893701</v>
      </c>
      <c r="BY89" s="11">
        <f>51.7657991601237/(10^3)</f>
        <v>5.17657991601237E-2</v>
      </c>
      <c r="BZ89" s="11">
        <f>5176.57991601238/(10^3)</f>
        <v>5.17657991601238</v>
      </c>
      <c r="CA89" s="11">
        <f>5204.32054264709/(10^3)</f>
        <v>5.20432054264709</v>
      </c>
      <c r="CB89" s="11">
        <f>5260.5039118843/(10^3)</f>
        <v>5.2605039118842996</v>
      </c>
      <c r="CC89" s="12"/>
      <c r="CZ89" s="11">
        <v>3.1610384278675459</v>
      </c>
      <c r="DA89" s="11">
        <v>3.6259581247515831</v>
      </c>
      <c r="DB89" s="11">
        <v>3.5911928156966231</v>
      </c>
      <c r="DC89" s="11">
        <v>3.758608852946939</v>
      </c>
      <c r="DD89" s="11">
        <v>4.1166309402626595</v>
      </c>
      <c r="DE89" s="11">
        <v>5.1765799160123755</v>
      </c>
      <c r="DG89" s="11">
        <v>3.09526343668617</v>
      </c>
      <c r="DH89" s="11">
        <v>3.5321517898321417</v>
      </c>
      <c r="DI89" s="11">
        <v>3.8264775569414606</v>
      </c>
      <c r="DJ89" s="11">
        <v>3.6575369128089261</v>
      </c>
      <c r="DK89" s="11">
        <v>4.0562939565439189</v>
      </c>
      <c r="DL89" s="11">
        <v>4.5191398298543408</v>
      </c>
    </row>
    <row r="90" spans="4:116" ht="15.6" outlineLevel="1" x14ac:dyDescent="0.25">
      <c r="D90" s="10" t="s">
        <v>65</v>
      </c>
      <c r="E90" s="10" t="s">
        <v>64</v>
      </c>
      <c r="F90" s="10" t="s">
        <v>150</v>
      </c>
      <c r="G90" s="10" t="s">
        <v>182</v>
      </c>
      <c r="H90" s="62" t="str">
        <f t="shared" si="3"/>
        <v>Oklahoma City (피합병)</v>
      </c>
      <c r="I90" s="11">
        <f>10700.0367321067/(10^3)</f>
        <v>10.700036732106701</v>
      </c>
      <c r="J90" s="11">
        <f>11139.5347336821/(10^3)</f>
        <v>11.139534733682099</v>
      </c>
      <c r="K90" s="11">
        <f>1167403.14131584/(10^3)</f>
        <v>1167.40314131584</v>
      </c>
      <c r="L90" s="11">
        <f>11883.1514390068/(10^3)</f>
        <v>11.8831514390068</v>
      </c>
      <c r="M90" s="11">
        <f>12282.1119746874/(10^3)</f>
        <v>12.2821119746874</v>
      </c>
      <c r="N90" s="11">
        <f>12636.3437317278/(10^3)</f>
        <v>12.6363437317278</v>
      </c>
      <c r="O90" s="11">
        <f>12718.2146549008/(10^3)</f>
        <v>12.7182146549008</v>
      </c>
      <c r="P90" s="11">
        <f>12532.4435044797/(10^3)</f>
        <v>12.5324435044797</v>
      </c>
      <c r="Q90" s="11">
        <f>129.82484316506/(10^3)</f>
        <v>0.12982484316505999</v>
      </c>
      <c r="R90" s="11">
        <f>12986.3072963049/(10^3)</f>
        <v>12.986307296304901</v>
      </c>
      <c r="S90" s="11">
        <f>13547.2437130766/(10^3)</f>
        <v>13.547243713076599</v>
      </c>
      <c r="T90" s="11">
        <f>13334.9551179712/(10^3)</f>
        <v>13.3349551179712</v>
      </c>
      <c r="U90" s="11">
        <f>13262.8695351078/(10^3)</f>
        <v>13.2628695351078</v>
      </c>
      <c r="V90" s="11">
        <f>13240.3812688222/(10^3)</f>
        <v>13.240381268822201</v>
      </c>
      <c r="W90" s="11">
        <f>1315047.39305927/(10^3)</f>
        <v>1315.04739305927</v>
      </c>
      <c r="X90" s="11">
        <f>13142.6991717374/(10^3)</f>
        <v>13.1426991717374</v>
      </c>
      <c r="Y90" s="11">
        <f>12941.0622414889/(10^3)</f>
        <v>12.9410622414889</v>
      </c>
      <c r="Z90" s="11">
        <f>13386.9096052066/(10^3)</f>
        <v>13.386909605206601</v>
      </c>
      <c r="AA90" s="11">
        <f>14031.9336438831/(10^3)</f>
        <v>14.0319336438831</v>
      </c>
      <c r="AB90" s="11">
        <f>13852.3946795136/(10^3)</f>
        <v>13.852394679513599</v>
      </c>
      <c r="AC90" s="11">
        <f>136.516347808124/(10^3)</f>
        <v>0.13651634780812402</v>
      </c>
      <c r="AD90" s="11">
        <f>13433.2984358916/(10^3)</f>
        <v>13.433298435891601</v>
      </c>
      <c r="AE90" s="11">
        <f>13877.2156343867/(10^3)</f>
        <v>13.877215634386699</v>
      </c>
      <c r="AF90" s="11">
        <f>13661.2284177018/(10^3)</f>
        <v>13.6612284177018</v>
      </c>
      <c r="AG90" s="11">
        <f>13732.3272558571/(10^3)</f>
        <v>13.732327255857101</v>
      </c>
      <c r="AH90" s="11">
        <f>13622.9241136633/(10^3)</f>
        <v>13.6229241136633</v>
      </c>
      <c r="AI90" s="11">
        <f>1358644.40095546/(10^3)</f>
        <v>1358.64440095546</v>
      </c>
      <c r="AJ90" s="11">
        <f>14199.4392566327/(10^3)</f>
        <v>14.199439256632701</v>
      </c>
      <c r="AK90" s="11">
        <f>14137.6520073972/(10^3)</f>
        <v>14.1376520073972</v>
      </c>
      <c r="AL90" s="11">
        <f>14360.8588827403/(10^3)</f>
        <v>14.360858882740301</v>
      </c>
      <c r="AM90" s="11">
        <f>14087.2439221503/(10^3)</f>
        <v>14.087243922150298</v>
      </c>
      <c r="AN90" s="11">
        <f>13962.4712933734/(10^3)</f>
        <v>13.962471293373401</v>
      </c>
      <c r="AO90" s="11">
        <f>137.525490155621/(10^3)</f>
        <v>0.13752549015562099</v>
      </c>
      <c r="AP90" s="11">
        <f>13961.0926040331/(10^3)</f>
        <v>13.9610926040331</v>
      </c>
      <c r="AQ90" s="11">
        <f>13858.8089193377/(10^3)</f>
        <v>13.858808919337701</v>
      </c>
      <c r="AR90" s="11">
        <f>13797.0435492301/(10^3)</f>
        <v>13.7970435492301</v>
      </c>
      <c r="AS90" s="11">
        <f>13899.1438361698/(10^3)</f>
        <v>13.899143836169801</v>
      </c>
      <c r="AT90" s="11">
        <f>13925.3973254826/(10^3)</f>
        <v>13.925397325482599</v>
      </c>
      <c r="AU90" s="11">
        <f>1393046.87981538/(10^3)</f>
        <v>1393.0468798153802</v>
      </c>
      <c r="AV90" s="11">
        <f>13794.7781921198/(10^3)</f>
        <v>13.7947781921198</v>
      </c>
      <c r="AW90" s="11">
        <f>13575.2034064181/(10^3)</f>
        <v>13.575203406418101</v>
      </c>
      <c r="AX90" s="11">
        <f>13559.6552213792/(10^3)</f>
        <v>13.559655221379201</v>
      </c>
      <c r="AY90" s="11">
        <f>13290.8919919695/(10^3)</f>
        <v>13.290891991969501</v>
      </c>
      <c r="AZ90" s="11">
        <f>13195.3723635271/(10^3)</f>
        <v>13.195372363527101</v>
      </c>
      <c r="BA90" s="11">
        <f>132.147002107161/(10^3)</f>
        <v>0.13214700210716099</v>
      </c>
      <c r="BB90" s="11">
        <f>13441.9322163689/(10^3)</f>
        <v>13.441932216368899</v>
      </c>
      <c r="BC90" s="11">
        <f>13542.8338129434/(10^3)</f>
        <v>13.5428338129434</v>
      </c>
      <c r="BD90" s="11">
        <f>13607.0239414511/(10^3)</f>
        <v>13.6070239414511</v>
      </c>
      <c r="BE90" s="11">
        <f>13390.7544575893/(10^3)</f>
        <v>13.390754457589301</v>
      </c>
      <c r="BF90" s="11">
        <f>13720.8341614655/(10^3)</f>
        <v>13.720834161465501</v>
      </c>
      <c r="BG90" s="11">
        <f>1418868.92402137/(10^3)</f>
        <v>1418.86892402137</v>
      </c>
      <c r="BH90" s="11">
        <f>14176.9953562718/(10^3)</f>
        <v>14.176995356271799</v>
      </c>
      <c r="BI90" s="11">
        <f>14217.3590506146/(10^3)</f>
        <v>14.217359050614599</v>
      </c>
      <c r="BJ90" s="11">
        <f>14262.3766292611/(10^3)</f>
        <v>14.2623766292611</v>
      </c>
      <c r="BK90" s="11">
        <f>14578.9234043834/(10^3)</f>
        <v>14.578923404383401</v>
      </c>
      <c r="BL90" s="11">
        <f>15081.0998923873/(10^3)</f>
        <v>15.0810998923873</v>
      </c>
      <c r="BM90" s="11">
        <f>148.199352403071/(10^3)</f>
        <v>0.148199352403071</v>
      </c>
      <c r="BN90" s="11">
        <f>15507.3035747501/(10^3)</f>
        <v>15.5073035747501</v>
      </c>
      <c r="BO90" s="11">
        <f>16059.1235998018/(10^3)</f>
        <v>16.059123599801801</v>
      </c>
      <c r="BP90" s="11">
        <f>16125.7149416829/(10^3)</f>
        <v>16.125714941682901</v>
      </c>
      <c r="BQ90" s="11">
        <f>16610.2435636094/(10^3)</f>
        <v>16.610243563609401</v>
      </c>
      <c r="BR90" s="11">
        <f>16955.4565089324/(10^3)</f>
        <v>16.9554565089324</v>
      </c>
      <c r="BS90" s="11">
        <f>1760995.426687/(10^3)</f>
        <v>1760.9954266870002</v>
      </c>
      <c r="BT90" s="11">
        <f>17696.2447537213/(10^3)</f>
        <v>17.696244753721302</v>
      </c>
      <c r="BU90" s="11">
        <f>17362.9778642203/(10^3)</f>
        <v>17.362977864220298</v>
      </c>
      <c r="BV90" s="11">
        <f>17220.8437942379/(10^3)</f>
        <v>17.220843794237897</v>
      </c>
      <c r="BW90" s="11">
        <f>17977.0048068133/(10^3)</f>
        <v>17.977004806813301</v>
      </c>
      <c r="BX90" s="11">
        <f>17659.8371190015/(10^3)</f>
        <v>17.659837119001498</v>
      </c>
      <c r="BY90" s="11">
        <f>177.793767793031/(10^3)</f>
        <v>0.17779376779303102</v>
      </c>
      <c r="BZ90" s="11">
        <f>17779.3767793031/(10^3)</f>
        <v>17.779376779303099</v>
      </c>
      <c r="CA90" s="11">
        <f>18198.6012141417/(10^3)</f>
        <v>18.1986012141417</v>
      </c>
      <c r="CB90" s="11">
        <f>18244.7480243743/(10^3)</f>
        <v>18.244748024374299</v>
      </c>
      <c r="CC90" s="12"/>
      <c r="CZ90" s="11">
        <v>12.982484316506028</v>
      </c>
      <c r="DA90" s="11">
        <v>13.651634780812385</v>
      </c>
      <c r="DB90" s="11">
        <v>13.752549015562064</v>
      </c>
      <c r="DC90" s="11">
        <v>13.214700210716105</v>
      </c>
      <c r="DD90" s="11">
        <v>14.819935240307087</v>
      </c>
      <c r="DE90" s="11">
        <v>17.779376779303096</v>
      </c>
      <c r="DG90" s="11">
        <v>11.674031413158438</v>
      </c>
      <c r="DH90" s="11">
        <v>13.150473930592653</v>
      </c>
      <c r="DI90" s="11">
        <v>13.58644400955461</v>
      </c>
      <c r="DJ90" s="11">
        <v>13.930468798153814</v>
      </c>
      <c r="DK90" s="11">
        <v>14.188689240213748</v>
      </c>
      <c r="DL90" s="11">
        <v>17.609954266870037</v>
      </c>
    </row>
    <row r="91" spans="4:116" ht="15.6" outlineLevel="1" x14ac:dyDescent="0.25">
      <c r="D91" s="10" t="s">
        <v>66</v>
      </c>
      <c r="E91" s="10" t="s">
        <v>41</v>
      </c>
      <c r="F91" s="10" t="s">
        <v>149</v>
      </c>
      <c r="G91" s="10" t="s">
        <v>182</v>
      </c>
      <c r="H91" s="62" t="str">
        <f t="shared" si="3"/>
        <v>Omaha (피합병)</v>
      </c>
      <c r="I91" s="11">
        <f>8324.36430211968/(10^3)</f>
        <v>8.3243643021196796</v>
      </c>
      <c r="J91" s="11">
        <f>8236.86919598423/(10^3)</f>
        <v>8.2368691959842302</v>
      </c>
      <c r="K91" s="11">
        <f>862515.369487852/(10^3)</f>
        <v>862.51536948785201</v>
      </c>
      <c r="L91" s="11">
        <f>8848.66361986284/(10^3)</f>
        <v>8.8486636198628403</v>
      </c>
      <c r="M91" s="11">
        <f>8999.72496854869/(10^3)</f>
        <v>8.9997249685486889</v>
      </c>
      <c r="N91" s="11">
        <f>9130.25651913729/(10^3)</f>
        <v>9.1302565191372906</v>
      </c>
      <c r="O91" s="11">
        <f>9462.86819643079/(10^3)</f>
        <v>9.4628681964307901</v>
      </c>
      <c r="P91" s="11">
        <f>9785.49141205523/(10^3)</f>
        <v>9.7854914120552294</v>
      </c>
      <c r="Q91" s="11">
        <f>98.2170645553978/(10^3)</f>
        <v>9.8217064555397804E-2</v>
      </c>
      <c r="R91" s="11">
        <f>10240.8504439219/(10^3)</f>
        <v>10.2408504439219</v>
      </c>
      <c r="S91" s="11">
        <f>10175.8509322949/(10^3)</f>
        <v>10.1758509322949</v>
      </c>
      <c r="T91" s="11">
        <f>10112.886587637/(10^3)</f>
        <v>10.112886587637</v>
      </c>
      <c r="U91" s="11">
        <f>9912.93699376745/(10^3)</f>
        <v>9.912936993767449</v>
      </c>
      <c r="V91" s="11">
        <f>10064.9616643781/(10^3)</f>
        <v>10.064961664378099</v>
      </c>
      <c r="W91" s="11">
        <f>1038057.89519563/(10^3)</f>
        <v>1038.05789519563</v>
      </c>
      <c r="X91" s="11">
        <f>10246.6202609759/(10^3)</f>
        <v>10.246620260975901</v>
      </c>
      <c r="Y91" s="11">
        <f>10486.5779398128/(10^3)</f>
        <v>10.486577939812801</v>
      </c>
      <c r="Z91" s="11">
        <f>10533.7005547959/(10^3)</f>
        <v>10.5337005547959</v>
      </c>
      <c r="AA91" s="11">
        <f>10495.8880317522/(10^3)</f>
        <v>10.4958880317522</v>
      </c>
      <c r="AB91" s="11">
        <f>10308.0419977662/(10^3)</f>
        <v>10.3080419977662</v>
      </c>
      <c r="AC91" s="11">
        <f>103.364781229905/(10^3)</f>
        <v>0.103364781229905</v>
      </c>
      <c r="AD91" s="11">
        <f>10156.304615994/(10^3)</f>
        <v>10.156304615994001</v>
      </c>
      <c r="AE91" s="11">
        <f>10147.6529382544/(10^3)</f>
        <v>10.147652938254399</v>
      </c>
      <c r="AF91" s="11">
        <f>10015.8827920556/(10^3)</f>
        <v>10.015882792055599</v>
      </c>
      <c r="AG91" s="11">
        <f>9909.29271128824/(10^3)</f>
        <v>9.9092927112882414</v>
      </c>
      <c r="AH91" s="11">
        <f>9860.28487907833/(10^3)</f>
        <v>9.8602848790783302</v>
      </c>
      <c r="AI91" s="11">
        <f>970215.301482199/(10^3)</f>
        <v>970.21530148219904</v>
      </c>
      <c r="AJ91" s="11">
        <f>9900.2628995847/(10^3)</f>
        <v>9.9002628995847015</v>
      </c>
      <c r="AK91" s="11">
        <f>9725.86473733096/(10^3)</f>
        <v>9.7258647373309604</v>
      </c>
      <c r="AL91" s="11">
        <f>9850.57238510949/(10^3)</f>
        <v>9.8505723851094906</v>
      </c>
      <c r="AM91" s="11">
        <f>9891.98014472213/(10^3)</f>
        <v>9.8919801447221314</v>
      </c>
      <c r="AN91" s="11">
        <f>9733.54570721135/(10^3)</f>
        <v>9.7335457072113503</v>
      </c>
      <c r="AO91" s="11">
        <f>95.697749964211/(10^3)</f>
        <v>9.5697749964211001E-2</v>
      </c>
      <c r="AP91" s="11">
        <f>9471.10496051838/(10^3)</f>
        <v>9.4711049605183799</v>
      </c>
      <c r="AQ91" s="11">
        <f>9329.6142056529/(10^3)</f>
        <v>9.3296142056529003</v>
      </c>
      <c r="AR91" s="11">
        <f>9352.6946662435/(10^3)</f>
        <v>9.3526946662435009</v>
      </c>
      <c r="AS91" s="11">
        <f>9242.9408633612/(10^3)</f>
        <v>9.2429408633612002</v>
      </c>
      <c r="AT91" s="11">
        <f>9531.17876994431/(10^3)</f>
        <v>9.5311787699443098</v>
      </c>
      <c r="AU91" s="11">
        <f>935090.073629946/(10^3)</f>
        <v>935.090073629946</v>
      </c>
      <c r="AV91" s="11">
        <f>9772.59416890491/(10^3)</f>
        <v>9.7725941689049112</v>
      </c>
      <c r="AW91" s="11">
        <f>9649.12995499727/(10^3)</f>
        <v>9.6491299549972709</v>
      </c>
      <c r="AX91" s="11">
        <f>9572.65654539379/(10^3)</f>
        <v>9.5726565453937891</v>
      </c>
      <c r="AY91" s="11">
        <f>9953.56553134002/(10^3)</f>
        <v>9.9535655313400202</v>
      </c>
      <c r="AZ91" s="11">
        <f>9788.41192135289/(10^3)</f>
        <v>9.7884119213528908</v>
      </c>
      <c r="BA91" s="11">
        <f>98.7364039014161/(10^3)</f>
        <v>9.8736403901416095E-2</v>
      </c>
      <c r="BB91" s="11">
        <f>10099.4235110226/(10^3)</f>
        <v>10.0994235110226</v>
      </c>
      <c r="BC91" s="11">
        <f>10082.9513203694/(10^3)</f>
        <v>10.0829513203694</v>
      </c>
      <c r="BD91" s="11">
        <f>10357.0206668432/(10^3)</f>
        <v>10.3570206668432</v>
      </c>
      <c r="BE91" s="11">
        <f>10200.2109703705/(10^3)</f>
        <v>10.200210970370499</v>
      </c>
      <c r="BF91" s="11">
        <f>10010.7819108282/(10^3)</f>
        <v>10.0107819108282</v>
      </c>
      <c r="BG91" s="11">
        <f>1002188.53146828/(10^3)</f>
        <v>1002.18853146828</v>
      </c>
      <c r="BH91" s="11">
        <f>10169.0598682862/(10^3)</f>
        <v>10.169059868286199</v>
      </c>
      <c r="BI91" s="11">
        <f>10318.7259799957/(10^3)</f>
        <v>10.318725979995699</v>
      </c>
      <c r="BJ91" s="11">
        <f>10221.8842608741/(10^3)</f>
        <v>10.2218842608741</v>
      </c>
      <c r="BK91" s="11">
        <f>10416.0510641964/(10^3)</f>
        <v>10.416051064196399</v>
      </c>
      <c r="BL91" s="11">
        <f>10649.8197790862/(10^3)</f>
        <v>10.649819779086199</v>
      </c>
      <c r="BM91" s="11">
        <f>110.25372058634/(10^3)</f>
        <v>0.11025372058633999</v>
      </c>
      <c r="BN91" s="11">
        <f>10836.3878964636/(10^3)</f>
        <v>10.8363878964636</v>
      </c>
      <c r="BO91" s="11">
        <f>11311.3304926612/(10^3)</f>
        <v>11.311330492661201</v>
      </c>
      <c r="BP91" s="11">
        <f>11377.1734085647/(10^3)</f>
        <v>11.377173408564701</v>
      </c>
      <c r="BQ91" s="11">
        <f>11920.6027700181/(10^3)</f>
        <v>11.9206027700181</v>
      </c>
      <c r="BR91" s="11">
        <f>12187.393120022/(10^3)</f>
        <v>12.187393120022</v>
      </c>
      <c r="BS91" s="11">
        <f>1259292.64570267/(10^3)</f>
        <v>1259.2926457026701</v>
      </c>
      <c r="BT91" s="11">
        <f>13006.7222041546/(10^3)</f>
        <v>13.006722204154599</v>
      </c>
      <c r="BU91" s="11">
        <f>13328.3568843865/(10^3)</f>
        <v>13.328356884386499</v>
      </c>
      <c r="BV91" s="11">
        <f>13516.007723903/(10^3)</f>
        <v>13.516007723903</v>
      </c>
      <c r="BW91" s="11">
        <f>13780.4772629383/(10^3)</f>
        <v>13.7804772629383</v>
      </c>
      <c r="BX91" s="11">
        <f>13879.2171926224/(10^3)</f>
        <v>13.8792171926224</v>
      </c>
      <c r="BY91" s="11">
        <f>142.288971248002/(10^3)</f>
        <v>0.14228897124800202</v>
      </c>
      <c r="BZ91" s="11">
        <f>14228.8971248002/(10^3)</f>
        <v>14.2288971248002</v>
      </c>
      <c r="CA91" s="11">
        <f>14398.7254782117/(10^3)</f>
        <v>14.3987254782117</v>
      </c>
      <c r="CB91" s="11">
        <f>14753.1265457582/(10^3)</f>
        <v>14.753126545758199</v>
      </c>
      <c r="CC91" s="12"/>
      <c r="CZ91" s="11">
        <v>9.8217064555397755</v>
      </c>
      <c r="DA91" s="11">
        <v>10.336478122990497</v>
      </c>
      <c r="DB91" s="11">
        <v>9.5697749964210974</v>
      </c>
      <c r="DC91" s="11">
        <v>9.8736403901416061</v>
      </c>
      <c r="DD91" s="11">
        <v>11.025372058633984</v>
      </c>
      <c r="DE91" s="11">
        <v>14.228897124800222</v>
      </c>
      <c r="DG91" s="11">
        <v>8.6251536948785184</v>
      </c>
      <c r="DH91" s="11">
        <v>10.380578951956293</v>
      </c>
      <c r="DI91" s="11">
        <v>9.7021530148219881</v>
      </c>
      <c r="DJ91" s="11">
        <v>9.3509007362994616</v>
      </c>
      <c r="DK91" s="11">
        <v>10.021885314682754</v>
      </c>
      <c r="DL91" s="11">
        <v>12.592926457026687</v>
      </c>
    </row>
    <row r="92" spans="4:116" ht="15.6" outlineLevel="1" x14ac:dyDescent="0.25">
      <c r="D92" s="10" t="s">
        <v>68</v>
      </c>
      <c r="E92" s="10" t="s">
        <v>67</v>
      </c>
      <c r="F92" s="10" t="s">
        <v>149</v>
      </c>
      <c r="G92" s="10" t="s">
        <v>182</v>
      </c>
      <c r="H92" s="62" t="str">
        <f t="shared" si="3"/>
        <v>Pierre (피합병)</v>
      </c>
      <c r="I92" s="11">
        <f>45990.4614894231/(10^3)</f>
        <v>45.990461489423097</v>
      </c>
      <c r="J92" s="11">
        <f>47787.9377525666/(10^3)</f>
        <v>47.787937752566599</v>
      </c>
      <c r="K92" s="11">
        <f>4875775.35274233/(10^3)</f>
        <v>4875.7753527423301</v>
      </c>
      <c r="L92" s="11">
        <f>50108.3053678092/(10^3)</f>
        <v>50.108305367809194</v>
      </c>
      <c r="M92" s="11">
        <f>49553.6200669817/(10^3)</f>
        <v>49.553620066981701</v>
      </c>
      <c r="N92" s="11">
        <f>51151.1833984268/(10^3)</f>
        <v>51.151183398426802</v>
      </c>
      <c r="O92" s="11">
        <f>50834.7030698089/(10^3)</f>
        <v>50.834703069808903</v>
      </c>
      <c r="P92" s="11">
        <f>51283.3075184373/(10^3)</f>
        <v>51.283307518437304</v>
      </c>
      <c r="Q92" s="11">
        <f>509.122330697244/(10^3)</f>
        <v>0.509122330697244</v>
      </c>
      <c r="R92" s="11">
        <f>50082.5506212859/(10^3)</f>
        <v>50.082550621285904</v>
      </c>
      <c r="S92" s="11">
        <f>51719.0406640271/(10^3)</f>
        <v>51.719040664027105</v>
      </c>
      <c r="T92" s="11">
        <f>53549.0738201097/(10^3)</f>
        <v>53.549073820109697</v>
      </c>
      <c r="U92" s="11">
        <f>53341.7881784128/(10^3)</f>
        <v>53.341788178412799</v>
      </c>
      <c r="V92" s="11">
        <f>52478.6571774872/(10^3)</f>
        <v>52.4786571774872</v>
      </c>
      <c r="W92" s="11">
        <f>5177420.68334138/(10^3)</f>
        <v>5177.42068334138</v>
      </c>
      <c r="X92" s="11">
        <f>50860.6059046004/(10^3)</f>
        <v>50.860605904600398</v>
      </c>
      <c r="Y92" s="11">
        <f>52663.358713957/(10^3)</f>
        <v>52.663358713957003</v>
      </c>
      <c r="Z92" s="11">
        <f>52370.1262546679/(10^3)</f>
        <v>52.370126254667902</v>
      </c>
      <c r="AA92" s="11">
        <f>54374.2450005561/(10^3)</f>
        <v>54.374245000556094</v>
      </c>
      <c r="AB92" s="11">
        <f>53581.9974805242/(10^3)</f>
        <v>53.581997480524201</v>
      </c>
      <c r="AC92" s="11">
        <f>538.698077098839/(10^3)</f>
        <v>0.53869807709883899</v>
      </c>
      <c r="AD92" s="11">
        <f>56378.882237834/(10^3)</f>
        <v>56.378882237833999</v>
      </c>
      <c r="AE92" s="11">
        <f>57304.8888287778/(10^3)</f>
        <v>57.304888828777806</v>
      </c>
      <c r="AF92" s="11">
        <f>57214.0917158949/(10^3)</f>
        <v>57.214091715894902</v>
      </c>
      <c r="AG92" s="11">
        <f>56125.2831184771/(10^3)</f>
        <v>56.1252831184771</v>
      </c>
      <c r="AH92" s="11">
        <f>56057.6479381102/(10^3)</f>
        <v>56.0576479381102</v>
      </c>
      <c r="AI92" s="11">
        <f>5575582.51423272/(10^3)</f>
        <v>5575.5825142327203</v>
      </c>
      <c r="AJ92" s="11">
        <f>55663.9308503211/(10^3)</f>
        <v>55.663930850321101</v>
      </c>
      <c r="AK92" s="11">
        <f>56877.3029951879/(10^3)</f>
        <v>56.877302995187897</v>
      </c>
      <c r="AL92" s="11">
        <f>56634.8530965194/(10^3)</f>
        <v>56.6348530965194</v>
      </c>
      <c r="AM92" s="11">
        <f>55830.3096513797/(10^3)</f>
        <v>55.8303096513797</v>
      </c>
      <c r="AN92" s="11">
        <f>55696.1770975212/(10^3)</f>
        <v>55.6961770975212</v>
      </c>
      <c r="AO92" s="11">
        <f>567.967860728459/(10^3)</f>
        <v>0.56796786072845895</v>
      </c>
      <c r="AP92" s="11">
        <f>58987.0139493613/(10^3)</f>
        <v>58.987013949361305</v>
      </c>
      <c r="AQ92" s="11">
        <f>58205.2944479177/(10^3)</f>
        <v>58.205294447917701</v>
      </c>
      <c r="AR92" s="11">
        <f>57118.3265887517/(10^3)</f>
        <v>57.1183265887517</v>
      </c>
      <c r="AS92" s="11">
        <f>57478.2583967527/(10^3)</f>
        <v>57.4782583967527</v>
      </c>
      <c r="AT92" s="11">
        <f>56900.7487045345/(10^3)</f>
        <v>56.9007487045345</v>
      </c>
      <c r="AU92" s="11">
        <f>5677139.05087653/(10^3)</f>
        <v>5677.1390508765298</v>
      </c>
      <c r="AV92" s="11">
        <f>57922.8895482065/(10^3)</f>
        <v>57.922889548206498</v>
      </c>
      <c r="AW92" s="11">
        <f>58842.3126972331/(10^3)</f>
        <v>58.842312697233098</v>
      </c>
      <c r="AX92" s="11">
        <f>60903.5659970642/(10^3)</f>
        <v>60.903565997064199</v>
      </c>
      <c r="AY92" s="11">
        <f>60001.6197929946/(10^3)</f>
        <v>60.001619792994596</v>
      </c>
      <c r="AZ92" s="11">
        <f>58954.0029609675/(10^3)</f>
        <v>58.954002960967493</v>
      </c>
      <c r="BA92" s="11">
        <f>598.590534094711/(10^3)</f>
        <v>0.59859053409471097</v>
      </c>
      <c r="BB92" s="11">
        <f>59519.8675353698/(10^3)</f>
        <v>59.519867535369798</v>
      </c>
      <c r="BC92" s="11">
        <f>58516.5083645728/(10^3)</f>
        <v>58.5165083645728</v>
      </c>
      <c r="BD92" s="11">
        <f>58801.6382863179/(10^3)</f>
        <v>58.801638286317903</v>
      </c>
      <c r="BE92" s="11">
        <f>60355.6293406137/(10^3)</f>
        <v>60.355629340613696</v>
      </c>
      <c r="BF92" s="11">
        <f>61287.5163297423/(10^3)</f>
        <v>61.287516329742296</v>
      </c>
      <c r="BG92" s="11">
        <f>6216179.63136454/(10^3)</f>
        <v>6216.17963136454</v>
      </c>
      <c r="BH92" s="11">
        <f>61241.7298013528/(10^3)</f>
        <v>61.241729801352797</v>
      </c>
      <c r="BI92" s="11">
        <f>60593.8189654945/(10^3)</f>
        <v>60.593818965494499</v>
      </c>
      <c r="BJ92" s="11">
        <f>59841.8676425643/(10^3)</f>
        <v>59.841867642564296</v>
      </c>
      <c r="BK92" s="11">
        <f>62104.8780093822/(10^3)</f>
        <v>62.104878009382197</v>
      </c>
      <c r="BL92" s="11">
        <f>61630.9303636676/(10^3)</f>
        <v>61.630930363667595</v>
      </c>
      <c r="BM92" s="11">
        <f>639.824912289179/(10^3)</f>
        <v>0.63982491228917904</v>
      </c>
      <c r="BN92" s="11">
        <f>63993.8623474649/(10^3)</f>
        <v>63.993862347464898</v>
      </c>
      <c r="BO92" s="11">
        <f>64187.8153874913/(10^3)</f>
        <v>64.187815387491298</v>
      </c>
      <c r="BP92" s="11">
        <f>67240.0348433884/(10^3)</f>
        <v>67.240034843388401</v>
      </c>
      <c r="BQ92" s="11">
        <f>66046.8363952506/(10^3)</f>
        <v>66.046836395250608</v>
      </c>
      <c r="BR92" s="11">
        <f>64928.2333846798/(10^3)</f>
        <v>64.9282333846798</v>
      </c>
      <c r="BS92" s="11">
        <f>6798100.44456944/(10^3)</f>
        <v>6798.1004445694398</v>
      </c>
      <c r="BT92" s="11">
        <f>67440.4098637659/(10^3)</f>
        <v>67.440409863765908</v>
      </c>
      <c r="BU92" s="11">
        <f>68405.9335276821/(10^3)</f>
        <v>68.405933527682095</v>
      </c>
      <c r="BV92" s="11">
        <f>67161.266680906/(10^3)</f>
        <v>67.161266680905996</v>
      </c>
      <c r="BW92" s="11">
        <f>67313.4002736341/(10^3)</f>
        <v>67.313400273634102</v>
      </c>
      <c r="BX92" s="11">
        <f>67380.5005006226/(10^3)</f>
        <v>67.380500500622603</v>
      </c>
      <c r="BY92" s="11">
        <f>698.171024265729/(10^3)</f>
        <v>0.69817102426572897</v>
      </c>
      <c r="BZ92" s="11">
        <f>69817.1024265729/(10^3)</f>
        <v>69.817102426572902</v>
      </c>
      <c r="CA92" s="11">
        <f>70906.0990522833/(10^3)</f>
        <v>70.906099052283295</v>
      </c>
      <c r="CB92" s="11">
        <f>74276.1481353842/(10^3)</f>
        <v>74.27614813538419</v>
      </c>
      <c r="CC92" s="12"/>
      <c r="CZ92" s="11">
        <v>50.912233069724401</v>
      </c>
      <c r="DA92" s="11">
        <v>53.869807709883929</v>
      </c>
      <c r="DB92" s="11">
        <v>56.796786072845876</v>
      </c>
      <c r="DC92" s="11">
        <v>59.859053409471073</v>
      </c>
      <c r="DD92" s="11">
        <v>63.982491228917866</v>
      </c>
      <c r="DE92" s="11">
        <v>69.817102426572859</v>
      </c>
      <c r="DG92" s="11">
        <v>48.757753527423297</v>
      </c>
      <c r="DH92" s="11">
        <v>51.774206833413771</v>
      </c>
      <c r="DI92" s="11">
        <v>55.755825142327183</v>
      </c>
      <c r="DJ92" s="11">
        <v>56.771390508765343</v>
      </c>
      <c r="DK92" s="11">
        <v>62.161796313645368</v>
      </c>
      <c r="DL92" s="11">
        <v>67.981004445694353</v>
      </c>
    </row>
    <row r="93" spans="4:116" ht="15.6" x14ac:dyDescent="0.25">
      <c r="D93" s="10" t="s">
        <v>69</v>
      </c>
      <c r="E93" s="10" t="s">
        <v>59</v>
      </c>
      <c r="F93" s="10" t="s">
        <v>149</v>
      </c>
      <c r="G93" s="10" t="s">
        <v>182</v>
      </c>
      <c r="H93" s="62" t="str">
        <f t="shared" si="3"/>
        <v>Saint Paul (피합병)</v>
      </c>
      <c r="I93" s="11">
        <f>64885.6866759937/(10^3)</f>
        <v>64.885686675993696</v>
      </c>
      <c r="J93" s="11">
        <f>67508.2438860011/(10^3)</f>
        <v>67.508243886001097</v>
      </c>
      <c r="K93" s="11">
        <f>6647979.36558384/(10^3)</f>
        <v>6647.9793655838403</v>
      </c>
      <c r="L93" s="11">
        <f>69520.7080471518/(10^3)</f>
        <v>69.5207080471518</v>
      </c>
      <c r="M93" s="11">
        <f>70716.0730873398/(10^3)</f>
        <v>70.716073087339794</v>
      </c>
      <c r="N93" s="11">
        <f>72615.6057365175/(10^3)</f>
        <v>72.615605736517495</v>
      </c>
      <c r="O93" s="11">
        <f>74369.6191026167/(10^3)</f>
        <v>74.36961910261671</v>
      </c>
      <c r="P93" s="11">
        <f>77158.2348172207/(10^3)</f>
        <v>77.158234817220702</v>
      </c>
      <c r="Q93" s="11">
        <f>770.162630215081/(10^3)</f>
        <v>0.77016263021508102</v>
      </c>
      <c r="R93" s="11">
        <f>77745.6744447164/(10^3)</f>
        <v>77.7456744447164</v>
      </c>
      <c r="S93" s="11">
        <f>80414.8505686428/(10^3)</f>
        <v>80.414850568642791</v>
      </c>
      <c r="T93" s="11">
        <f>79878.56333686/(10^3)</f>
        <v>79.878563336859997</v>
      </c>
      <c r="U93" s="11">
        <f>79688.5323284999/(10^3)</f>
        <v>79.688532328499903</v>
      </c>
      <c r="V93" s="11">
        <f>83273.6411625181/(10^3)</f>
        <v>83.273641162518103</v>
      </c>
      <c r="W93" s="11">
        <f>8474923.90005444/(10^3)</f>
        <v>8474.9239000544403</v>
      </c>
      <c r="X93" s="11">
        <f>84458.1549869155/(10^3)</f>
        <v>84.458154986915503</v>
      </c>
      <c r="Y93" s="11">
        <f>85047.2794938904/(10^3)</f>
        <v>85.0472794938904</v>
      </c>
      <c r="Z93" s="11">
        <f>88011.1718552629/(10^3)</f>
        <v>88.011171855262901</v>
      </c>
      <c r="AA93" s="11">
        <f>89325.8215040037/(10^3)</f>
        <v>89.325821504003699</v>
      </c>
      <c r="AB93" s="11">
        <f>88295.2092173722/(10^3)</f>
        <v>88.295209217372204</v>
      </c>
      <c r="AC93" s="11">
        <f>917.852781833019/(10^3)</f>
        <v>0.91785278183301899</v>
      </c>
      <c r="AD93" s="11">
        <f>90913.2635949574/(10^3)</f>
        <v>90.9132635949574</v>
      </c>
      <c r="AE93" s="11">
        <f>93861.5514875002/(10^3)</f>
        <v>93.861551487500194</v>
      </c>
      <c r="AF93" s="11">
        <f>96022.0988071697/(10^3)</f>
        <v>96.022098807169712</v>
      </c>
      <c r="AG93" s="11">
        <f>94948.2573442388/(10^3)</f>
        <v>94.948257344238797</v>
      </c>
      <c r="AH93" s="11">
        <f>94404.8870383917/(10^3)</f>
        <v>94.404887038391692</v>
      </c>
      <c r="AI93" s="11">
        <f>9660255.10767665/(10^3)</f>
        <v>9660.2551076766504</v>
      </c>
      <c r="AJ93" s="11">
        <f>95131.8116038996/(10^3)</f>
        <v>95.131811603899592</v>
      </c>
      <c r="AK93" s="11">
        <f>94467.4145386445/(10^3)</f>
        <v>94.467414538644505</v>
      </c>
      <c r="AL93" s="11">
        <f>92966.8780455443/(10^3)</f>
        <v>92.966878045544306</v>
      </c>
      <c r="AM93" s="11">
        <f>91987.8608646304/(10^3)</f>
        <v>91.987860864630406</v>
      </c>
      <c r="AN93" s="11">
        <f>91144.1611133924/(10^3)</f>
        <v>91.1441611133924</v>
      </c>
      <c r="AO93" s="11">
        <f>902.897244838525/(10^3)</f>
        <v>0.90289724483852496</v>
      </c>
      <c r="AP93" s="11">
        <f>89443.2801406699/(10^3)</f>
        <v>89.443280140669899</v>
      </c>
      <c r="AQ93" s="11">
        <f>89721.9648599266/(10^3)</f>
        <v>89.721964859926587</v>
      </c>
      <c r="AR93" s="11">
        <f>90502.1279402978/(10^3)</f>
        <v>90.502127940297797</v>
      </c>
      <c r="AS93" s="11">
        <f>89554.6243202958/(10^3)</f>
        <v>89.554624320295801</v>
      </c>
      <c r="AT93" s="11">
        <f>88966.9668382262/(10^3)</f>
        <v>88.966966838226199</v>
      </c>
      <c r="AU93" s="11">
        <f>8932824.41890582/(10^3)</f>
        <v>8932.8244189058205</v>
      </c>
      <c r="AV93" s="11">
        <f>88627.6021619808/(10^3)</f>
        <v>88.627602161980803</v>
      </c>
      <c r="AW93" s="11">
        <f>90725.3251907378/(10^3)</f>
        <v>90.725325190737806</v>
      </c>
      <c r="AX93" s="11">
        <f>89180.0539496997/(10^3)</f>
        <v>89.180053949699698</v>
      </c>
      <c r="AY93" s="11">
        <f>91007.9898002521/(10^3)</f>
        <v>91.007989800252091</v>
      </c>
      <c r="AZ93" s="11">
        <f>89987.8670291785/(10^3)</f>
        <v>89.987867029178489</v>
      </c>
      <c r="BA93" s="11">
        <f>884.167900045323/(10^3)</f>
        <v>0.88416790004532297</v>
      </c>
      <c r="BB93" s="11">
        <f>89423.5873358789/(10^3)</f>
        <v>89.423587335878892</v>
      </c>
      <c r="BC93" s="11">
        <f>91572.5436971603/(10^3)</f>
        <v>91.572543697160299</v>
      </c>
      <c r="BD93" s="11">
        <f>94148.8371026108/(10^3)</f>
        <v>94.148837102610813</v>
      </c>
      <c r="BE93" s="11">
        <f>93562.8450051693/(10^3)</f>
        <v>93.562845005169308</v>
      </c>
      <c r="BF93" s="11">
        <f>91742.9745087387/(10^3)</f>
        <v>91.742974508738698</v>
      </c>
      <c r="BG93" s="11">
        <f>9097880.96020646/(10^3)</f>
        <v>9097.8809602064593</v>
      </c>
      <c r="BH93" s="11">
        <f>95251.8180591058/(10^3)</f>
        <v>95.251818059105801</v>
      </c>
      <c r="BI93" s="11">
        <f>93597.2355148566/(10^3)</f>
        <v>93.597235514856592</v>
      </c>
      <c r="BJ93" s="11">
        <f>92306.7457862215/(10^3)</f>
        <v>92.306745786221498</v>
      </c>
      <c r="BK93" s="11">
        <f>94378.065403119/(10^3)</f>
        <v>94.37806540311901</v>
      </c>
      <c r="BL93" s="11">
        <f>92896.4463838048/(10^3)</f>
        <v>92.8964463838048</v>
      </c>
      <c r="BM93" s="11">
        <f>937.620492930415/(10^3)</f>
        <v>0.93762049293041505</v>
      </c>
      <c r="BN93" s="11">
        <f>92551.0809656245/(10^3)</f>
        <v>92.551080965624493</v>
      </c>
      <c r="BO93" s="11">
        <f>95577.0447704221/(10^3)</f>
        <v>95.577044770422106</v>
      </c>
      <c r="BP93" s="11">
        <f>94920.4442859288/(10^3)</f>
        <v>94.920444285928795</v>
      </c>
      <c r="BQ93" s="11">
        <f>95394.6064898734/(10^3)</f>
        <v>95.394606489873411</v>
      </c>
      <c r="BR93" s="11">
        <f>95920.8431928487/(10^3)</f>
        <v>95.920843192848693</v>
      </c>
      <c r="BS93" s="11">
        <f>9967504.64689953/(10^3)</f>
        <v>9967.5046468995315</v>
      </c>
      <c r="BT93" s="11">
        <f>103102.593504362/(10^3)</f>
        <v>103.10259350436199</v>
      </c>
      <c r="BU93" s="11">
        <f>106339.673373817/(10^3)</f>
        <v>106.33967337381701</v>
      </c>
      <c r="BV93" s="11">
        <f>105116.0685426/(10^3)</f>
        <v>105.1160685426</v>
      </c>
      <c r="BW93" s="11">
        <f>105007.288502595/(10^3)</f>
        <v>105.00728850259499</v>
      </c>
      <c r="BX93" s="11">
        <f>104638.938528451/(10^3)</f>
        <v>104.63893852845101</v>
      </c>
      <c r="BY93" s="11">
        <f>1038.45314849681/(10^3)</f>
        <v>1.03845314849681</v>
      </c>
      <c r="BZ93" s="11">
        <f>103845.314849681/(10^3)</f>
        <v>103.845314849681</v>
      </c>
      <c r="CA93" s="11">
        <f>104426.952015948/(10^3)</f>
        <v>104.426952015948</v>
      </c>
      <c r="CB93" s="11">
        <f>107620.314857919/(10^3)</f>
        <v>107.620314857919</v>
      </c>
      <c r="CC93" s="12"/>
      <c r="CZ93" s="11">
        <v>77.016263021508109</v>
      </c>
      <c r="DA93" s="11">
        <v>91.785278183301926</v>
      </c>
      <c r="DB93" s="11">
        <v>90.289724483852524</v>
      </c>
      <c r="DC93" s="11">
        <v>88.416790004532288</v>
      </c>
      <c r="DD93" s="11">
        <v>93.762049293041457</v>
      </c>
      <c r="DE93" s="11">
        <v>103.84531484968068</v>
      </c>
      <c r="DG93" s="11">
        <v>66.479793655838378</v>
      </c>
      <c r="DH93" s="11">
        <v>84.749239000544407</v>
      </c>
      <c r="DI93" s="11">
        <v>96.602551076766545</v>
      </c>
      <c r="DJ93" s="11">
        <v>89.328244189058211</v>
      </c>
      <c r="DK93" s="11">
        <v>90.978809602064615</v>
      </c>
      <c r="DL93" s="11">
        <v>99.675046468995248</v>
      </c>
    </row>
    <row r="94" spans="4:116" ht="15.6" x14ac:dyDescent="0.25">
      <c r="D94" s="10" t="s">
        <v>70</v>
      </c>
      <c r="E94" s="10" t="s">
        <v>8</v>
      </c>
      <c r="F94" s="10" t="s">
        <v>151</v>
      </c>
      <c r="G94" s="10" t="s">
        <v>182</v>
      </c>
      <c r="H94" s="62" t="str">
        <f t="shared" si="3"/>
        <v>Santa Fe (피합병)</v>
      </c>
      <c r="I94" s="11">
        <f>99525.9794967366/(10^3)</f>
        <v>99.525979496736596</v>
      </c>
      <c r="J94" s="11">
        <f>102579.51547774/(10^3)</f>
        <v>102.57951547774</v>
      </c>
      <c r="K94" s="11">
        <f>10658408.9859916/(10^3)</f>
        <v>10658.4089859916</v>
      </c>
      <c r="L94" s="11">
        <f>105438.18991733/(10^3)</f>
        <v>105.43818991733001</v>
      </c>
      <c r="M94" s="11">
        <f>104889.787755122/(10^3)</f>
        <v>104.889787755122</v>
      </c>
      <c r="N94" s="11">
        <f>107008.94123214/(10^3)</f>
        <v>107.00894123214</v>
      </c>
      <c r="O94" s="11">
        <f>107907.645445499/(10^3)</f>
        <v>107.907645445499</v>
      </c>
      <c r="P94" s="11">
        <f>109181.465110765/(10^3)</f>
        <v>109.181465110765</v>
      </c>
      <c r="Q94" s="11">
        <f>1102.84779805051/(10^3)</f>
        <v>1.10284779805051</v>
      </c>
      <c r="R94" s="11">
        <f>110945.261357802/(10^3)</f>
        <v>110.945261357802</v>
      </c>
      <c r="S94" s="11">
        <f>110640.256046188/(10^3)</f>
        <v>110.640256046188</v>
      </c>
      <c r="T94" s="11">
        <f>108634.427952897/(10^3)</f>
        <v>108.634427952897</v>
      </c>
      <c r="U94" s="11">
        <f>107003.724909261/(10^3)</f>
        <v>107.003724909261</v>
      </c>
      <c r="V94" s="11">
        <f>105740.437024165/(10^3)</f>
        <v>105.740437024165</v>
      </c>
      <c r="W94" s="11">
        <f>10722547.6848689/(10^3)</f>
        <v>10722.5476848689</v>
      </c>
      <c r="X94" s="11">
        <f>106657.484100446/(10^3)</f>
        <v>106.657484100446</v>
      </c>
      <c r="Y94" s="11">
        <f>110693.302829775/(10^3)</f>
        <v>110.69330282977499</v>
      </c>
      <c r="Z94" s="11">
        <f>115772.262292447/(10^3)</f>
        <v>115.77226229244701</v>
      </c>
      <c r="AA94" s="11">
        <f>113975.42110802/(10^3)</f>
        <v>113.97542110802</v>
      </c>
      <c r="AB94" s="11">
        <f>114585.288811879/(10^3)</f>
        <v>114.585288811879</v>
      </c>
      <c r="AC94" s="11">
        <f>1124.22713585405/(10^3)</f>
        <v>1.1242271358540499</v>
      </c>
      <c r="AD94" s="11">
        <f>116175.137024147/(10^3)</f>
        <v>116.17513702414701</v>
      </c>
      <c r="AE94" s="11">
        <f>120209.567718029/(10^3)</f>
        <v>120.20956771802899</v>
      </c>
      <c r="AF94" s="11">
        <f>121138.885561663/(10^3)</f>
        <v>121.138885561663</v>
      </c>
      <c r="AG94" s="11">
        <f>121989.313001299/(10^3)</f>
        <v>121.989313001299</v>
      </c>
      <c r="AH94" s="11">
        <f>120619.406195549/(10^3)</f>
        <v>120.619406195549</v>
      </c>
      <c r="AI94" s="11">
        <f>12005872.0360778/(10^3)</f>
        <v>12005.872036077799</v>
      </c>
      <c r="AJ94" s="11">
        <f>119253.602836467/(10^3)</f>
        <v>119.25360283646701</v>
      </c>
      <c r="AK94" s="11">
        <f>117309.259282188/(10^3)</f>
        <v>117.30925928218799</v>
      </c>
      <c r="AL94" s="11">
        <f>115141.505343005/(10^3)</f>
        <v>115.14150534300501</v>
      </c>
      <c r="AM94" s="11">
        <f>117371.867437219/(10^3)</f>
        <v>117.371867437219</v>
      </c>
      <c r="AN94" s="11">
        <f>117877.233563526/(10^3)</f>
        <v>117.87723356352599</v>
      </c>
      <c r="AO94" s="11">
        <f>1169.40934443606/(10^3)</f>
        <v>1.16940934443606</v>
      </c>
      <c r="AP94" s="11">
        <f>119546.522189746/(10^3)</f>
        <v>119.546522189746</v>
      </c>
      <c r="AQ94" s="11">
        <f>119173.602544367/(10^3)</f>
        <v>119.173602544367</v>
      </c>
      <c r="AR94" s="11">
        <f>117378.582248377/(10^3)</f>
        <v>117.378582248377</v>
      </c>
      <c r="AS94" s="11">
        <f>119819.765472526/(10^3)</f>
        <v>119.819765472526</v>
      </c>
      <c r="AT94" s="11">
        <f>121553.347079261/(10^3)</f>
        <v>121.553347079261</v>
      </c>
      <c r="AU94" s="11">
        <f>11980806.0617663/(10^3)</f>
        <v>11980.8060617663</v>
      </c>
      <c r="AV94" s="11">
        <f>117865.099349983/(10^3)</f>
        <v>117.865099349983</v>
      </c>
      <c r="AW94" s="11">
        <f>116914.997758293/(10^3)</f>
        <v>116.914997758293</v>
      </c>
      <c r="AX94" s="11">
        <f>117013.133199539/(10^3)</f>
        <v>117.01313319953901</v>
      </c>
      <c r="AY94" s="11">
        <f>117872.310126329/(10^3)</f>
        <v>117.872310126329</v>
      </c>
      <c r="AZ94" s="11">
        <f>115831.710264084/(10^3)</f>
        <v>115.83171026408401</v>
      </c>
      <c r="BA94" s="11">
        <f>1215.38348117964/(10^3)</f>
        <v>1.21538348117964</v>
      </c>
      <c r="BB94" s="11">
        <f>124750.343303872/(10^3)</f>
        <v>124.750343303872</v>
      </c>
      <c r="BC94" s="11">
        <f>124403.06228432/(10^3)</f>
        <v>124.40306228432</v>
      </c>
      <c r="BD94" s="11">
        <f>124138.401153273/(10^3)</f>
        <v>124.13840115327299</v>
      </c>
      <c r="BE94" s="11">
        <f>126884.79110718/(10^3)</f>
        <v>126.88479110718001</v>
      </c>
      <c r="BF94" s="11">
        <f>133120.225046094/(10^3)</f>
        <v>133.12022504609402</v>
      </c>
      <c r="BG94" s="11">
        <f>13348825.3541863/(10^3)</f>
        <v>13348.8253541863</v>
      </c>
      <c r="BH94" s="11">
        <f>137145.334728744/(10^3)</f>
        <v>137.14533472874399</v>
      </c>
      <c r="BI94" s="11">
        <f>143295.267032937/(10^3)</f>
        <v>143.29526703293701</v>
      </c>
      <c r="BJ94" s="11">
        <f>143754.612048807/(10^3)</f>
        <v>143.75461204880699</v>
      </c>
      <c r="BK94" s="11">
        <f>144643.734057189/(10^3)</f>
        <v>144.64373405718899</v>
      </c>
      <c r="BL94" s="11">
        <f>142939.928835935/(10^3)</f>
        <v>142.93992883593498</v>
      </c>
      <c r="BM94" s="11">
        <f>1441.05227463204/(10^3)</f>
        <v>1.44105227463204</v>
      </c>
      <c r="BN94" s="11">
        <f>142817.349839781/(10^3)</f>
        <v>142.817349839781</v>
      </c>
      <c r="BO94" s="11">
        <f>145116.688163494/(10^3)</f>
        <v>145.11668816349399</v>
      </c>
      <c r="BP94" s="11">
        <f>142493.38866441/(10^3)</f>
        <v>142.49338866441002</v>
      </c>
      <c r="BQ94" s="11">
        <f>142962.402509281/(10^3)</f>
        <v>142.96240250928099</v>
      </c>
      <c r="BR94" s="11">
        <f>140380.522975031/(10^3)</f>
        <v>140.380522975031</v>
      </c>
      <c r="BS94" s="11">
        <f>14700596.1248582/(10^3)</f>
        <v>14700.596124858201</v>
      </c>
      <c r="BT94" s="11">
        <f>146989.205221592/(10^3)</f>
        <v>146.98920522159202</v>
      </c>
      <c r="BU94" s="11">
        <f>149982.98286038/(10^3)</f>
        <v>149.98298286037999</v>
      </c>
      <c r="BV94" s="11">
        <f>148738.133577319/(10^3)</f>
        <v>148.73813357731902</v>
      </c>
      <c r="BW94" s="11">
        <f>147981.568916196/(10^3)</f>
        <v>147.98156891619601</v>
      </c>
      <c r="BX94" s="11">
        <f>154872.535403391/(10^3)</f>
        <v>154.872535403391</v>
      </c>
      <c r="BY94" s="11">
        <f>1592.95664687102/(10^3)</f>
        <v>1.5929566468710199</v>
      </c>
      <c r="BZ94" s="11">
        <f>159295.664687102/(10^3)</f>
        <v>159.295664687102</v>
      </c>
      <c r="CA94" s="11">
        <f>164259.08477099/(10^3)</f>
        <v>164.25908477099</v>
      </c>
      <c r="CB94" s="11">
        <f>168064.692563302/(10^3)</f>
        <v>168.064692563302</v>
      </c>
      <c r="CC94" s="12"/>
      <c r="CZ94" s="11">
        <v>110.2847798050515</v>
      </c>
      <c r="DA94" s="11">
        <v>112.42271358540481</v>
      </c>
      <c r="DB94" s="11">
        <v>116.94093444360625</v>
      </c>
      <c r="DC94" s="11">
        <v>121.53834811796384</v>
      </c>
      <c r="DD94" s="11">
        <v>144.10522746320419</v>
      </c>
      <c r="DE94" s="11">
        <v>159.29566468710192</v>
      </c>
      <c r="DG94" s="11">
        <v>106.58408985991582</v>
      </c>
      <c r="DH94" s="11">
        <v>107.22547684868897</v>
      </c>
      <c r="DI94" s="11">
        <v>120.0587203607782</v>
      </c>
      <c r="DJ94" s="11">
        <v>119.8080606176626</v>
      </c>
      <c r="DK94" s="11">
        <v>133.48825354186346</v>
      </c>
      <c r="DL94" s="11">
        <v>147.00596124858208</v>
      </c>
    </row>
    <row r="95" spans="4:116" ht="15.6" x14ac:dyDescent="0.25">
      <c r="D95" s="10" t="s">
        <v>71</v>
      </c>
      <c r="E95" s="10" t="s">
        <v>67</v>
      </c>
      <c r="F95" s="10" t="s">
        <v>149</v>
      </c>
      <c r="G95" s="10" t="s">
        <v>182</v>
      </c>
      <c r="H95" s="62" t="str">
        <f t="shared" si="3"/>
        <v>Sioux Falls (피합병)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>
        <f>4005.80953382475/(10^3)</f>
        <v>4.0058095338247499</v>
      </c>
      <c r="W95" s="11">
        <f>404531.107409112/(10^3)</f>
        <v>404.531107409112</v>
      </c>
      <c r="X95" s="11">
        <f>4158.21316853242/(10^3)</f>
        <v>4.15821316853242</v>
      </c>
      <c r="Y95" s="11">
        <f>4130.19309459946/(10^3)</f>
        <v>4.13019309459946</v>
      </c>
      <c r="Z95" s="11">
        <f>4090.12963456463/(10^3)</f>
        <v>4.0901296345646303</v>
      </c>
      <c r="AA95" s="11">
        <f>4086.11508668174/(10^3)</f>
        <v>4.0861150866817404</v>
      </c>
      <c r="AB95" s="11">
        <f>4068.1199807807/(10^3)</f>
        <v>4.0681199807807005</v>
      </c>
      <c r="AC95" s="11">
        <f>40.5071123747084/(10^3)</f>
        <v>4.0507112374708401E-2</v>
      </c>
      <c r="AD95" s="11">
        <f>3976.75786439391/(10^3)</f>
        <v>3.9767578643939099</v>
      </c>
      <c r="AE95" s="11">
        <f>3903.15633091057/(10^3)</f>
        <v>3.9031563309105701</v>
      </c>
      <c r="AF95" s="11">
        <f>3880.52027600937/(10^3)</f>
        <v>3.8805202760093698</v>
      </c>
      <c r="AG95" s="11">
        <f>3885.48271607722/(10^3)</f>
        <v>3.8854827160772203</v>
      </c>
      <c r="AH95" s="11">
        <f>3825.61341928329/(10^3)</f>
        <v>3.82561341928329</v>
      </c>
      <c r="AI95" s="11">
        <f>388286.204436503/(10^3)</f>
        <v>388.286204436503</v>
      </c>
      <c r="AJ95" s="11">
        <f>4046.58685073769/(10^3)</f>
        <v>4.0465868507376896</v>
      </c>
      <c r="AK95" s="11">
        <f>4011.62854996715/(10^3)</f>
        <v>4.01162854996715</v>
      </c>
      <c r="AL95" s="11">
        <f>4172.5779435204/(10^3)</f>
        <v>4.1725779435204</v>
      </c>
      <c r="AM95" s="11">
        <f>4155.55065274105/(10^3)</f>
        <v>4.1555506527410495</v>
      </c>
      <c r="AN95" s="11">
        <f>4126.98426499398/(10^3)</f>
        <v>4.1269842649939799</v>
      </c>
      <c r="AO95" s="11">
        <f>41.0285997390582/(10^3)</f>
        <v>4.1028599739058202E-2</v>
      </c>
      <c r="AP95" s="11">
        <f>4246.97770410384/(10^3)</f>
        <v>4.2469777041038395</v>
      </c>
      <c r="AQ95" s="11">
        <f>4309.79478564019/(10^3)</f>
        <v>4.3097947856401895</v>
      </c>
      <c r="AR95" s="11">
        <f>4384.85539730408/(10^3)</f>
        <v>4.3848553973040802</v>
      </c>
      <c r="AS95" s="11">
        <f>4315.03061565728/(10^3)</f>
        <v>4.31503061565728</v>
      </c>
      <c r="AT95" s="11">
        <f>4261.8256600612/(10^3)</f>
        <v>4.2618256600612003</v>
      </c>
      <c r="AU95" s="11">
        <f>424251.786974042/(10^3)</f>
        <v>424.25178697404203</v>
      </c>
      <c r="AV95" s="11">
        <f>4180.4539732008/(10^3)</f>
        <v>4.1804539732007999</v>
      </c>
      <c r="AW95" s="11">
        <f>4146.90996591337/(10^3)</f>
        <v>4.1469099659133697</v>
      </c>
      <c r="AX95" s="11">
        <f>4192.60273173907/(10^3)</f>
        <v>4.1926027317390702</v>
      </c>
      <c r="AY95" s="11">
        <f>4168.80825305049/(10^3)</f>
        <v>4.1688082530504902</v>
      </c>
      <c r="AZ95" s="11">
        <f>4129.74212109984/(10^3)</f>
        <v>4.1297421210998397</v>
      </c>
      <c r="BA95" s="11">
        <f>42.5317820520358/(10^3)</f>
        <v>4.2531782052035803E-2</v>
      </c>
      <c r="BB95" s="11">
        <f>4322.91186950119/(10^3)</f>
        <v>4.3229118695011906</v>
      </c>
      <c r="BC95" s="11">
        <f>4511.3550021071/(10^3)</f>
        <v>4.5113550021070994</v>
      </c>
      <c r="BD95" s="11">
        <f>4502.47150102063/(10^3)</f>
        <v>4.5024715010206302</v>
      </c>
      <c r="BE95" s="11">
        <f>4583.56038567999/(10^3)</f>
        <v>4.5835603856799896</v>
      </c>
      <c r="BF95" s="11">
        <f>4586.42378757298/(10^3)</f>
        <v>4.5864237875729792</v>
      </c>
      <c r="BG95" s="11">
        <f>469656.881665563/(10^3)</f>
        <v>469.65688166556299</v>
      </c>
      <c r="BH95" s="11">
        <f>4678.15923225717/(10^3)</f>
        <v>4.6781592322571699</v>
      </c>
      <c r="BI95" s="11">
        <f>4634.95919669928/(10^3)</f>
        <v>4.6349591966992802</v>
      </c>
      <c r="BJ95" s="11">
        <f>4711.0343609879/(10^3)</f>
        <v>4.7110343609878997</v>
      </c>
      <c r="BK95" s="11">
        <f>4640.52394708524/(10^3)</f>
        <v>4.6405239470852404</v>
      </c>
      <c r="BL95" s="11">
        <f>4758.89076870534/(10^3)</f>
        <v>4.7588907687053394</v>
      </c>
      <c r="BM95" s="11">
        <f>47.7554255660127/(10^3)</f>
        <v>4.7755425566012699E-2</v>
      </c>
      <c r="BN95" s="11">
        <f>4957.04567691294/(10^3)</f>
        <v>4.9570456769129398</v>
      </c>
      <c r="BO95" s="11">
        <f>5093.99947210848/(10^3)</f>
        <v>5.0939994721084805</v>
      </c>
      <c r="BP95" s="11">
        <f>5175.33715713329/(10^3)</f>
        <v>5.1753371571332902</v>
      </c>
      <c r="BQ95" s="11">
        <f>5214.48071831359/(10^3)</f>
        <v>5.2144807183135899</v>
      </c>
      <c r="BR95" s="11">
        <f>5373.78758809592/(10^3)</f>
        <v>5.3737875880959196</v>
      </c>
      <c r="BS95" s="11">
        <f>562613.144026943/(10^3)</f>
        <v>562.61314402694302</v>
      </c>
      <c r="BT95" s="11">
        <f>5720.13166745283/(10^3)</f>
        <v>5.7201316674528302</v>
      </c>
      <c r="BU95" s="11">
        <f>5681.04562884294/(10^3)</f>
        <v>5.6810456288429396</v>
      </c>
      <c r="BV95" s="11">
        <f>5856.56955388346/(10^3)</f>
        <v>5.8565695538834595</v>
      </c>
      <c r="BW95" s="11">
        <f>5778.85720513423/(10^3)</f>
        <v>5.77885720513423</v>
      </c>
      <c r="BX95" s="11">
        <f>5903.35821012262/(10^3)</f>
        <v>5.9033582101226205</v>
      </c>
      <c r="BY95" s="11">
        <f>62.0963271914721/(10^3)</f>
        <v>6.2096327191472102E-2</v>
      </c>
      <c r="BZ95" s="11">
        <f>6209.63271914721/(10^3)</f>
        <v>6.2096327191472103</v>
      </c>
      <c r="CA95" s="11">
        <f>6280.79940951979/(10^3)</f>
        <v>6.2807994095197897</v>
      </c>
      <c r="CB95" s="11">
        <f>6427.16645410326/(10^3)</f>
        <v>6.4271664541032596</v>
      </c>
      <c r="CC95" s="12"/>
      <c r="CZ95" s="11">
        <v>3.7545914888468612</v>
      </c>
      <c r="DA95" s="11">
        <v>4.0507112374708418</v>
      </c>
      <c r="DB95" s="11">
        <v>4.102859973905816</v>
      </c>
      <c r="DC95" s="11">
        <v>4.2531782052035778</v>
      </c>
      <c r="DD95" s="11">
        <v>4.7755425566012706</v>
      </c>
      <c r="DE95" s="11">
        <v>6.2096327191472103</v>
      </c>
      <c r="DG95" s="11">
        <v>3.5089797154152627</v>
      </c>
      <c r="DH95" s="11">
        <v>4.0453110740911162</v>
      </c>
      <c r="DI95" s="11">
        <v>3.8828620443650324</v>
      </c>
      <c r="DJ95" s="11">
        <v>4.2425178697404213</v>
      </c>
      <c r="DK95" s="11">
        <v>4.6965688166556312</v>
      </c>
      <c r="DL95" s="11">
        <v>5.6261314402694298</v>
      </c>
    </row>
    <row r="96" spans="4:116" ht="15.6" x14ac:dyDescent="0.25">
      <c r="D96" s="10" t="s">
        <v>72</v>
      </c>
      <c r="E96" s="10" t="s">
        <v>17</v>
      </c>
      <c r="F96" s="10" t="s">
        <v>149</v>
      </c>
      <c r="G96" s="10" t="s">
        <v>182</v>
      </c>
      <c r="H96" s="62" t="str">
        <f t="shared" si="3"/>
        <v>Springfield (피합병)</v>
      </c>
      <c r="I96" s="11">
        <f>6944.19062558331/(10^3)</f>
        <v>6.9441906255833104</v>
      </c>
      <c r="J96" s="11">
        <f>6983.83730160891/(10^3)</f>
        <v>6.9838373016089097</v>
      </c>
      <c r="K96" s="11">
        <f>727962.916185824/(10^3)</f>
        <v>727.96291618582393</v>
      </c>
      <c r="L96" s="11">
        <f>7403.48735593951/(10^3)</f>
        <v>7.40348735593951</v>
      </c>
      <c r="M96" s="11">
        <f>7680.83500602118/(10^3)</f>
        <v>7.6808350060211801</v>
      </c>
      <c r="N96" s="11">
        <f>7848.53806843652/(10^3)</f>
        <v>7.84853806843652</v>
      </c>
      <c r="O96" s="11">
        <f>8183.06359147387/(10^3)</f>
        <v>8.1830635914738696</v>
      </c>
      <c r="P96" s="11">
        <f>8279.67367666064/(10^3)</f>
        <v>8.2796736766606394</v>
      </c>
      <c r="Q96" s="11">
        <f>84.6027742396004/(10^3)</f>
        <v>8.4602774239600387E-2</v>
      </c>
      <c r="R96" s="11">
        <f>8486.7516688121/(10^3)</f>
        <v>8.486751668812099</v>
      </c>
      <c r="S96" s="11">
        <f>8760.95165315629/(10^3)</f>
        <v>8.7609516531562903</v>
      </c>
      <c r="T96" s="11">
        <f>8705.62728968537/(10^3)</f>
        <v>8.7056272896853706</v>
      </c>
      <c r="U96" s="11">
        <f>8936.85498684782/(10^3)</f>
        <v>8.9368549868478198</v>
      </c>
      <c r="V96" s="11">
        <f>9040.84654369707/(10^3)</f>
        <v>9.0408465436970697</v>
      </c>
      <c r="W96" s="11">
        <f>897109.438945708/(10^3)</f>
        <v>897.10943894570801</v>
      </c>
      <c r="X96" s="11">
        <f>9123.28092434782/(10^3)</f>
        <v>9.1232809243478208</v>
      </c>
      <c r="Y96" s="11">
        <f>9170.44794168368/(10^3)</f>
        <v>9.1704479416836797</v>
      </c>
      <c r="Z96" s="11">
        <f>9212.82218655618/(10^3)</f>
        <v>9.2128221865561812</v>
      </c>
      <c r="AA96" s="11">
        <f>9436.91557051731/(10^3)</f>
        <v>9.4369155705173107</v>
      </c>
      <c r="AB96" s="11">
        <f>9350.12391133897/(10^3)</f>
        <v>9.3501239113389687</v>
      </c>
      <c r="AC96" s="11">
        <f>92.5872861698586/(10^3)</f>
        <v>9.2587286169858604E-2</v>
      </c>
      <c r="AD96" s="11">
        <f>9195.75594855844/(10^3)</f>
        <v>9.1957559485584408</v>
      </c>
      <c r="AE96" s="11">
        <f>9117.34176635708/(10^3)</f>
        <v>9.1173417663570806</v>
      </c>
      <c r="AF96" s="11">
        <f>9091.40185117231/(10^3)</f>
        <v>9.0914018511723089</v>
      </c>
      <c r="AG96" s="11">
        <f>9306.62737320655/(10^3)</f>
        <v>9.306627373206549</v>
      </c>
      <c r="AH96" s="11">
        <f>9515.46529545901/(10^3)</f>
        <v>9.5154652954590091</v>
      </c>
      <c r="AI96" s="11">
        <f>952677.301970432/(10^3)</f>
        <v>952.67730197043204</v>
      </c>
      <c r="AJ96" s="11">
        <f>9535.54351278925/(10^3)</f>
        <v>9.5355435127892498</v>
      </c>
      <c r="AK96" s="11">
        <f>9853.83561644405/(10^3)</f>
        <v>9.8538356164440497</v>
      </c>
      <c r="AL96" s="11">
        <f>9942.99267734835/(10^3)</f>
        <v>9.9429926773483501</v>
      </c>
      <c r="AM96" s="11">
        <f>10071.3808086214/(10^3)</f>
        <v>10.071380808621399</v>
      </c>
      <c r="AN96" s="11">
        <f>10006.1997480303/(10^3)</f>
        <v>10.0061997480303</v>
      </c>
      <c r="AO96" s="11">
        <f>98.1983966426238/(10^3)</f>
        <v>9.8198396642623809E-2</v>
      </c>
      <c r="AP96" s="11">
        <f>9962.67406744538/(10^3)</f>
        <v>9.9626740674453789</v>
      </c>
      <c r="AQ96" s="11">
        <f>10289.4243098658/(10^3)</f>
        <v>10.289424309865801</v>
      </c>
      <c r="AR96" s="11">
        <f>10289.3544982147/(10^3)</f>
        <v>10.289354498214699</v>
      </c>
      <c r="AS96" s="11">
        <f>10269.3880708426/(10^3)</f>
        <v>10.2693880708426</v>
      </c>
      <c r="AT96" s="11">
        <f>10089.7720477381/(10^3)</f>
        <v>10.089772047738101</v>
      </c>
      <c r="AU96" s="11">
        <f>997060.337149467/(10^3)</f>
        <v>997.06033714946693</v>
      </c>
      <c r="AV96" s="11">
        <f>9811.78931375426/(10^3)</f>
        <v>9.8117893137542591</v>
      </c>
      <c r="AW96" s="11">
        <f>10014.9638843147/(10^3)</f>
        <v>10.0149638843147</v>
      </c>
      <c r="AX96" s="11">
        <f>10024.4841677014/(10^3)</f>
        <v>10.024484167701399</v>
      </c>
      <c r="AY96" s="11">
        <f>9905.4286749456/(10^3)</f>
        <v>9.9054286749456004</v>
      </c>
      <c r="AZ96" s="11">
        <f>9768.09251655207/(10^3)</f>
        <v>9.7680925165520698</v>
      </c>
      <c r="BA96" s="11">
        <f>100.025313911642/(10^3)</f>
        <v>0.100025313911642</v>
      </c>
      <c r="BB96" s="11">
        <f>10194.2302911051/(10^3)</f>
        <v>10.194230291105098</v>
      </c>
      <c r="BC96" s="11">
        <f>10431.8516750939/(10^3)</f>
        <v>10.431851675093899</v>
      </c>
      <c r="BD96" s="11">
        <f>10356.8888487635/(10^3)</f>
        <v>10.3568888487635</v>
      </c>
      <c r="BE96" s="11">
        <f>10235.0955109622/(10^3)</f>
        <v>10.2350955109622</v>
      </c>
      <c r="BF96" s="11">
        <f>10432.3920662554/(10^3)</f>
        <v>10.432392066255399</v>
      </c>
      <c r="BG96" s="11">
        <f>1052155.64897688/(10^3)</f>
        <v>1052.15564897688</v>
      </c>
      <c r="BH96" s="11">
        <f>10816.3811117395/(10^3)</f>
        <v>10.816381111739499</v>
      </c>
      <c r="BI96" s="11">
        <f>10919.8692691132/(10^3)</f>
        <v>10.9198692691132</v>
      </c>
      <c r="BJ96" s="11">
        <f>10890.2699134745/(10^3)</f>
        <v>10.8902699134745</v>
      </c>
      <c r="BK96" s="11">
        <f>10921.6493550373/(10^3)</f>
        <v>10.9216493550373</v>
      </c>
      <c r="BL96" s="11">
        <f>11289.7389544616/(10^3)</f>
        <v>11.289738954461599</v>
      </c>
      <c r="BM96" s="11">
        <f>112.674821170431/(10^3)</f>
        <v>0.112674821170431</v>
      </c>
      <c r="BN96" s="11">
        <f>11221.5856612643/(10^3)</f>
        <v>11.221585661264299</v>
      </c>
      <c r="BO96" s="11">
        <f>11155.7259786642/(10^3)</f>
        <v>11.155725978664201</v>
      </c>
      <c r="BP96" s="11">
        <f>11480.611521058/(10^3)</f>
        <v>11.480611521058</v>
      </c>
      <c r="BQ96" s="11">
        <f>12025.3102866443/(10^3)</f>
        <v>12.0253102866443</v>
      </c>
      <c r="BR96" s="11">
        <f>12625.6023573709/(10^3)</f>
        <v>12.625602357370902</v>
      </c>
      <c r="BS96" s="11">
        <f>1303192.24756988/(10^3)</f>
        <v>1303.19224756988</v>
      </c>
      <c r="BT96" s="11">
        <f>13567.37106599/(10^3)</f>
        <v>13.567371065990001</v>
      </c>
      <c r="BU96" s="11">
        <f>14179.6710856849/(10^3)</f>
        <v>14.1796710856849</v>
      </c>
      <c r="BV96" s="11">
        <f>14511.9804941683/(10^3)</f>
        <v>14.5119804941683</v>
      </c>
      <c r="BW96" s="11">
        <f>14805.9267134382/(10^3)</f>
        <v>14.8059267134382</v>
      </c>
      <c r="BX96" s="11">
        <f>14911.5099733417/(10^3)</f>
        <v>14.911509973341699</v>
      </c>
      <c r="BY96" s="11">
        <f>151.012712307621/(10^3)</f>
        <v>0.15101271230762101</v>
      </c>
      <c r="BZ96" s="11">
        <f>15101.2712307621/(10^3)</f>
        <v>15.1012712307621</v>
      </c>
      <c r="CA96" s="11">
        <f>14888.381546597/(10^3)</f>
        <v>14.888381546597</v>
      </c>
      <c r="CB96" s="11">
        <f>14796.2504511827/(10^3)</f>
        <v>14.796250451182699</v>
      </c>
      <c r="CC96" s="12"/>
      <c r="CZ96" s="11">
        <v>8.4602774239600347</v>
      </c>
      <c r="DA96" s="11">
        <v>9.2587286169858558</v>
      </c>
      <c r="DB96" s="11">
        <v>9.819839664262382</v>
      </c>
      <c r="DC96" s="11">
        <v>10.002531391164213</v>
      </c>
      <c r="DD96" s="11">
        <v>11.267482117043146</v>
      </c>
      <c r="DE96" s="11">
        <v>15.101271230762128</v>
      </c>
      <c r="DG96" s="11">
        <v>7.2796291618582387</v>
      </c>
      <c r="DH96" s="11">
        <v>8.9710943894570772</v>
      </c>
      <c r="DI96" s="11">
        <v>9.5267730197043221</v>
      </c>
      <c r="DJ96" s="11">
        <v>9.970603371494672</v>
      </c>
      <c r="DK96" s="11">
        <v>10.521556489768839</v>
      </c>
      <c r="DL96" s="11">
        <v>13.031922475698778</v>
      </c>
    </row>
    <row r="97" spans="4:116" ht="15.6" x14ac:dyDescent="0.25">
      <c r="D97" s="10" t="s">
        <v>73</v>
      </c>
      <c r="E97" s="10" t="s">
        <v>35</v>
      </c>
      <c r="F97" s="10" t="s">
        <v>150</v>
      </c>
      <c r="G97" s="10" t="s">
        <v>182</v>
      </c>
      <c r="H97" s="62" t="str">
        <f t="shared" si="3"/>
        <v>Tallahassee (피합병)</v>
      </c>
      <c r="I97" s="11">
        <f>8688.81946999025/(10^3)</f>
        <v>8.6888194699902499</v>
      </c>
      <c r="J97" s="11">
        <f>9028.65069938765/(10^3)</f>
        <v>9.0286506993876507</v>
      </c>
      <c r="K97" s="11">
        <f>939981.736141037/(10^3)</f>
        <v>939.981736141037</v>
      </c>
      <c r="L97" s="11">
        <f>9225.63375464388/(10^3)</f>
        <v>9.22563375464388</v>
      </c>
      <c r="M97" s="11">
        <f>9645.05319741976/(10^3)</f>
        <v>9.6450531974197595</v>
      </c>
      <c r="N97" s="11">
        <f>9740.27154602362/(10^3)</f>
        <v>9.7402715460236191</v>
      </c>
      <c r="O97" s="11">
        <f>9694.66578639438/(10^3)</f>
        <v>9.6946657863943795</v>
      </c>
      <c r="P97" s="11">
        <f>9515.53309921901/(10^3)</f>
        <v>9.5155330992190095</v>
      </c>
      <c r="Q97" s="11">
        <f>94.0646959878752/(10^3)</f>
        <v>9.4064695987875202E-2</v>
      </c>
      <c r="R97" s="11">
        <f>9835.35511910253/(10^3)</f>
        <v>9.8353551191025304</v>
      </c>
      <c r="S97" s="11">
        <f>10208.3736287714/(10^3)</f>
        <v>10.208373628771399</v>
      </c>
      <c r="T97" s="11">
        <f>10490.006525638/(10^3)</f>
        <v>10.490006525638</v>
      </c>
      <c r="U97" s="11">
        <f>10368.2288195963/(10^3)</f>
        <v>10.368228819596299</v>
      </c>
      <c r="V97" s="11">
        <f>10188.2229583122/(10^3)</f>
        <v>10.188222958312201</v>
      </c>
      <c r="W97" s="11">
        <f>1016836.48503175/(10^3)</f>
        <v>1016.83648503175</v>
      </c>
      <c r="X97" s="11">
        <f>10159.0428556499/(10^3)</f>
        <v>10.159042855649899</v>
      </c>
      <c r="Y97" s="11">
        <f>10458.6202066788/(10^3)</f>
        <v>10.458620206678798</v>
      </c>
      <c r="Z97" s="11">
        <f>10260.8966040126/(10^3)</f>
        <v>10.260896604012599</v>
      </c>
      <c r="AA97" s="11">
        <f>10665.421809941/(10^3)</f>
        <v>10.665421809941002</v>
      </c>
      <c r="AB97" s="11">
        <f>10926.5062367338/(10^3)</f>
        <v>10.9265062367338</v>
      </c>
      <c r="AC97" s="11">
        <f>109.998635613454/(10^3)</f>
        <v>0.10999863561345399</v>
      </c>
      <c r="AD97" s="11">
        <f>10942.1539195725/(10^3)</f>
        <v>10.942153919572499</v>
      </c>
      <c r="AE97" s="11">
        <f>10925.310040513/(10^3)</f>
        <v>10.925310040513001</v>
      </c>
      <c r="AF97" s="11">
        <f>11082.4163101237/(10^3)</f>
        <v>11.082416310123701</v>
      </c>
      <c r="AG97" s="11">
        <f>11043.9888856037/(10^3)</f>
        <v>11.043988885603699</v>
      </c>
      <c r="AH97" s="11">
        <f>11544.36599243/(10^3)</f>
        <v>11.544365992429999</v>
      </c>
      <c r="AI97" s="11">
        <f>1171518.00746176/(10^3)</f>
        <v>1171.5180074617599</v>
      </c>
      <c r="AJ97" s="11">
        <f>11685.3925675372/(10^3)</f>
        <v>11.6853925675372</v>
      </c>
      <c r="AK97" s="11">
        <f>11529.4518105735/(10^3)</f>
        <v>11.5294518105735</v>
      </c>
      <c r="AL97" s="11">
        <f>11312.2233493369/(10^3)</f>
        <v>11.3122233493369</v>
      </c>
      <c r="AM97" s="11">
        <f>11290.7903901428/(10^3)</f>
        <v>11.290790390142799</v>
      </c>
      <c r="AN97" s="11">
        <f>11193.7138121674/(10^3)</f>
        <v>11.193713812167399</v>
      </c>
      <c r="AO97" s="11">
        <f>110.928954856116/(10^3)</f>
        <v>0.11092895485611599</v>
      </c>
      <c r="AP97" s="11">
        <f>11288.9819662968/(10^3)</f>
        <v>11.288981966296801</v>
      </c>
      <c r="AQ97" s="11">
        <f>11592.4688990142/(10^3)</f>
        <v>11.5924688990142</v>
      </c>
      <c r="AR97" s="11">
        <f>11397.8577408745/(10^3)</f>
        <v>11.3978577408745</v>
      </c>
      <c r="AS97" s="11">
        <f>11194.6672972655/(10^3)</f>
        <v>11.1946672972655</v>
      </c>
      <c r="AT97" s="11">
        <f>11180.6238026182/(10^3)</f>
        <v>11.1806238026182</v>
      </c>
      <c r="AU97" s="11">
        <f>1115160.44930079/(10^3)</f>
        <v>1115.1604493007899</v>
      </c>
      <c r="AV97" s="11">
        <f>10974.9060301615/(10^3)</f>
        <v>10.974906030161501</v>
      </c>
      <c r="AW97" s="11">
        <f>10918.7598815534/(10^3)</f>
        <v>10.918759881553401</v>
      </c>
      <c r="AX97" s="11">
        <f>11088.1119915312/(10^3)</f>
        <v>11.0881119915312</v>
      </c>
      <c r="AY97" s="11">
        <f>10956.3158362324/(10^3)</f>
        <v>10.956315836232399</v>
      </c>
      <c r="AZ97" s="11">
        <f>10979.7849389882/(10^3)</f>
        <v>10.9797849389882</v>
      </c>
      <c r="BA97" s="11">
        <f>114.273106622082/(10^3)</f>
        <v>0.114273106622082</v>
      </c>
      <c r="BB97" s="11">
        <f>11209.2518571158/(10^3)</f>
        <v>11.209251857115801</v>
      </c>
      <c r="BC97" s="11">
        <f>11658.097349242/(10^3)</f>
        <v>11.658097349242</v>
      </c>
      <c r="BD97" s="11">
        <f>12148.92763433/(10^3)</f>
        <v>12.148927634330001</v>
      </c>
      <c r="BE97" s="11">
        <f>12025.4028393011/(10^3)</f>
        <v>12.025402839301099</v>
      </c>
      <c r="BF97" s="11">
        <f>12385.7066113467/(10^3)</f>
        <v>12.3857066113467</v>
      </c>
      <c r="BG97" s="11">
        <f>1290634.29504903/(10^3)</f>
        <v>1290.63429504903</v>
      </c>
      <c r="BH97" s="11">
        <f>13193.0104260478/(10^3)</f>
        <v>13.193010426047801</v>
      </c>
      <c r="BI97" s="11">
        <f>13510.470994727/(10^3)</f>
        <v>13.510470994727001</v>
      </c>
      <c r="BJ97" s="11">
        <f>13968.8996781228/(10^3)</f>
        <v>13.968899678122799</v>
      </c>
      <c r="BK97" s="11">
        <f>14482.4936283924/(10^3)</f>
        <v>14.482493628392399</v>
      </c>
      <c r="BL97" s="11">
        <f>14823.9816784299/(10^3)</f>
        <v>14.823981678429901</v>
      </c>
      <c r="BM97" s="11">
        <f>146.496689044746/(10^3)</f>
        <v>0.146496689044746</v>
      </c>
      <c r="BN97" s="11">
        <f>15277.5076603612/(10^3)</f>
        <v>15.2775076603612</v>
      </c>
      <c r="BO97" s="11">
        <f>15225.032059406/(10^3)</f>
        <v>15.225032059405999</v>
      </c>
      <c r="BP97" s="11">
        <f>15916.1871596958/(10^3)</f>
        <v>15.9161871596958</v>
      </c>
      <c r="BQ97" s="11">
        <f>15888.1486335077/(10^3)</f>
        <v>15.888148633507701</v>
      </c>
      <c r="BR97" s="11">
        <f>16506.5827890539/(10^3)</f>
        <v>16.506582789053901</v>
      </c>
      <c r="BS97" s="11">
        <f>1705559.79463208/(10^3)</f>
        <v>1705.55979463208</v>
      </c>
      <c r="BT97" s="11">
        <f>17717.2496433178/(10^3)</f>
        <v>17.7172496433178</v>
      </c>
      <c r="BU97" s="11">
        <f>17513.6368660129/(10^3)</f>
        <v>17.513636866012902</v>
      </c>
      <c r="BV97" s="11">
        <f>17253.2255660639/(10^3)</f>
        <v>17.253225566063897</v>
      </c>
      <c r="BW97" s="11">
        <f>17871.1084291728/(10^3)</f>
        <v>17.8711084291728</v>
      </c>
      <c r="BX97" s="11">
        <f>18180.8647820194/(10^3)</f>
        <v>18.180864782019398</v>
      </c>
      <c r="BY97" s="11">
        <f>185.985889488746/(10^3)</f>
        <v>0.185985889488746</v>
      </c>
      <c r="BZ97" s="11">
        <f>18598.5889488746/(10^3)</f>
        <v>18.5985889488746</v>
      </c>
      <c r="CA97" s="11">
        <f>19006.1392383119/(10^3)</f>
        <v>19.006139238311899</v>
      </c>
      <c r="CB97" s="11">
        <f>18815.2698468724/(10^3)</f>
        <v>18.8152698468724</v>
      </c>
      <c r="CC97" s="12"/>
      <c r="CZ97" s="11">
        <v>9.4064695987875204</v>
      </c>
      <c r="DA97" s="11">
        <v>10.999863561345377</v>
      </c>
      <c r="DB97" s="11">
        <v>11.092895485611624</v>
      </c>
      <c r="DC97" s="11">
        <v>11.427310662208214</v>
      </c>
      <c r="DD97" s="11">
        <v>14.649668904474636</v>
      </c>
      <c r="DE97" s="11">
        <v>18.598588948874614</v>
      </c>
      <c r="DG97" s="11">
        <v>9.3998173614103688</v>
      </c>
      <c r="DH97" s="11">
        <v>10.168364850317451</v>
      </c>
      <c r="DI97" s="11">
        <v>11.715180074617647</v>
      </c>
      <c r="DJ97" s="11">
        <v>11.151604493007872</v>
      </c>
      <c r="DK97" s="11">
        <v>12.906342950490343</v>
      </c>
      <c r="DL97" s="11">
        <v>17.055597946320805</v>
      </c>
    </row>
    <row r="98" spans="4:116" ht="15.6" x14ac:dyDescent="0.25">
      <c r="D98" s="10" t="s">
        <v>74</v>
      </c>
      <c r="E98" s="10" t="s">
        <v>51</v>
      </c>
      <c r="F98" s="10" t="s">
        <v>149</v>
      </c>
      <c r="G98" s="10" t="s">
        <v>182</v>
      </c>
      <c r="H98" s="62" t="str">
        <f t="shared" si="3"/>
        <v>Topeka (피합병)</v>
      </c>
      <c r="I98" s="11">
        <f>10524.4496055219/(10^3)</f>
        <v>10.5244496055219</v>
      </c>
      <c r="J98" s="11">
        <f>10421.0285415127/(10^3)</f>
        <v>10.421028541512699</v>
      </c>
      <c r="K98" s="11">
        <f>1030051.02268686/(10^3)</f>
        <v>1030.0510226868601</v>
      </c>
      <c r="L98" s="11">
        <f>10800.6615544062/(10^3)</f>
        <v>10.800661554406201</v>
      </c>
      <c r="M98" s="11">
        <f>10999.4904890828/(10^3)</f>
        <v>10.999490489082801</v>
      </c>
      <c r="N98" s="11">
        <f>10876.6203243093/(10^3)</f>
        <v>10.8766203243093</v>
      </c>
      <c r="O98" s="11">
        <f>11218.6239198425/(10^3)</f>
        <v>11.2186239198425</v>
      </c>
      <c r="P98" s="11">
        <f>11714.990100499/(10^3)</f>
        <v>11.714990100499001</v>
      </c>
      <c r="Q98" s="11">
        <f>117.755123382265/(10^3)</f>
        <v>0.117755123382265</v>
      </c>
      <c r="R98" s="11">
        <f>11678.5819514853/(10^3)</f>
        <v>11.678581951485299</v>
      </c>
      <c r="S98" s="11">
        <f>11761.0540251224/(10^3)</f>
        <v>11.7610540251224</v>
      </c>
      <c r="T98" s="11">
        <f>11729.5374773553/(10^3)</f>
        <v>11.729537477355299</v>
      </c>
      <c r="U98" s="11">
        <f>11590.9528872912/(10^3)</f>
        <v>11.5909528872912</v>
      </c>
      <c r="V98" s="11">
        <f>11789.2507913111/(10^3)</f>
        <v>11.789250791311101</v>
      </c>
      <c r="W98" s="11">
        <f>1205347.22497754/(10^3)</f>
        <v>1205.34722497754</v>
      </c>
      <c r="X98" s="11">
        <f>11901.1206239427/(10^3)</f>
        <v>11.901120623942699</v>
      </c>
      <c r="Y98" s="11">
        <f>11741.8930625595/(10^3)</f>
        <v>11.7418930625595</v>
      </c>
      <c r="Z98" s="11">
        <f>11590.0196629995/(10^3)</f>
        <v>11.5900196629995</v>
      </c>
      <c r="AA98" s="11">
        <f>11992.2036572061/(10^3)</f>
        <v>11.992203657206101</v>
      </c>
      <c r="AB98" s="11">
        <f>11866.6001234269/(10^3)</f>
        <v>11.866600123426901</v>
      </c>
      <c r="AC98" s="11">
        <f>118.529367414803/(10^3)</f>
        <v>0.11852936741480301</v>
      </c>
      <c r="AD98" s="11">
        <f>11694.4830165325/(10^3)</f>
        <v>11.6944830165325</v>
      </c>
      <c r="AE98" s="11">
        <f>11624.8994716265/(10^3)</f>
        <v>11.624899471626501</v>
      </c>
      <c r="AF98" s="11">
        <f>11831.8980677206/(10^3)</f>
        <v>11.8318980677206</v>
      </c>
      <c r="AG98" s="11">
        <f>12000.7543223409/(10^3)</f>
        <v>12.000754322340899</v>
      </c>
      <c r="AH98" s="11">
        <f>12352.760362509/(10^3)</f>
        <v>12.352760362508999</v>
      </c>
      <c r="AI98" s="11">
        <f>1212326.24276333/(10^3)</f>
        <v>1212.3262427633299</v>
      </c>
      <c r="AJ98" s="11">
        <f>12624.3342464296/(10^3)</f>
        <v>12.6243342464296</v>
      </c>
      <c r="AK98" s="11">
        <f>12530.7055045576/(10^3)</f>
        <v>12.5307055045576</v>
      </c>
      <c r="AL98" s="11">
        <f>12476.9707838606/(10^3)</f>
        <v>12.476970783860599</v>
      </c>
      <c r="AM98" s="11">
        <f>12279.3505593374/(10^3)</f>
        <v>12.279350559337399</v>
      </c>
      <c r="AN98" s="11">
        <f>12062.6890861986/(10^3)</f>
        <v>12.062689086198599</v>
      </c>
      <c r="AO98" s="11">
        <f>123.100774835804/(10^3)</f>
        <v>0.12310077483580401</v>
      </c>
      <c r="AP98" s="11">
        <f>12171.2856827295/(10^3)</f>
        <v>12.171285682729501</v>
      </c>
      <c r="AQ98" s="11">
        <f>12143.0661218949/(10^3)</f>
        <v>12.143066121894901</v>
      </c>
      <c r="AR98" s="11">
        <f>12088.3471302959/(10^3)</f>
        <v>12.088347130295901</v>
      </c>
      <c r="AS98" s="11">
        <f>12544.5125562701/(10^3)</f>
        <v>12.544512556270099</v>
      </c>
      <c r="AT98" s="11">
        <f>12601.7641319921/(10^3)</f>
        <v>12.6017641319921</v>
      </c>
      <c r="AU98" s="11">
        <f>1236628.49256694/(10^3)</f>
        <v>1236.6284925669399</v>
      </c>
      <c r="AV98" s="11">
        <f>12398.8269327136/(10^3)</f>
        <v>12.3988269327136</v>
      </c>
      <c r="AW98" s="11">
        <f>12909.7861614777/(10^3)</f>
        <v>12.909786161477699</v>
      </c>
      <c r="AX98" s="11">
        <f>13141.7937654752/(10^3)</f>
        <v>13.141793765475201</v>
      </c>
      <c r="AY98" s="11">
        <f>13066.4628305265/(10^3)</f>
        <v>13.0664628305265</v>
      </c>
      <c r="AZ98" s="11">
        <f>13073.1850097224/(10^3)</f>
        <v>13.073185009722399</v>
      </c>
      <c r="BA98" s="11">
        <f>137.016415360488/(10^3)</f>
        <v>0.137016415360488</v>
      </c>
      <c r="BB98" s="11">
        <f>13847.7069205024/(10^3)</f>
        <v>13.8477069205024</v>
      </c>
      <c r="BC98" s="11">
        <f>13788.6264997499/(10^3)</f>
        <v>13.788626499749901</v>
      </c>
      <c r="BD98" s="11">
        <f>13702.6897332531/(10^3)</f>
        <v>13.7026897332531</v>
      </c>
      <c r="BE98" s="11">
        <f>13915.8380141628/(10^3)</f>
        <v>13.9158380141628</v>
      </c>
      <c r="BF98" s="11">
        <f>14245.0733184174/(10^3)</f>
        <v>14.245073318417401</v>
      </c>
      <c r="BG98" s="11">
        <f>1406332.43406647/(10^3)</f>
        <v>1406.3324340664701</v>
      </c>
      <c r="BH98" s="11">
        <f>14706.4813480703/(10^3)</f>
        <v>14.7064813480703</v>
      </c>
      <c r="BI98" s="11">
        <f>14574.7914644977/(10^3)</f>
        <v>14.5747914644977</v>
      </c>
      <c r="BJ98" s="11">
        <f>14719.4426398654/(10^3)</f>
        <v>14.719442639865399</v>
      </c>
      <c r="BK98" s="11">
        <f>14749.4193259491/(10^3)</f>
        <v>14.7494193259491</v>
      </c>
      <c r="BL98" s="11">
        <f>14579.3047393934/(10^3)</f>
        <v>14.579304739393399</v>
      </c>
      <c r="BM98" s="11">
        <f>149.612327491903/(10^3)</f>
        <v>0.14961232749190298</v>
      </c>
      <c r="BN98" s="11">
        <f>14728.060491657/(10^3)</f>
        <v>14.728060491656999</v>
      </c>
      <c r="BO98" s="11">
        <f>15218.7598913301/(10^3)</f>
        <v>15.218759891330102</v>
      </c>
      <c r="BP98" s="11">
        <f>15754.1812321908/(10^3)</f>
        <v>15.754181232190801</v>
      </c>
      <c r="BQ98" s="11">
        <f>15471.5731765578/(10^3)</f>
        <v>15.471573176557801</v>
      </c>
      <c r="BR98" s="11">
        <f>15232.642542699/(10^3)</f>
        <v>15.232642542699001</v>
      </c>
      <c r="BS98" s="11">
        <f>1565243.15952146/(10^3)</f>
        <v>1565.24315952146</v>
      </c>
      <c r="BT98" s="11">
        <f>15884.6031085491/(10^3)</f>
        <v>15.884603108549099</v>
      </c>
      <c r="BU98" s="11">
        <f>16351.8006044733/(10^3)</f>
        <v>16.351800604473301</v>
      </c>
      <c r="BV98" s="11">
        <f>16106.7102859018/(10^3)</f>
        <v>16.106710285901798</v>
      </c>
      <c r="BW98" s="11">
        <f>16111.9965531136/(10^3)</f>
        <v>16.111996553113599</v>
      </c>
      <c r="BX98" s="11">
        <f>16791.0449169443/(10^3)</f>
        <v>16.791044916944301</v>
      </c>
      <c r="BY98" s="11">
        <f>166.260172082346/(10^3)</f>
        <v>0.166260172082346</v>
      </c>
      <c r="BZ98" s="11">
        <f>16626.0172082346/(10^3)</f>
        <v>16.6260172082346</v>
      </c>
      <c r="CA98" s="11">
        <f>16980.0038746454/(10^3)</f>
        <v>16.980003874645401</v>
      </c>
      <c r="CB98" s="11">
        <f>16910.7966516551/(10^3)</f>
        <v>16.910796651655097</v>
      </c>
      <c r="CC98" s="12"/>
      <c r="CZ98" s="11">
        <v>11.775512338226475</v>
      </c>
      <c r="DA98" s="11">
        <v>11.852936741480313</v>
      </c>
      <c r="DB98" s="11">
        <v>12.310077483580365</v>
      </c>
      <c r="DC98" s="11">
        <v>13.701641536048768</v>
      </c>
      <c r="DD98" s="11">
        <v>14.961232749190341</v>
      </c>
      <c r="DE98" s="11">
        <v>16.626017208234597</v>
      </c>
      <c r="DG98" s="11">
        <v>10.300510226868608</v>
      </c>
      <c r="DH98" s="11">
        <v>12.053472249775352</v>
      </c>
      <c r="DI98" s="11">
        <v>12.123262427633302</v>
      </c>
      <c r="DJ98" s="11">
        <v>12.366284925669355</v>
      </c>
      <c r="DK98" s="11">
        <v>14.063324340664691</v>
      </c>
      <c r="DL98" s="11">
        <v>15.652431595214598</v>
      </c>
    </row>
    <row r="99" spans="4:116" ht="15.6" x14ac:dyDescent="0.25">
      <c r="D99" s="10" t="s">
        <v>75</v>
      </c>
      <c r="E99" s="10" t="s">
        <v>64</v>
      </c>
      <c r="F99" s="10" t="s">
        <v>150</v>
      </c>
      <c r="G99" s="10" t="s">
        <v>182</v>
      </c>
      <c r="H99" s="62" t="str">
        <f t="shared" si="3"/>
        <v>Tulsa (피합병)</v>
      </c>
      <c r="I99" s="11">
        <f>12740.1306101033/(10^3)</f>
        <v>12.7401306101033</v>
      </c>
      <c r="J99" s="11">
        <f>13211.0914240469/(10^3)</f>
        <v>13.211091424046899</v>
      </c>
      <c r="K99" s="11">
        <f>1383441.51406743/(10^3)</f>
        <v>1383.44151406743</v>
      </c>
      <c r="L99" s="11">
        <f>13863.6053377674/(10^3)</f>
        <v>13.8636053377674</v>
      </c>
      <c r="M99" s="11">
        <f>13923.7848207156/(10^3)</f>
        <v>13.9237848207156</v>
      </c>
      <c r="N99" s="11">
        <f>14378.5476290047/(10^3)</f>
        <v>14.3785476290047</v>
      </c>
      <c r="O99" s="11">
        <f>15006.9355732574/(10^3)</f>
        <v>15.006935573257401</v>
      </c>
      <c r="P99" s="11">
        <f>15234.9758233269/(10^3)</f>
        <v>15.2349758233269</v>
      </c>
      <c r="Q99" s="11">
        <f>152.830333325593/(10^3)</f>
        <v>0.15283033332559298</v>
      </c>
      <c r="R99" s="11">
        <f>15028.2093092594/(10^3)</f>
        <v>15.028209309259401</v>
      </c>
      <c r="S99" s="11">
        <f>15147.4172709658/(10^3)</f>
        <v>15.1474172709658</v>
      </c>
      <c r="T99" s="11">
        <f>15552.5221616251/(10^3)</f>
        <v>15.552522161625101</v>
      </c>
      <c r="U99" s="11">
        <f>15524.4411967103/(10^3)</f>
        <v>15.524441196710301</v>
      </c>
      <c r="V99" s="11">
        <f>15316.5626593437/(10^3)</f>
        <v>15.316562659343699</v>
      </c>
      <c r="W99" s="11">
        <f>1501708.35478486/(10^3)</f>
        <v>1501.7083547848601</v>
      </c>
      <c r="X99" s="11">
        <f>15137.9233020875/(10^3)</f>
        <v>15.137923302087501</v>
      </c>
      <c r="Y99" s="11">
        <f>15822.7243889652/(10^3)</f>
        <v>15.822724388965201</v>
      </c>
      <c r="Z99" s="11">
        <f>15664.462390518/(10^3)</f>
        <v>15.664462390518</v>
      </c>
      <c r="AA99" s="11">
        <f>15543.3743617127/(10^3)</f>
        <v>15.543374361712701</v>
      </c>
      <c r="AB99" s="11">
        <f>15664.9262005519/(10^3)</f>
        <v>15.6649262005519</v>
      </c>
      <c r="AC99" s="11">
        <f>155.337075868727/(10^3)</f>
        <v>0.155337075868727</v>
      </c>
      <c r="AD99" s="11">
        <f>16129.259372237/(10^3)</f>
        <v>16.129259372237001</v>
      </c>
      <c r="AE99" s="11">
        <f>16547.3110285606/(10^3)</f>
        <v>16.547311028560603</v>
      </c>
      <c r="AF99" s="11">
        <f>16301.7027495551/(10^3)</f>
        <v>16.301702749555098</v>
      </c>
      <c r="AG99" s="11">
        <f>16096.0886765805/(10^3)</f>
        <v>16.0960886765805</v>
      </c>
      <c r="AH99" s="11">
        <f>16629.0898189564/(10^3)</f>
        <v>16.629089818956398</v>
      </c>
      <c r="AI99" s="11">
        <f>1662536.57943544/(10^3)</f>
        <v>1662.53657943544</v>
      </c>
      <c r="AJ99" s="11">
        <f>16425.2812164493/(10^3)</f>
        <v>16.425281216449299</v>
      </c>
      <c r="AK99" s="11">
        <f>16282.0202703876/(10^3)</f>
        <v>16.282020270387601</v>
      </c>
      <c r="AL99" s="11">
        <f>16067.7789292655/(10^3)</f>
        <v>16.067778929265501</v>
      </c>
      <c r="AM99" s="11">
        <f>16014.7287694988/(10^3)</f>
        <v>16.014728769498802</v>
      </c>
      <c r="AN99" s="11">
        <f>16233.2793274897/(10^3)</f>
        <v>16.233279327489701</v>
      </c>
      <c r="AO99" s="11">
        <f>162.217241436114/(10^3)</f>
        <v>0.16221724143611399</v>
      </c>
      <c r="AP99" s="11">
        <f>16608.9636751436/(10^3)</f>
        <v>16.608963675143603</v>
      </c>
      <c r="AQ99" s="11">
        <f>16281.6627212523/(10^3)</f>
        <v>16.2816627212523</v>
      </c>
      <c r="AR99" s="11">
        <f>16226.4378683772/(10^3)</f>
        <v>16.2264378683772</v>
      </c>
      <c r="AS99" s="11">
        <f>16233.5499309728/(10^3)</f>
        <v>16.233549930972799</v>
      </c>
      <c r="AT99" s="11">
        <f>16222.4748617402/(10^3)</f>
        <v>16.222474861740199</v>
      </c>
      <c r="AU99" s="11">
        <f>1702897.30931963/(10^3)</f>
        <v>1702.89730931963</v>
      </c>
      <c r="AV99" s="11">
        <f>17086.9774741798/(10^3)</f>
        <v>17.0869774741798</v>
      </c>
      <c r="AW99" s="11">
        <f>16839.9567788688/(10^3)</f>
        <v>16.8399567788688</v>
      </c>
      <c r="AX99" s="11">
        <f>17056.7797806988/(10^3)</f>
        <v>17.056779780698797</v>
      </c>
      <c r="AY99" s="11">
        <f>17171.0286902099/(10^3)</f>
        <v>17.171028690209901</v>
      </c>
      <c r="AZ99" s="11">
        <f>17390.3694015692/(10^3)</f>
        <v>17.390369401569203</v>
      </c>
      <c r="BA99" s="11">
        <f>178.604375194711/(10^3)</f>
        <v>0.17860437519471101</v>
      </c>
      <c r="BB99" s="11">
        <f>17843.6907212116/(10^3)</f>
        <v>17.843690721211598</v>
      </c>
      <c r="BC99" s="11">
        <f>18690.9613746195/(10^3)</f>
        <v>18.690961374619498</v>
      </c>
      <c r="BD99" s="11">
        <f>18691.7670940311/(10^3)</f>
        <v>18.6917670940311</v>
      </c>
      <c r="BE99" s="11">
        <f>18549.0688610351/(10^3)</f>
        <v>18.549068861035099</v>
      </c>
      <c r="BF99" s="11">
        <f>18610.7681221973/(10^3)</f>
        <v>18.6107681221973</v>
      </c>
      <c r="BG99" s="11">
        <f>1927270.66354139/(10^3)</f>
        <v>1927.2706635413901</v>
      </c>
      <c r="BH99" s="11">
        <f>19999.9971518303/(10^3)</f>
        <v>19.9999971518303</v>
      </c>
      <c r="BI99" s="11">
        <f>19643.1667276899/(10^3)</f>
        <v>19.643166727689898</v>
      </c>
      <c r="BJ99" s="11">
        <f>19663.8311970034/(10^3)</f>
        <v>19.6638311970034</v>
      </c>
      <c r="BK99" s="11">
        <f>19420.115584748/(10^3)</f>
        <v>19.420115584748</v>
      </c>
      <c r="BL99" s="11">
        <f>20315.2157858749/(10^3)</f>
        <v>20.315215785874901</v>
      </c>
      <c r="BM99" s="11">
        <f>212.630610592705/(10^3)</f>
        <v>0.21263061059270502</v>
      </c>
      <c r="BN99" s="11">
        <f>22310.5030483669/(10^3)</f>
        <v>22.3105030483669</v>
      </c>
      <c r="BO99" s="11">
        <f>22460.9998804885/(10^3)</f>
        <v>22.460999880488501</v>
      </c>
      <c r="BP99" s="11">
        <f>22286.6962705473/(10^3)</f>
        <v>22.286696270547303</v>
      </c>
      <c r="BQ99" s="11">
        <f>22911.8281336624/(10^3)</f>
        <v>22.9118281336624</v>
      </c>
      <c r="BR99" s="11">
        <f>23581.4094826985/(10^3)</f>
        <v>23.581409482698497</v>
      </c>
      <c r="BS99" s="11">
        <f>2382098.92174439/(10^3)</f>
        <v>2382.0989217443898</v>
      </c>
      <c r="BT99" s="11">
        <f>23908.4347650443/(10^3)</f>
        <v>23.908434765044301</v>
      </c>
      <c r="BU99" s="11">
        <f>24394.0036921418/(10^3)</f>
        <v>24.394003692141801</v>
      </c>
      <c r="BV99" s="11">
        <f>25611.4699019662/(10^3)</f>
        <v>25.611469901966199</v>
      </c>
      <c r="BW99" s="11">
        <f>26053.363228642/(10^3)</f>
        <v>26.053363228641999</v>
      </c>
      <c r="BX99" s="11">
        <f>25868.985163799/(10^3)</f>
        <v>25.868985163799</v>
      </c>
      <c r="BY99" s="11">
        <f>263.072128728532/(10^3)</f>
        <v>0.26307212872853197</v>
      </c>
      <c r="BZ99" s="11">
        <f>26307.2128728532/(10^3)</f>
        <v>26.307212872853199</v>
      </c>
      <c r="CA99" s="11">
        <f>25797.5632799002/(10^3)</f>
        <v>25.797563279900203</v>
      </c>
      <c r="CB99" s="11">
        <f>26513.2646260593/(10^3)</f>
        <v>26.5132646260593</v>
      </c>
      <c r="CC99" s="12"/>
      <c r="CZ99" s="11">
        <v>15.283033332559315</v>
      </c>
      <c r="DA99" s="11">
        <v>15.533707586872668</v>
      </c>
      <c r="DB99" s="11">
        <v>16.221724143611361</v>
      </c>
      <c r="DC99" s="11">
        <v>17.860437519471088</v>
      </c>
      <c r="DD99" s="11">
        <v>21.263061059270498</v>
      </c>
      <c r="DE99" s="11">
        <v>26.307212872853171</v>
      </c>
      <c r="DG99" s="11">
        <v>13.834415140674267</v>
      </c>
      <c r="DH99" s="11">
        <v>15.01708354784865</v>
      </c>
      <c r="DI99" s="11">
        <v>16.625365794354366</v>
      </c>
      <c r="DJ99" s="11">
        <v>17.028973093196299</v>
      </c>
      <c r="DK99" s="11">
        <v>19.272706635413893</v>
      </c>
      <c r="DL99" s="11">
        <v>23.820989217443881</v>
      </c>
    </row>
    <row r="100" spans="4:116" ht="15.6" x14ac:dyDescent="0.25">
      <c r="D100" s="10" t="s">
        <v>76</v>
      </c>
      <c r="E100" s="10" t="s">
        <v>51</v>
      </c>
      <c r="F100" s="10" t="s">
        <v>149</v>
      </c>
      <c r="G100" s="10" t="s">
        <v>182</v>
      </c>
      <c r="H100" s="62" t="str">
        <f t="shared" si="3"/>
        <v>Wichita (피합병)</v>
      </c>
      <c r="I100" s="11">
        <f>14246.614340886/(10^3)</f>
        <v>14.246614340886001</v>
      </c>
      <c r="J100" s="11">
        <f>14737.0066997465/(10^3)</f>
        <v>14.7370066997465</v>
      </c>
      <c r="K100" s="11">
        <f>1526990.58378558/(10^3)</f>
        <v>1526.9905837855799</v>
      </c>
      <c r="L100" s="11">
        <f>15181.5211737506/(10^3)</f>
        <v>15.1815211737506</v>
      </c>
      <c r="M100" s="11">
        <f>15058.6152275359/(10^3)</f>
        <v>15.058615227535899</v>
      </c>
      <c r="N100" s="11">
        <f>15595.2887067571/(10^3)</f>
        <v>15.595288706757099</v>
      </c>
      <c r="O100" s="11">
        <f>15956.6094225096/(10^3)</f>
        <v>15.956609422509601</v>
      </c>
      <c r="P100" s="11">
        <f>16012.0731229858/(10^3)</f>
        <v>16.0120731229858</v>
      </c>
      <c r="Q100" s="11">
        <f>164.388238600826/(10^3)</f>
        <v>0.16438823860082602</v>
      </c>
      <c r="R100" s="11">
        <f>16472.7922540953/(10^3)</f>
        <v>16.4727922540953</v>
      </c>
      <c r="S100" s="11">
        <f>16575.5734392343/(10^3)</f>
        <v>16.575573439234301</v>
      </c>
      <c r="T100" s="11">
        <f>17333.1372371502/(10^3)</f>
        <v>17.333137237150201</v>
      </c>
      <c r="U100" s="11">
        <f>17902.3721255116/(10^3)</f>
        <v>17.902372125511601</v>
      </c>
      <c r="V100" s="11">
        <f>17974.913418019/(10^3)</f>
        <v>17.974913418019</v>
      </c>
      <c r="W100" s="11">
        <f>1787736.59651687/(10^3)</f>
        <v>1787.7365965168699</v>
      </c>
      <c r="X100" s="11">
        <f>17749.0023950032/(10^3)</f>
        <v>17.749002395003203</v>
      </c>
      <c r="Y100" s="11">
        <f>17693.4446005718/(10^3)</f>
        <v>17.693444600571798</v>
      </c>
      <c r="Z100" s="11">
        <f>17766.1520235827/(10^3)</f>
        <v>17.766152023582702</v>
      </c>
      <c r="AA100" s="11">
        <f>17648.7387263738/(10^3)</f>
        <v>17.6487387263738</v>
      </c>
      <c r="AB100" s="11">
        <f>17668.6053604078/(10^3)</f>
        <v>17.668605360407799</v>
      </c>
      <c r="AC100" s="11">
        <f>175.991811983943/(10^3)</f>
        <v>0.17599181198394301</v>
      </c>
      <c r="AD100" s="11">
        <f>17753.5224683304/(10^3)</f>
        <v>17.753522468330399</v>
      </c>
      <c r="AE100" s="11">
        <f>17711.6965944459/(10^3)</f>
        <v>17.7116965944459</v>
      </c>
      <c r="AF100" s="11">
        <f>17882.6924520109/(10^3)</f>
        <v>17.8826924520109</v>
      </c>
      <c r="AG100" s="11">
        <f>17940.9217952085/(10^3)</f>
        <v>17.940921795208499</v>
      </c>
      <c r="AH100" s="11">
        <f>17673.7882718039/(10^3)</f>
        <v>17.6737882718039</v>
      </c>
      <c r="AI100" s="11">
        <f>1798826.04239783/(10^3)</f>
        <v>1798.82604239783</v>
      </c>
      <c r="AJ100" s="11">
        <f>18400.029786263/(10^3)</f>
        <v>18.400029786262998</v>
      </c>
      <c r="AK100" s="11">
        <f>19235.1676608631/(10^3)</f>
        <v>19.235167660863098</v>
      </c>
      <c r="AL100" s="11">
        <f>20149.5890610825/(10^3)</f>
        <v>20.149589061082501</v>
      </c>
      <c r="AM100" s="11">
        <f>20313.0525396326/(10^3)</f>
        <v>20.313052539632601</v>
      </c>
      <c r="AN100" s="11">
        <f>19936.0212368367/(10^3)</f>
        <v>19.936021236836698</v>
      </c>
      <c r="AO100" s="11">
        <f>202.996424957775/(10^3)</f>
        <v>0.20299642495777498</v>
      </c>
      <c r="AP100" s="11">
        <f>20075.8154112423/(10^3)</f>
        <v>20.075815411242299</v>
      </c>
      <c r="AQ100" s="11">
        <f>19682.5530038385/(10^3)</f>
        <v>19.6825530038385</v>
      </c>
      <c r="AR100" s="11">
        <f>19839.6038403616/(10^3)</f>
        <v>19.839603840361601</v>
      </c>
      <c r="AS100" s="11">
        <f>20787.2658600072/(10^3)</f>
        <v>20.787265860007199</v>
      </c>
      <c r="AT100" s="11">
        <f>20704.9434133976/(10^3)</f>
        <v>20.704943413397601</v>
      </c>
      <c r="AU100" s="11">
        <f>2056319.13515811/(10^3)</f>
        <v>2056.3191351581099</v>
      </c>
      <c r="AV100" s="11">
        <f>20166.3566146012/(10^3)</f>
        <v>20.166356614601202</v>
      </c>
      <c r="AW100" s="11">
        <f>19868.5167599765/(10^3)</f>
        <v>19.868516759976501</v>
      </c>
      <c r="AX100" s="11">
        <f>19963.7420608827/(10^3)</f>
        <v>19.963742060882701</v>
      </c>
      <c r="AY100" s="11">
        <f>20912.509838867/(10^3)</f>
        <v>20.912509838867003</v>
      </c>
      <c r="AZ100" s="11">
        <f>21528.0749009244/(10^3)</f>
        <v>21.528074900924398</v>
      </c>
      <c r="BA100" s="11">
        <f>217.392930855657/(10^3)</f>
        <v>0.217392930855657</v>
      </c>
      <c r="BB100" s="11">
        <f>21474.8104374624/(10^3)</f>
        <v>21.474810437462402</v>
      </c>
      <c r="BC100" s="11">
        <f>22524.9101409334/(10^3)</f>
        <v>22.5249101409334</v>
      </c>
      <c r="BD100" s="11">
        <f>22462.0949871687/(10^3)</f>
        <v>22.462094987168701</v>
      </c>
      <c r="BE100" s="11">
        <f>23569.9983125371/(10^3)</f>
        <v>23.569998312537098</v>
      </c>
      <c r="BF100" s="11">
        <f>23295.1393618545/(10^3)</f>
        <v>23.295139361854499</v>
      </c>
      <c r="BG100" s="11">
        <f>2420135.68722487/(10^3)</f>
        <v>2420.1356872248703</v>
      </c>
      <c r="BH100" s="11">
        <f>25160.145428076/(10^3)</f>
        <v>25.160145428076</v>
      </c>
      <c r="BI100" s="11">
        <f>24698.7783943222/(10^3)</f>
        <v>24.698778394322197</v>
      </c>
      <c r="BJ100" s="11">
        <f>25603.780199393/(10^3)</f>
        <v>25.603780199393</v>
      </c>
      <c r="BK100" s="11">
        <f>25416.3923080726/(10^3)</f>
        <v>25.416392308072602</v>
      </c>
      <c r="BL100" s="11">
        <f>25375.9039258912/(10^3)</f>
        <v>25.375903925891201</v>
      </c>
      <c r="BM100" s="11">
        <f>259.860777488822/(10^3)</f>
        <v>0.25986077748882203</v>
      </c>
      <c r="BN100" s="11">
        <f>27097.7124533716/(10^3)</f>
        <v>27.097712453371603</v>
      </c>
      <c r="BO100" s="11">
        <f>27360.7299819715/(10^3)</f>
        <v>27.360729981971502</v>
      </c>
      <c r="BP100" s="11">
        <f>28507.862335906/(10^3)</f>
        <v>28.507862335906001</v>
      </c>
      <c r="BQ100" s="11">
        <f>28430.4457716954/(10^3)</f>
        <v>28.4304457716954</v>
      </c>
      <c r="BR100" s="11">
        <f>27893.1587653881/(10^3)</f>
        <v>27.893158765388101</v>
      </c>
      <c r="BS100" s="11">
        <f>2894502.73556824/(10^3)</f>
        <v>2894.50273556824</v>
      </c>
      <c r="BT100" s="11">
        <f>29555.9544172705/(10^3)</f>
        <v>29.555954417270499</v>
      </c>
      <c r="BU100" s="11">
        <f>30201.0040939331/(10^3)</f>
        <v>30.201004093933101</v>
      </c>
      <c r="BV100" s="11">
        <f>30400.9502548616/(10^3)</f>
        <v>30.400950254861598</v>
      </c>
      <c r="BW100" s="11">
        <f>30755.9855386441/(10^3)</f>
        <v>30.755985538644101</v>
      </c>
      <c r="BX100" s="11">
        <f>32052.8016483422/(10^3)</f>
        <v>32.052801648342196</v>
      </c>
      <c r="BY100" s="11">
        <f>327.318347937939/(10^3)</f>
        <v>0.32731834793793901</v>
      </c>
      <c r="BZ100" s="11">
        <f>32731.8347937939/(10^3)</f>
        <v>32.731834793793901</v>
      </c>
      <c r="CA100" s="11">
        <f>32516.0663308112/(10^3)</f>
        <v>32.516066330811199</v>
      </c>
      <c r="CB100" s="11">
        <f>32097.9524747106/(10^3)</f>
        <v>32.097952474710603</v>
      </c>
      <c r="CC100" s="12"/>
      <c r="CZ100" s="11">
        <v>16.43882386008265</v>
      </c>
      <c r="DA100" s="11">
        <v>17.599181198394255</v>
      </c>
      <c r="DB100" s="11">
        <v>20.299642495777515</v>
      </c>
      <c r="DC100" s="11">
        <v>21.739293085565652</v>
      </c>
      <c r="DD100" s="11">
        <v>25.986077748882231</v>
      </c>
      <c r="DE100" s="11">
        <v>32.731834793793894</v>
      </c>
      <c r="DG100" s="11">
        <v>15.269905837855816</v>
      </c>
      <c r="DH100" s="11">
        <v>17.877365965168746</v>
      </c>
      <c r="DI100" s="11">
        <v>17.988260423978328</v>
      </c>
      <c r="DJ100" s="11">
        <v>20.563191351581107</v>
      </c>
      <c r="DK100" s="11">
        <v>24.20135687224866</v>
      </c>
      <c r="DL100" s="11">
        <v>28.945027355682381</v>
      </c>
    </row>
    <row r="101" spans="4:116" ht="14.4" x14ac:dyDescent="0.3">
      <c r="I101" s="11"/>
      <c r="J101" s="15"/>
    </row>
    <row r="102" spans="4:116" ht="14.4" x14ac:dyDescent="0.3">
      <c r="I102" s="11"/>
      <c r="J102" s="15"/>
    </row>
    <row r="103" spans="4:116" ht="14.4" x14ac:dyDescent="0.3">
      <c r="D103" s="16" t="s">
        <v>152</v>
      </c>
      <c r="E103" s="17"/>
      <c r="F103" s="17"/>
      <c r="G103" s="17"/>
      <c r="H103" s="17"/>
      <c r="I103" s="18"/>
      <c r="J103" s="19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</row>
    <row r="104" spans="4:116" ht="14.4" x14ac:dyDescent="0.3">
      <c r="D104" s="4"/>
      <c r="I104" s="11"/>
      <c r="J104" s="15"/>
    </row>
    <row r="105" spans="4:116" x14ac:dyDescent="0.25">
      <c r="D105" s="20">
        <f>+CC105</f>
        <v>0</v>
      </c>
    </row>
    <row r="106" spans="4:116" x14ac:dyDescent="0.25">
      <c r="D106" s="4"/>
      <c r="H106" s="9"/>
      <c r="I106" s="9">
        <v>42035</v>
      </c>
      <c r="J106" s="9">
        <v>42063</v>
      </c>
      <c r="K106" s="9">
        <v>42094</v>
      </c>
      <c r="L106" s="9">
        <v>42124</v>
      </c>
      <c r="M106" s="9">
        <v>42155</v>
      </c>
      <c r="N106" s="9">
        <v>42185</v>
      </c>
      <c r="O106" s="9">
        <v>42216</v>
      </c>
      <c r="P106" s="9">
        <v>42247</v>
      </c>
      <c r="Q106" s="9">
        <v>42277</v>
      </c>
      <c r="R106" s="9">
        <v>42308</v>
      </c>
      <c r="S106" s="9">
        <v>42338</v>
      </c>
      <c r="T106" s="9">
        <v>42369</v>
      </c>
      <c r="U106" s="9">
        <v>42400</v>
      </c>
      <c r="V106" s="9">
        <v>42429</v>
      </c>
      <c r="W106" s="9">
        <v>42460</v>
      </c>
      <c r="X106" s="9">
        <v>42490</v>
      </c>
      <c r="Y106" s="9">
        <v>42521</v>
      </c>
      <c r="Z106" s="9">
        <v>42551</v>
      </c>
      <c r="AA106" s="9">
        <v>42582</v>
      </c>
      <c r="AB106" s="9">
        <v>42613</v>
      </c>
      <c r="AC106" s="9">
        <v>42643</v>
      </c>
      <c r="AD106" s="9">
        <v>42674</v>
      </c>
      <c r="AE106" s="9">
        <v>42704</v>
      </c>
      <c r="AF106" s="9">
        <v>42735</v>
      </c>
      <c r="AG106" s="9">
        <v>42766</v>
      </c>
      <c r="AH106" s="9">
        <v>42794</v>
      </c>
      <c r="AI106" s="9">
        <v>42825</v>
      </c>
      <c r="AJ106" s="9">
        <v>42855</v>
      </c>
      <c r="AK106" s="9">
        <v>42886</v>
      </c>
      <c r="AL106" s="9">
        <v>42916</v>
      </c>
      <c r="AM106" s="9">
        <v>42947</v>
      </c>
      <c r="AN106" s="9">
        <v>42978</v>
      </c>
      <c r="AO106" s="9">
        <v>43008</v>
      </c>
      <c r="AP106" s="9">
        <v>43039</v>
      </c>
      <c r="AQ106" s="9">
        <v>43069</v>
      </c>
      <c r="AR106" s="9">
        <v>43100</v>
      </c>
      <c r="AS106" s="9">
        <v>43131</v>
      </c>
      <c r="AT106" s="9">
        <v>43159</v>
      </c>
      <c r="AU106" s="9">
        <v>43190</v>
      </c>
      <c r="AV106" s="9">
        <v>43220</v>
      </c>
      <c r="AW106" s="9">
        <v>43251</v>
      </c>
      <c r="AX106" s="9">
        <v>43281</v>
      </c>
      <c r="AY106" s="9">
        <v>43312</v>
      </c>
      <c r="AZ106" s="9">
        <v>43343</v>
      </c>
      <c r="BA106" s="9">
        <v>43373</v>
      </c>
      <c r="BB106" s="9">
        <v>43404</v>
      </c>
      <c r="BC106" s="9">
        <v>43434</v>
      </c>
      <c r="BD106" s="9">
        <v>43465</v>
      </c>
      <c r="BE106" s="9">
        <v>43496</v>
      </c>
      <c r="BF106" s="9">
        <v>43524</v>
      </c>
      <c r="BG106" s="9">
        <v>43555</v>
      </c>
      <c r="BH106" s="9">
        <v>43585</v>
      </c>
      <c r="BI106" s="9">
        <v>43616</v>
      </c>
      <c r="BJ106" s="9">
        <v>43646</v>
      </c>
      <c r="BK106" s="9">
        <v>43677</v>
      </c>
      <c r="BL106" s="9">
        <v>43708</v>
      </c>
      <c r="BM106" s="9">
        <v>43738</v>
      </c>
      <c r="BN106" s="9">
        <v>43769</v>
      </c>
      <c r="BO106" s="9">
        <v>43799</v>
      </c>
      <c r="BP106" s="9">
        <v>43830</v>
      </c>
      <c r="BQ106" s="9">
        <v>43861</v>
      </c>
      <c r="BR106" s="9">
        <v>43890</v>
      </c>
      <c r="BS106" s="9">
        <v>43921</v>
      </c>
      <c r="BT106" s="9">
        <v>43951</v>
      </c>
      <c r="BU106" s="9">
        <v>43982</v>
      </c>
      <c r="BV106" s="9">
        <v>44012</v>
      </c>
      <c r="BW106" s="9">
        <v>44043</v>
      </c>
      <c r="BX106" s="9">
        <v>44074</v>
      </c>
      <c r="BY106" s="9">
        <v>44104</v>
      </c>
      <c r="BZ106" s="9">
        <v>44135</v>
      </c>
      <c r="CA106" s="9">
        <v>44165</v>
      </c>
      <c r="CB106" s="9">
        <v>44196</v>
      </c>
    </row>
    <row r="107" spans="4:116" outlineLevel="1" x14ac:dyDescent="0.25">
      <c r="D107" s="6" t="s">
        <v>153</v>
      </c>
      <c r="H107" s="10" t="s">
        <v>153</v>
      </c>
      <c r="I107" s="63">
        <f t="shared" ref="I107:AN107" si="4">SUM(I7:I100)</f>
        <v>23333.97430479684</v>
      </c>
      <c r="J107" s="63">
        <f t="shared" si="4"/>
        <v>23814.354579571875</v>
      </c>
      <c r="K107" s="63">
        <f t="shared" si="4"/>
        <v>2409363.2581763403</v>
      </c>
      <c r="L107" s="63">
        <f t="shared" si="4"/>
        <v>24390.500897697719</v>
      </c>
      <c r="M107" s="63">
        <f t="shared" si="4"/>
        <v>24701.719838839374</v>
      </c>
      <c r="N107" s="63">
        <f t="shared" si="4"/>
        <v>25775.081708877711</v>
      </c>
      <c r="O107" s="63">
        <f t="shared" si="4"/>
        <v>26382.244850996376</v>
      </c>
      <c r="P107" s="63">
        <f t="shared" si="4"/>
        <v>26869.361706436564</v>
      </c>
      <c r="Q107" s="63">
        <f t="shared" si="4"/>
        <v>274.39655628748159</v>
      </c>
      <c r="R107" s="63">
        <f t="shared" si="4"/>
        <v>27648.894852152222</v>
      </c>
      <c r="S107" s="63">
        <f t="shared" si="4"/>
        <v>27315.126679944067</v>
      </c>
      <c r="T107" s="63">
        <f t="shared" si="4"/>
        <v>27054.382074347443</v>
      </c>
      <c r="U107" s="63">
        <f t="shared" si="4"/>
        <v>26760.591373067335</v>
      </c>
      <c r="V107" s="63">
        <f t="shared" si="4"/>
        <v>26801.144124341688</v>
      </c>
      <c r="W107" s="63">
        <f t="shared" si="4"/>
        <v>2675948.0742625273</v>
      </c>
      <c r="X107" s="63">
        <f t="shared" si="4"/>
        <v>26931.286786743738</v>
      </c>
      <c r="Y107" s="63">
        <f t="shared" si="4"/>
        <v>27114.305231302853</v>
      </c>
      <c r="Z107" s="63">
        <f t="shared" si="4"/>
        <v>27732.301688411164</v>
      </c>
      <c r="AA107" s="63">
        <f t="shared" si="4"/>
        <v>28111.596975273354</v>
      </c>
      <c r="AB107" s="63">
        <f t="shared" si="4"/>
        <v>28493.838335038075</v>
      </c>
      <c r="AC107" s="63">
        <f t="shared" si="4"/>
        <v>290.3370288131365</v>
      </c>
      <c r="AD107" s="63">
        <f t="shared" si="4"/>
        <v>29388.860076882596</v>
      </c>
      <c r="AE107" s="63">
        <f t="shared" si="4"/>
        <v>29520.141038456972</v>
      </c>
      <c r="AF107" s="63">
        <f t="shared" si="4"/>
        <v>29757.22692560092</v>
      </c>
      <c r="AG107" s="63">
        <f t="shared" si="4"/>
        <v>30019.824833178136</v>
      </c>
      <c r="AH107" s="63">
        <f t="shared" si="4"/>
        <v>30640.748635442997</v>
      </c>
      <c r="AI107" s="63">
        <f t="shared" si="4"/>
        <v>3113154.8197778687</v>
      </c>
      <c r="AJ107" s="63">
        <f t="shared" si="4"/>
        <v>31506.096057925981</v>
      </c>
      <c r="AK107" s="63">
        <f t="shared" si="4"/>
        <v>31941.11145795996</v>
      </c>
      <c r="AL107" s="63">
        <f t="shared" si="4"/>
        <v>32450.614688435362</v>
      </c>
      <c r="AM107" s="63">
        <f t="shared" si="4"/>
        <v>32969.758724174979</v>
      </c>
      <c r="AN107" s="63">
        <f t="shared" si="4"/>
        <v>33404.092579255186</v>
      </c>
      <c r="AO107" s="63">
        <f t="shared" ref="AO107:BT107" si="5">SUM(AO7:AO100)</f>
        <v>339.36187394949792</v>
      </c>
      <c r="AP107" s="63">
        <f t="shared" si="5"/>
        <v>34180.99178718339</v>
      </c>
      <c r="AQ107" s="63">
        <f t="shared" si="5"/>
        <v>33361.123760721464</v>
      </c>
      <c r="AR107" s="63">
        <f t="shared" si="5"/>
        <v>32874.404119868937</v>
      </c>
      <c r="AS107" s="63">
        <f t="shared" si="5"/>
        <v>32604.086689379659</v>
      </c>
      <c r="AT107" s="63">
        <f t="shared" si="5"/>
        <v>32505.870576401685</v>
      </c>
      <c r="AU107" s="63">
        <f t="shared" si="5"/>
        <v>3242842.7365556504</v>
      </c>
      <c r="AV107" s="63">
        <f t="shared" si="5"/>
        <v>32254.600314801257</v>
      </c>
      <c r="AW107" s="63">
        <f t="shared" si="5"/>
        <v>32342.816160165814</v>
      </c>
      <c r="AX107" s="63">
        <f t="shared" si="5"/>
        <v>32723.515050765545</v>
      </c>
      <c r="AY107" s="63">
        <f t="shared" si="5"/>
        <v>32815.846420138034</v>
      </c>
      <c r="AZ107" s="63">
        <f t="shared" si="5"/>
        <v>32990.353809070875</v>
      </c>
      <c r="BA107" s="63">
        <f t="shared" si="5"/>
        <v>332.80516862149454</v>
      </c>
      <c r="BB107" s="63">
        <f t="shared" si="5"/>
        <v>33649.969498906372</v>
      </c>
      <c r="BC107" s="63">
        <f t="shared" si="5"/>
        <v>33158.639080558525</v>
      </c>
      <c r="BD107" s="63">
        <f t="shared" si="5"/>
        <v>32753.633523499306</v>
      </c>
      <c r="BE107" s="63">
        <f t="shared" si="5"/>
        <v>32631.961909064557</v>
      </c>
      <c r="BF107" s="63">
        <f t="shared" si="5"/>
        <v>33164.089426156832</v>
      </c>
      <c r="BG107" s="63">
        <f t="shared" si="5"/>
        <v>3355489.4328429415</v>
      </c>
      <c r="BH107" s="63">
        <f t="shared" si="5"/>
        <v>34220.308736839383</v>
      </c>
      <c r="BI107" s="63">
        <f t="shared" si="5"/>
        <v>34839.018844661929</v>
      </c>
      <c r="BJ107" s="63">
        <f t="shared" si="5"/>
        <v>36115.861080213181</v>
      </c>
      <c r="BK107" s="63">
        <f t="shared" si="5"/>
        <v>36831.899140982307</v>
      </c>
      <c r="BL107" s="63">
        <f t="shared" si="5"/>
        <v>37681.631968585338</v>
      </c>
      <c r="BM107" s="63">
        <f t="shared" si="5"/>
        <v>386.55197520124199</v>
      </c>
      <c r="BN107" s="63">
        <f t="shared" si="5"/>
        <v>39192.102003844244</v>
      </c>
      <c r="BO107" s="63">
        <f t="shared" si="5"/>
        <v>38333.26838915798</v>
      </c>
      <c r="BP107" s="63">
        <f t="shared" si="5"/>
        <v>37990.401720459973</v>
      </c>
      <c r="BQ107" s="63">
        <f t="shared" si="5"/>
        <v>37733.154687644237</v>
      </c>
      <c r="BR107" s="63">
        <f t="shared" si="5"/>
        <v>38054.173959714863</v>
      </c>
      <c r="BS107" s="63">
        <f t="shared" si="5"/>
        <v>3802089.1504312898</v>
      </c>
      <c r="BT107" s="63">
        <f t="shared" si="5"/>
        <v>38109.314156209017</v>
      </c>
      <c r="BU107" s="63">
        <f t="shared" ref="BU107:CB107" si="6">SUM(BU7:BU100)</f>
        <v>38384.005212148542</v>
      </c>
      <c r="BV107" s="63">
        <f t="shared" si="6"/>
        <v>39188.80765029684</v>
      </c>
      <c r="BW107" s="63">
        <f t="shared" si="6"/>
        <v>39887.993497976371</v>
      </c>
      <c r="BX107" s="63">
        <f t="shared" si="6"/>
        <v>40526.638731126564</v>
      </c>
      <c r="BY107" s="63">
        <f t="shared" si="6"/>
        <v>413.55157949181904</v>
      </c>
      <c r="BZ107" s="63">
        <f t="shared" si="6"/>
        <v>41612.717240387654</v>
      </c>
      <c r="CA107" s="63">
        <f t="shared" si="6"/>
        <v>40418.614201557888</v>
      </c>
      <c r="CB107" s="63">
        <f t="shared" si="6"/>
        <v>40227.452458665386</v>
      </c>
    </row>
    <row r="108" spans="4:116" outlineLevel="1" x14ac:dyDescent="0.25">
      <c r="D108" s="6"/>
      <c r="G108" s="11"/>
      <c r="H108" s="6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</row>
    <row r="109" spans="4:116" outlineLevel="1" x14ac:dyDescent="0.25">
      <c r="D109" s="6"/>
      <c r="G109" s="11"/>
      <c r="H109" s="6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</row>
    <row r="110" spans="4:116" outlineLevel="1" x14ac:dyDescent="0.25">
      <c r="D110" s="6"/>
      <c r="G110" s="11"/>
      <c r="H110" s="6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</row>
    <row r="111" spans="4:116" outlineLevel="1" x14ac:dyDescent="0.25">
      <c r="D111" s="6"/>
      <c r="G111" s="11"/>
      <c r="H111" s="6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</row>
    <row r="112" spans="4:116" outlineLevel="1" x14ac:dyDescent="0.25">
      <c r="D112" s="6"/>
      <c r="G112" s="11"/>
      <c r="H112" s="6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</row>
    <row r="113" spans="4:80" outlineLevel="1" x14ac:dyDescent="0.25">
      <c r="D113" s="6"/>
      <c r="G113" s="11"/>
      <c r="H113" s="6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</row>
    <row r="114" spans="4:80" outlineLevel="1" x14ac:dyDescent="0.25">
      <c r="D114" s="6"/>
      <c r="G114" s="11"/>
      <c r="H114" s="6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</row>
    <row r="115" spans="4:80" outlineLevel="1" x14ac:dyDescent="0.25">
      <c r="D115" s="6"/>
      <c r="G115" s="11"/>
      <c r="H115" s="6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</row>
    <row r="116" spans="4:80" outlineLevel="1" x14ac:dyDescent="0.25">
      <c r="D116" s="6"/>
      <c r="G116" s="11"/>
      <c r="H116" s="6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</row>
    <row r="117" spans="4:80" outlineLevel="1" x14ac:dyDescent="0.25">
      <c r="D117" s="6"/>
      <c r="G117" s="11"/>
      <c r="H117" s="6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</row>
    <row r="118" spans="4:80" outlineLevel="1" x14ac:dyDescent="0.25">
      <c r="D118" s="6"/>
      <c r="G118" s="11"/>
      <c r="H118" s="6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</row>
    <row r="119" spans="4:80" outlineLevel="1" x14ac:dyDescent="0.25">
      <c r="D119" s="6"/>
      <c r="G119" s="11"/>
      <c r="H119" s="6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</row>
    <row r="120" spans="4:80" outlineLevel="1" x14ac:dyDescent="0.25">
      <c r="D120" s="6"/>
      <c r="G120" s="11"/>
      <c r="H120" s="6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</row>
    <row r="121" spans="4:80" outlineLevel="1" x14ac:dyDescent="0.25">
      <c r="D121" s="6"/>
      <c r="G121" s="11"/>
      <c r="H121" s="6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</row>
    <row r="122" spans="4:80" outlineLevel="1" x14ac:dyDescent="0.25">
      <c r="D122" s="6"/>
      <c r="G122" s="11"/>
      <c r="H122" s="6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</row>
    <row r="123" spans="4:80" outlineLevel="1" x14ac:dyDescent="0.25">
      <c r="D123" s="6"/>
      <c r="G123" s="11"/>
      <c r="H123" s="6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</row>
    <row r="124" spans="4:80" outlineLevel="1" x14ac:dyDescent="0.25">
      <c r="D124" s="6"/>
      <c r="G124" s="11"/>
      <c r="H124" s="6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</row>
    <row r="125" spans="4:80" outlineLevel="1" x14ac:dyDescent="0.25">
      <c r="D125" s="5"/>
      <c r="G125" s="11"/>
      <c r="H125" s="5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</row>
    <row r="126" spans="4:80" outlineLevel="1" collapsed="1" x14ac:dyDescent="0.25">
      <c r="D126" s="6" t="s">
        <v>154</v>
      </c>
      <c r="G126" s="11"/>
      <c r="H126" s="10" t="s">
        <v>164</v>
      </c>
      <c r="I126" s="63" t="str">
        <f>IF(J107&lt;I107*95%,"체크","")</f>
        <v/>
      </c>
      <c r="J126" s="65" t="str">
        <f>IF(K107&lt;J107*95%,"체크","")</f>
        <v/>
      </c>
      <c r="K126" s="65" t="str">
        <f>IF(L107&lt;K107*95%,"체크","")</f>
        <v>체크</v>
      </c>
      <c r="L126" s="65" t="str">
        <f t="shared" ref="L126:M126" si="7">IF(M107&lt;L107*95%,"체크","")</f>
        <v/>
      </c>
      <c r="M126" s="65" t="str">
        <f t="shared" si="7"/>
        <v/>
      </c>
      <c r="N126" s="65" t="str">
        <f t="shared" ref="N126:AS126" si="8">IF(O107&lt;N107*95%,"체크","")</f>
        <v/>
      </c>
      <c r="O126" s="65" t="str">
        <f t="shared" si="8"/>
        <v/>
      </c>
      <c r="P126" s="65" t="str">
        <f t="shared" si="8"/>
        <v>체크</v>
      </c>
      <c r="Q126" s="65" t="str">
        <f t="shared" si="8"/>
        <v/>
      </c>
      <c r="R126" s="65" t="str">
        <f t="shared" si="8"/>
        <v/>
      </c>
      <c r="S126" s="65" t="str">
        <f t="shared" si="8"/>
        <v/>
      </c>
      <c r="T126" s="65" t="str">
        <f t="shared" si="8"/>
        <v/>
      </c>
      <c r="U126" s="65" t="str">
        <f t="shared" si="8"/>
        <v/>
      </c>
      <c r="V126" s="65" t="str">
        <f t="shared" si="8"/>
        <v/>
      </c>
      <c r="W126" s="65" t="str">
        <f t="shared" si="8"/>
        <v>체크</v>
      </c>
      <c r="X126" s="65" t="str">
        <f t="shared" si="8"/>
        <v/>
      </c>
      <c r="Y126" s="65" t="str">
        <f t="shared" si="8"/>
        <v/>
      </c>
      <c r="Z126" s="65" t="str">
        <f t="shared" si="8"/>
        <v/>
      </c>
      <c r="AA126" s="65" t="str">
        <f t="shared" si="8"/>
        <v/>
      </c>
      <c r="AB126" s="65" t="str">
        <f t="shared" si="8"/>
        <v>체크</v>
      </c>
      <c r="AC126" s="65" t="str">
        <f t="shared" si="8"/>
        <v/>
      </c>
      <c r="AD126" s="65" t="str">
        <f t="shared" si="8"/>
        <v/>
      </c>
      <c r="AE126" s="65" t="str">
        <f t="shared" si="8"/>
        <v/>
      </c>
      <c r="AF126" s="65" t="str">
        <f t="shared" si="8"/>
        <v/>
      </c>
      <c r="AG126" s="65" t="str">
        <f t="shared" si="8"/>
        <v/>
      </c>
      <c r="AH126" s="65" t="str">
        <f t="shared" si="8"/>
        <v/>
      </c>
      <c r="AI126" s="65" t="str">
        <f t="shared" si="8"/>
        <v>체크</v>
      </c>
      <c r="AJ126" s="65" t="str">
        <f t="shared" si="8"/>
        <v/>
      </c>
      <c r="AK126" s="65" t="str">
        <f t="shared" si="8"/>
        <v/>
      </c>
      <c r="AL126" s="65" t="str">
        <f t="shared" si="8"/>
        <v/>
      </c>
      <c r="AM126" s="65" t="str">
        <f t="shared" si="8"/>
        <v/>
      </c>
      <c r="AN126" s="65" t="str">
        <f t="shared" si="8"/>
        <v>체크</v>
      </c>
      <c r="AO126" s="65" t="str">
        <f t="shared" si="8"/>
        <v/>
      </c>
      <c r="AP126" s="65" t="str">
        <f t="shared" si="8"/>
        <v/>
      </c>
      <c r="AQ126" s="65" t="str">
        <f t="shared" si="8"/>
        <v/>
      </c>
      <c r="AR126" s="65" t="str">
        <f t="shared" si="8"/>
        <v/>
      </c>
      <c r="AS126" s="65" t="str">
        <f t="shared" si="8"/>
        <v/>
      </c>
      <c r="AT126" s="65" t="str">
        <f t="shared" ref="AT126:CA126" si="9">IF(AU107&lt;AT107*95%,"체크","")</f>
        <v/>
      </c>
      <c r="AU126" s="65" t="str">
        <f t="shared" si="9"/>
        <v>체크</v>
      </c>
      <c r="AV126" s="65" t="str">
        <f t="shared" si="9"/>
        <v/>
      </c>
      <c r="AW126" s="65" t="str">
        <f t="shared" si="9"/>
        <v/>
      </c>
      <c r="AX126" s="65" t="str">
        <f t="shared" si="9"/>
        <v/>
      </c>
      <c r="AY126" s="65" t="str">
        <f t="shared" si="9"/>
        <v/>
      </c>
      <c r="AZ126" s="65" t="str">
        <f t="shared" si="9"/>
        <v>체크</v>
      </c>
      <c r="BA126" s="65" t="str">
        <f t="shared" si="9"/>
        <v/>
      </c>
      <c r="BB126" s="65" t="str">
        <f t="shared" si="9"/>
        <v/>
      </c>
      <c r="BC126" s="65" t="str">
        <f t="shared" si="9"/>
        <v/>
      </c>
      <c r="BD126" s="65" t="str">
        <f t="shared" si="9"/>
        <v/>
      </c>
      <c r="BE126" s="65" t="str">
        <f t="shared" si="9"/>
        <v/>
      </c>
      <c r="BF126" s="65" t="str">
        <f t="shared" si="9"/>
        <v/>
      </c>
      <c r="BG126" s="65" t="str">
        <f t="shared" si="9"/>
        <v>체크</v>
      </c>
      <c r="BH126" s="65" t="str">
        <f t="shared" si="9"/>
        <v/>
      </c>
      <c r="BI126" s="65" t="str">
        <f t="shared" si="9"/>
        <v/>
      </c>
      <c r="BJ126" s="65" t="str">
        <f t="shared" si="9"/>
        <v/>
      </c>
      <c r="BK126" s="65" t="str">
        <f t="shared" si="9"/>
        <v/>
      </c>
      <c r="BL126" s="65" t="str">
        <f t="shared" si="9"/>
        <v>체크</v>
      </c>
      <c r="BM126" s="65" t="str">
        <f t="shared" si="9"/>
        <v/>
      </c>
      <c r="BN126" s="65" t="str">
        <f t="shared" si="9"/>
        <v/>
      </c>
      <c r="BO126" s="65" t="str">
        <f t="shared" si="9"/>
        <v/>
      </c>
      <c r="BP126" s="65" t="str">
        <f t="shared" si="9"/>
        <v/>
      </c>
      <c r="BQ126" s="65" t="str">
        <f t="shared" si="9"/>
        <v/>
      </c>
      <c r="BR126" s="65" t="str">
        <f t="shared" si="9"/>
        <v/>
      </c>
      <c r="BS126" s="65" t="str">
        <f t="shared" si="9"/>
        <v>체크</v>
      </c>
      <c r="BT126" s="65" t="str">
        <f t="shared" si="9"/>
        <v/>
      </c>
      <c r="BU126" s="65" t="str">
        <f t="shared" si="9"/>
        <v/>
      </c>
      <c r="BV126" s="65" t="str">
        <f t="shared" si="9"/>
        <v/>
      </c>
      <c r="BW126" s="65" t="str">
        <f t="shared" si="9"/>
        <v/>
      </c>
      <c r="BX126" s="65" t="str">
        <f t="shared" si="9"/>
        <v>체크</v>
      </c>
      <c r="BY126" s="65" t="str">
        <f t="shared" si="9"/>
        <v/>
      </c>
      <c r="BZ126" s="65" t="str">
        <f t="shared" si="9"/>
        <v/>
      </c>
      <c r="CA126" s="65" t="str">
        <f t="shared" si="9"/>
        <v/>
      </c>
    </row>
    <row r="127" spans="4:80" outlineLevel="1" x14ac:dyDescent="0.25">
      <c r="D127" s="6"/>
      <c r="G127" s="11"/>
      <c r="H127" s="10"/>
      <c r="I127" s="11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</row>
    <row r="128" spans="4:80" x14ac:dyDescent="0.25">
      <c r="D128" s="6" t="s">
        <v>3</v>
      </c>
      <c r="G128" s="11"/>
      <c r="H128" s="6" t="s">
        <v>201</v>
      </c>
      <c r="I128" s="63" t="str">
        <f>IF(J107&lt;I107*95%,1,"")</f>
        <v/>
      </c>
      <c r="J128" s="63" t="str">
        <f>IF(K107&lt;J107*95%,1,"")</f>
        <v/>
      </c>
      <c r="K128" s="63">
        <f t="shared" ref="K128:BU128" si="10">IF(L107&lt;K107*95%,1,"")</f>
        <v>1</v>
      </c>
      <c r="L128" s="63" t="str">
        <f t="shared" si="10"/>
        <v/>
      </c>
      <c r="M128" s="63" t="str">
        <f t="shared" si="10"/>
        <v/>
      </c>
      <c r="N128" s="63" t="str">
        <f t="shared" si="10"/>
        <v/>
      </c>
      <c r="O128" s="63" t="str">
        <f t="shared" si="10"/>
        <v/>
      </c>
      <c r="P128" s="63">
        <f t="shared" si="10"/>
        <v>1</v>
      </c>
      <c r="Q128" s="63" t="str">
        <f t="shared" si="10"/>
        <v/>
      </c>
      <c r="R128" s="63" t="str">
        <f t="shared" si="10"/>
        <v/>
      </c>
      <c r="S128" s="63" t="str">
        <f t="shared" si="10"/>
        <v/>
      </c>
      <c r="T128" s="63" t="str">
        <f t="shared" si="10"/>
        <v/>
      </c>
      <c r="U128" s="63" t="str">
        <f t="shared" si="10"/>
        <v/>
      </c>
      <c r="V128" s="63" t="str">
        <f t="shared" si="10"/>
        <v/>
      </c>
      <c r="W128" s="63">
        <f t="shared" si="10"/>
        <v>1</v>
      </c>
      <c r="X128" s="63" t="str">
        <f t="shared" si="10"/>
        <v/>
      </c>
      <c r="Y128" s="63" t="str">
        <f t="shared" si="10"/>
        <v/>
      </c>
      <c r="Z128" s="63" t="str">
        <f t="shared" si="10"/>
        <v/>
      </c>
      <c r="AA128" s="63" t="str">
        <f t="shared" si="10"/>
        <v/>
      </c>
      <c r="AB128" s="63">
        <f t="shared" si="10"/>
        <v>1</v>
      </c>
      <c r="AC128" s="63" t="str">
        <f t="shared" si="10"/>
        <v/>
      </c>
      <c r="AD128" s="63" t="str">
        <f t="shared" si="10"/>
        <v/>
      </c>
      <c r="AE128" s="63" t="str">
        <f t="shared" si="10"/>
        <v/>
      </c>
      <c r="AF128" s="63" t="str">
        <f t="shared" si="10"/>
        <v/>
      </c>
      <c r="AG128" s="63" t="str">
        <f t="shared" si="10"/>
        <v/>
      </c>
      <c r="AH128" s="63" t="str">
        <f t="shared" si="10"/>
        <v/>
      </c>
      <c r="AI128" s="63">
        <f t="shared" si="10"/>
        <v>1</v>
      </c>
      <c r="AJ128" s="63" t="str">
        <f t="shared" si="10"/>
        <v/>
      </c>
      <c r="AK128" s="63" t="str">
        <f t="shared" si="10"/>
        <v/>
      </c>
      <c r="AL128" s="63" t="str">
        <f t="shared" si="10"/>
        <v/>
      </c>
      <c r="AM128" s="63" t="str">
        <f t="shared" si="10"/>
        <v/>
      </c>
      <c r="AN128" s="63">
        <f t="shared" si="10"/>
        <v>1</v>
      </c>
      <c r="AO128" s="63" t="str">
        <f t="shared" si="10"/>
        <v/>
      </c>
      <c r="AP128" s="63" t="str">
        <f t="shared" si="10"/>
        <v/>
      </c>
      <c r="AQ128" s="63" t="str">
        <f t="shared" si="10"/>
        <v/>
      </c>
      <c r="AR128" s="63" t="str">
        <f t="shared" si="10"/>
        <v/>
      </c>
      <c r="AS128" s="63" t="str">
        <f t="shared" si="10"/>
        <v/>
      </c>
      <c r="AT128" s="63" t="str">
        <f t="shared" si="10"/>
        <v/>
      </c>
      <c r="AU128" s="63">
        <f t="shared" si="10"/>
        <v>1</v>
      </c>
      <c r="AV128" s="63" t="str">
        <f t="shared" si="10"/>
        <v/>
      </c>
      <c r="AW128" s="63" t="str">
        <f t="shared" si="10"/>
        <v/>
      </c>
      <c r="AX128" s="63" t="str">
        <f t="shared" si="10"/>
        <v/>
      </c>
      <c r="AY128" s="63" t="str">
        <f t="shared" si="10"/>
        <v/>
      </c>
      <c r="AZ128" s="63">
        <f t="shared" si="10"/>
        <v>1</v>
      </c>
      <c r="BA128" s="63" t="str">
        <f t="shared" si="10"/>
        <v/>
      </c>
      <c r="BB128" s="63" t="str">
        <f t="shared" si="10"/>
        <v/>
      </c>
      <c r="BC128" s="63" t="str">
        <f t="shared" si="10"/>
        <v/>
      </c>
      <c r="BD128" s="63" t="str">
        <f t="shared" si="10"/>
        <v/>
      </c>
      <c r="BE128" s="63" t="str">
        <f t="shared" si="10"/>
        <v/>
      </c>
      <c r="BF128" s="63" t="str">
        <f t="shared" si="10"/>
        <v/>
      </c>
      <c r="BG128" s="63">
        <f t="shared" si="10"/>
        <v>1</v>
      </c>
      <c r="BH128" s="63" t="str">
        <f t="shared" si="10"/>
        <v/>
      </c>
      <c r="BI128" s="63" t="str">
        <f t="shared" si="10"/>
        <v/>
      </c>
      <c r="BJ128" s="63" t="str">
        <f t="shared" si="10"/>
        <v/>
      </c>
      <c r="BK128" s="63" t="str">
        <f t="shared" si="10"/>
        <v/>
      </c>
      <c r="BL128" s="63">
        <f t="shared" si="10"/>
        <v>1</v>
      </c>
      <c r="BM128" s="63" t="str">
        <f t="shared" si="10"/>
        <v/>
      </c>
      <c r="BN128" s="63" t="str">
        <f t="shared" si="10"/>
        <v/>
      </c>
      <c r="BO128" s="63" t="str">
        <f t="shared" si="10"/>
        <v/>
      </c>
      <c r="BP128" s="63" t="str">
        <f t="shared" si="10"/>
        <v/>
      </c>
      <c r="BQ128" s="63" t="str">
        <f t="shared" si="10"/>
        <v/>
      </c>
      <c r="BR128" s="63" t="str">
        <f t="shared" si="10"/>
        <v/>
      </c>
      <c r="BS128" s="63">
        <f t="shared" si="10"/>
        <v>1</v>
      </c>
      <c r="BT128" s="63" t="str">
        <f t="shared" si="10"/>
        <v/>
      </c>
      <c r="BU128" s="63" t="str">
        <f t="shared" si="10"/>
        <v/>
      </c>
      <c r="BV128" s="63" t="str">
        <f t="shared" ref="BV128:CA128" si="11">IF(BW107&lt;BV107*95%,1,"")</f>
        <v/>
      </c>
      <c r="BW128" s="63" t="str">
        <f t="shared" si="11"/>
        <v/>
      </c>
      <c r="BX128" s="63">
        <f t="shared" si="11"/>
        <v>1</v>
      </c>
      <c r="BY128" s="63" t="str">
        <f t="shared" si="11"/>
        <v/>
      </c>
      <c r="BZ128" s="63" t="str">
        <f t="shared" si="11"/>
        <v/>
      </c>
      <c r="CA128" s="63" t="str">
        <f t="shared" si="11"/>
        <v/>
      </c>
      <c r="CB128" s="11"/>
    </row>
    <row r="129" spans="4:79" outlineLevel="1" x14ac:dyDescent="0.25">
      <c r="D129" s="6"/>
      <c r="G129" s="11"/>
      <c r="H129" s="6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</row>
    <row r="130" spans="4:79" outlineLevel="1" x14ac:dyDescent="0.25">
      <c r="D130" s="6"/>
      <c r="G130" s="11"/>
      <c r="H130" s="6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</row>
    <row r="131" spans="4:79" outlineLevel="1" x14ac:dyDescent="0.25">
      <c r="D131" s="6"/>
      <c r="G131" s="11"/>
      <c r="H131" s="6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</row>
    <row r="132" spans="4:79" outlineLevel="1" x14ac:dyDescent="0.25">
      <c r="D132" s="6"/>
      <c r="G132" s="11"/>
      <c r="H132" s="6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</row>
    <row r="133" spans="4:79" outlineLevel="1" x14ac:dyDescent="0.25">
      <c r="D133" s="6"/>
      <c r="G133" s="11"/>
      <c r="H133" s="6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</row>
    <row r="134" spans="4:79" outlineLevel="1" x14ac:dyDescent="0.25">
      <c r="D134" s="6"/>
      <c r="G134" s="11"/>
      <c r="H134" s="6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</row>
    <row r="135" spans="4:79" outlineLevel="1" x14ac:dyDescent="0.25">
      <c r="D135" s="6"/>
      <c r="G135" s="11"/>
      <c r="H135" s="6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</row>
    <row r="136" spans="4:79" outlineLevel="1" x14ac:dyDescent="0.25">
      <c r="D136" s="6"/>
      <c r="G136" s="11"/>
      <c r="H136" s="6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</row>
    <row r="137" spans="4:79" outlineLevel="1" x14ac:dyDescent="0.25">
      <c r="D137" s="6"/>
      <c r="G137" s="11"/>
      <c r="H137" s="6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</row>
    <row r="138" spans="4:79" outlineLevel="1" x14ac:dyDescent="0.25">
      <c r="D138" s="6"/>
      <c r="G138" s="11"/>
      <c r="H138" s="6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</row>
    <row r="139" spans="4:79" outlineLevel="1" x14ac:dyDescent="0.25">
      <c r="D139" s="6"/>
      <c r="G139" s="11"/>
      <c r="H139" s="6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</row>
    <row r="140" spans="4:79" outlineLevel="1" x14ac:dyDescent="0.25">
      <c r="D140" s="6"/>
      <c r="G140" s="11"/>
      <c r="H140" s="6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</row>
    <row r="141" spans="4:79" outlineLevel="1" x14ac:dyDescent="0.25">
      <c r="D141" s="6"/>
      <c r="G141" s="11"/>
      <c r="H141" s="6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</row>
    <row r="142" spans="4:79" outlineLevel="1" x14ac:dyDescent="0.25">
      <c r="D142" s="6"/>
      <c r="G142" s="11"/>
      <c r="H142" s="6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</row>
    <row r="143" spans="4:79" outlineLevel="1" x14ac:dyDescent="0.25">
      <c r="D143" s="6"/>
      <c r="G143" s="11"/>
      <c r="H143" s="6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</row>
    <row r="144" spans="4:79" outlineLevel="1" x14ac:dyDescent="0.25">
      <c r="D144" s="6"/>
      <c r="G144" s="11"/>
      <c r="H144" s="6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</row>
    <row r="145" spans="4:79" outlineLevel="1" x14ac:dyDescent="0.25">
      <c r="D145" s="6"/>
      <c r="G145" s="11"/>
      <c r="H145" s="6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</row>
    <row r="146" spans="4:79" outlineLevel="1" x14ac:dyDescent="0.25">
      <c r="D146" s="6"/>
      <c r="G146" s="11"/>
      <c r="H146" s="6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</row>
    <row r="147" spans="4:79" outlineLevel="1" x14ac:dyDescent="0.25">
      <c r="D147" s="6"/>
      <c r="G147" s="11"/>
      <c r="H147" s="6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</row>
    <row r="148" spans="4:79" x14ac:dyDescent="0.25">
      <c r="D148" s="6" t="s">
        <v>155</v>
      </c>
      <c r="G148" s="11"/>
      <c r="H148" s="10" t="s">
        <v>165</v>
      </c>
      <c r="I148" s="66" t="str">
        <f>IF(OR(J107&lt;I107*95%,J107&gt;I107*105%),"1","")</f>
        <v/>
      </c>
      <c r="J148" s="66" t="str">
        <f>IF(OR(K107&lt;J107*95%,K107&gt;J107*105%),"1","")</f>
        <v>1</v>
      </c>
      <c r="K148" s="66" t="str">
        <f t="shared" ref="K148:BV148" si="12">IF(OR(L107&lt;K107*95%,L107&gt;K107*105%),"1","")</f>
        <v>1</v>
      </c>
      <c r="L148" s="66" t="str">
        <f t="shared" si="12"/>
        <v/>
      </c>
      <c r="M148" s="66" t="str">
        <f t="shared" si="12"/>
        <v/>
      </c>
      <c r="N148" s="66" t="str">
        <f t="shared" si="12"/>
        <v/>
      </c>
      <c r="O148" s="66" t="str">
        <f t="shared" si="12"/>
        <v/>
      </c>
      <c r="P148" s="66" t="str">
        <f t="shared" si="12"/>
        <v>1</v>
      </c>
      <c r="Q148" s="66" t="str">
        <f t="shared" si="12"/>
        <v>1</v>
      </c>
      <c r="R148" s="66" t="str">
        <f t="shared" si="12"/>
        <v/>
      </c>
      <c r="S148" s="66" t="str">
        <f t="shared" si="12"/>
        <v/>
      </c>
      <c r="T148" s="66" t="str">
        <f t="shared" si="12"/>
        <v/>
      </c>
      <c r="U148" s="66" t="str">
        <f t="shared" si="12"/>
        <v/>
      </c>
      <c r="V148" s="66" t="str">
        <f t="shared" si="12"/>
        <v>1</v>
      </c>
      <c r="W148" s="66" t="str">
        <f t="shared" si="12"/>
        <v>1</v>
      </c>
      <c r="X148" s="66" t="str">
        <f t="shared" si="12"/>
        <v/>
      </c>
      <c r="Y148" s="66" t="str">
        <f t="shared" si="12"/>
        <v/>
      </c>
      <c r="Z148" s="66" t="str">
        <f t="shared" si="12"/>
        <v/>
      </c>
      <c r="AA148" s="66" t="str">
        <f t="shared" si="12"/>
        <v/>
      </c>
      <c r="AB148" s="66" t="str">
        <f t="shared" si="12"/>
        <v>1</v>
      </c>
      <c r="AC148" s="66" t="str">
        <f t="shared" si="12"/>
        <v>1</v>
      </c>
      <c r="AD148" s="66" t="str">
        <f t="shared" si="12"/>
        <v/>
      </c>
      <c r="AE148" s="66" t="str">
        <f t="shared" si="12"/>
        <v/>
      </c>
      <c r="AF148" s="66" t="str">
        <f t="shared" si="12"/>
        <v/>
      </c>
      <c r="AG148" s="66" t="str">
        <f t="shared" si="12"/>
        <v/>
      </c>
      <c r="AH148" s="66" t="str">
        <f t="shared" si="12"/>
        <v>1</v>
      </c>
      <c r="AI148" s="66" t="str">
        <f t="shared" si="12"/>
        <v>1</v>
      </c>
      <c r="AJ148" s="66" t="str">
        <f t="shared" si="12"/>
        <v/>
      </c>
      <c r="AK148" s="66" t="str">
        <f t="shared" si="12"/>
        <v/>
      </c>
      <c r="AL148" s="66" t="str">
        <f t="shared" si="12"/>
        <v/>
      </c>
      <c r="AM148" s="66" t="str">
        <f t="shared" si="12"/>
        <v/>
      </c>
      <c r="AN148" s="66" t="str">
        <f t="shared" si="12"/>
        <v>1</v>
      </c>
      <c r="AO148" s="66" t="str">
        <f t="shared" si="12"/>
        <v>1</v>
      </c>
      <c r="AP148" s="66" t="str">
        <f t="shared" si="12"/>
        <v/>
      </c>
      <c r="AQ148" s="66" t="str">
        <f t="shared" si="12"/>
        <v/>
      </c>
      <c r="AR148" s="66" t="str">
        <f t="shared" si="12"/>
        <v/>
      </c>
      <c r="AS148" s="66" t="str">
        <f t="shared" si="12"/>
        <v/>
      </c>
      <c r="AT148" s="66" t="str">
        <f t="shared" si="12"/>
        <v>1</v>
      </c>
      <c r="AU148" s="66" t="str">
        <f t="shared" si="12"/>
        <v>1</v>
      </c>
      <c r="AV148" s="66" t="str">
        <f t="shared" si="12"/>
        <v/>
      </c>
      <c r="AW148" s="66" t="str">
        <f t="shared" si="12"/>
        <v/>
      </c>
      <c r="AX148" s="66" t="str">
        <f t="shared" si="12"/>
        <v/>
      </c>
      <c r="AY148" s="66" t="str">
        <f t="shared" si="12"/>
        <v/>
      </c>
      <c r="AZ148" s="66" t="str">
        <f t="shared" si="12"/>
        <v>1</v>
      </c>
      <c r="BA148" s="66" t="str">
        <f t="shared" si="12"/>
        <v>1</v>
      </c>
      <c r="BB148" s="66" t="str">
        <f t="shared" si="12"/>
        <v/>
      </c>
      <c r="BC148" s="66" t="str">
        <f t="shared" si="12"/>
        <v/>
      </c>
      <c r="BD148" s="66" t="str">
        <f t="shared" si="12"/>
        <v/>
      </c>
      <c r="BE148" s="66" t="str">
        <f t="shared" si="12"/>
        <v/>
      </c>
      <c r="BF148" s="66" t="str">
        <f t="shared" si="12"/>
        <v>1</v>
      </c>
      <c r="BG148" s="66" t="str">
        <f t="shared" si="12"/>
        <v>1</v>
      </c>
      <c r="BH148" s="66" t="str">
        <f t="shared" si="12"/>
        <v/>
      </c>
      <c r="BI148" s="66" t="str">
        <f t="shared" si="12"/>
        <v/>
      </c>
      <c r="BJ148" s="66" t="str">
        <f t="shared" si="12"/>
        <v/>
      </c>
      <c r="BK148" s="66" t="str">
        <f t="shared" si="12"/>
        <v/>
      </c>
      <c r="BL148" s="66" t="str">
        <f t="shared" si="12"/>
        <v>1</v>
      </c>
      <c r="BM148" s="66" t="str">
        <f t="shared" si="12"/>
        <v>1</v>
      </c>
      <c r="BN148" s="66" t="str">
        <f t="shared" si="12"/>
        <v/>
      </c>
      <c r="BO148" s="66" t="str">
        <f t="shared" si="12"/>
        <v/>
      </c>
      <c r="BP148" s="66" t="str">
        <f t="shared" si="12"/>
        <v/>
      </c>
      <c r="BQ148" s="66" t="str">
        <f t="shared" si="12"/>
        <v/>
      </c>
      <c r="BR148" s="66" t="str">
        <f t="shared" si="12"/>
        <v>1</v>
      </c>
      <c r="BS148" s="66" t="str">
        <f t="shared" si="12"/>
        <v>1</v>
      </c>
      <c r="BT148" s="66" t="str">
        <f t="shared" si="12"/>
        <v/>
      </c>
      <c r="BU148" s="66" t="str">
        <f t="shared" si="12"/>
        <v/>
      </c>
      <c r="BV148" s="66" t="str">
        <f t="shared" si="12"/>
        <v/>
      </c>
      <c r="BW148" s="66" t="str">
        <f t="shared" ref="BW148:CA148" si="13">IF(OR(BX107&lt;BW107*95%,BX107&gt;BW107*105%),"1","")</f>
        <v/>
      </c>
      <c r="BX148" s="66" t="str">
        <f t="shared" si="13"/>
        <v>1</v>
      </c>
      <c r="BY148" s="66" t="str">
        <f t="shared" si="13"/>
        <v>1</v>
      </c>
      <c r="BZ148" s="66" t="str">
        <f t="shared" si="13"/>
        <v/>
      </c>
      <c r="CA148" s="66" t="str">
        <f t="shared" si="13"/>
        <v/>
      </c>
    </row>
    <row r="149" spans="4:79" x14ac:dyDescent="0.25">
      <c r="D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</row>
    <row r="150" spans="4:79" x14ac:dyDescent="0.25">
      <c r="G150" s="11"/>
    </row>
  </sheetData>
  <phoneticPr fontId="2" type="noConversion"/>
  <pageMargins left="0.7" right="0.7" top="0.75" bottom="0.75" header="0.3" footer="0.3"/>
  <pageSetup orientation="portrait" r:id="rId1"/>
  <ignoredErrors>
    <ignoredError sqref="J107:CB107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CFCD-6425-42FA-BB71-2AA29B8C97BD}">
  <sheetPr>
    <tabColor rgb="FF008000"/>
    <pageSetUpPr autoPageBreaks="0"/>
  </sheetPr>
  <dimension ref="A1:DF352"/>
  <sheetViews>
    <sheetView topLeftCell="A217" zoomScale="55" zoomScaleNormal="55" workbookViewId="0">
      <pane xSplit="4" topLeftCell="E1" activePane="topRight" state="frozen"/>
      <selection pane="topRight" activeCell="G277" sqref="G277:G278"/>
    </sheetView>
  </sheetViews>
  <sheetFormatPr defaultColWidth="11.69921875" defaultRowHeight="13.8" outlineLevelRow="2" x14ac:dyDescent="0.25"/>
  <cols>
    <col min="1" max="3" width="1.69921875" style="3" customWidth="1"/>
    <col min="4" max="4" width="25.69921875" style="3" customWidth="1"/>
    <col min="5" max="5" width="5.69921875" style="3" customWidth="1"/>
    <col min="6" max="6" width="8.59765625" style="3" bestFit="1" customWidth="1"/>
    <col min="7" max="7" width="10.69921875" style="3" customWidth="1"/>
    <col min="8" max="8" width="15.69921875" style="3" customWidth="1"/>
    <col min="9" max="9" width="13.09765625" style="3" bestFit="1" customWidth="1"/>
    <col min="10" max="10" width="12.796875" style="3" bestFit="1" customWidth="1"/>
    <col min="11" max="11" width="13.19921875" style="3" bestFit="1" customWidth="1"/>
    <col min="12" max="12" width="12.69921875" style="3" bestFit="1" customWidth="1"/>
    <col min="13" max="16384" width="11.69921875" style="3"/>
  </cols>
  <sheetData>
    <row r="1" spans="1:110" s="41" customFormat="1" ht="25.05" customHeight="1" x14ac:dyDescent="0.6">
      <c r="A1" s="42" t="s">
        <v>212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10" x14ac:dyDescent="0.25">
      <c r="D2" s="4"/>
    </row>
    <row r="3" spans="1:110" ht="14.4" x14ac:dyDescent="0.3">
      <c r="D3" s="38" t="s">
        <v>186</v>
      </c>
    </row>
    <row r="4" spans="1:110" ht="14.4" x14ac:dyDescent="0.3">
      <c r="D4" s="38"/>
    </row>
    <row r="5" spans="1:110" x14ac:dyDescent="0.25">
      <c r="D5" s="6" t="s">
        <v>141</v>
      </c>
      <c r="I5" s="3">
        <f>YEAR(I6)</f>
        <v>2015</v>
      </c>
      <c r="J5" s="3">
        <f>YEAR(J6)</f>
        <v>2015</v>
      </c>
      <c r="K5" s="3">
        <f t="shared" ref="K5:BV5" si="0">YEAR(K6)</f>
        <v>2015</v>
      </c>
      <c r="L5" s="3">
        <f>YEAR(L6)</f>
        <v>2015</v>
      </c>
      <c r="M5" s="3">
        <f t="shared" si="0"/>
        <v>2015</v>
      </c>
      <c r="N5" s="3">
        <f t="shared" si="0"/>
        <v>2015</v>
      </c>
      <c r="O5" s="3">
        <f>YEAR(O6)</f>
        <v>2015</v>
      </c>
      <c r="P5" s="3">
        <f t="shared" si="0"/>
        <v>2015</v>
      </c>
      <c r="Q5" s="3">
        <f t="shared" si="0"/>
        <v>2015</v>
      </c>
      <c r="R5" s="3">
        <f>YEAR(R6)</f>
        <v>2015</v>
      </c>
      <c r="S5" s="3">
        <f t="shared" si="0"/>
        <v>2015</v>
      </c>
      <c r="T5" s="3">
        <f t="shared" si="0"/>
        <v>2015</v>
      </c>
      <c r="U5" s="3">
        <f t="shared" si="0"/>
        <v>2016</v>
      </c>
      <c r="V5" s="3">
        <f t="shared" si="0"/>
        <v>2016</v>
      </c>
      <c r="W5" s="3">
        <f t="shared" si="0"/>
        <v>2016</v>
      </c>
      <c r="X5" s="3">
        <f t="shared" si="0"/>
        <v>2016</v>
      </c>
      <c r="Y5" s="3">
        <f t="shared" si="0"/>
        <v>2016</v>
      </c>
      <c r="Z5" s="3">
        <f t="shared" si="0"/>
        <v>2016</v>
      </c>
      <c r="AA5" s="3">
        <f t="shared" si="0"/>
        <v>2016</v>
      </c>
      <c r="AB5" s="3">
        <f t="shared" si="0"/>
        <v>2016</v>
      </c>
      <c r="AC5" s="3">
        <f t="shared" si="0"/>
        <v>2016</v>
      </c>
      <c r="AD5" s="3">
        <f t="shared" si="0"/>
        <v>2016</v>
      </c>
      <c r="AE5" s="3">
        <f t="shared" si="0"/>
        <v>2016</v>
      </c>
      <c r="AF5" s="3">
        <f t="shared" si="0"/>
        <v>2016</v>
      </c>
      <c r="AG5" s="3">
        <f t="shared" si="0"/>
        <v>2017</v>
      </c>
      <c r="AH5" s="3">
        <f t="shared" si="0"/>
        <v>2017</v>
      </c>
      <c r="AI5" s="3">
        <f t="shared" si="0"/>
        <v>2017</v>
      </c>
      <c r="AJ5" s="3">
        <f t="shared" si="0"/>
        <v>2017</v>
      </c>
      <c r="AK5" s="3">
        <f t="shared" si="0"/>
        <v>2017</v>
      </c>
      <c r="AL5" s="3">
        <f t="shared" si="0"/>
        <v>2017</v>
      </c>
      <c r="AM5" s="3">
        <f t="shared" si="0"/>
        <v>2017</v>
      </c>
      <c r="AN5" s="3">
        <f t="shared" si="0"/>
        <v>2017</v>
      </c>
      <c r="AO5" s="3">
        <f t="shared" si="0"/>
        <v>2017</v>
      </c>
      <c r="AP5" s="3">
        <f t="shared" si="0"/>
        <v>2017</v>
      </c>
      <c r="AQ5" s="3">
        <f t="shared" si="0"/>
        <v>2017</v>
      </c>
      <c r="AR5" s="3">
        <f t="shared" si="0"/>
        <v>2017</v>
      </c>
      <c r="AS5" s="3">
        <f t="shared" si="0"/>
        <v>2018</v>
      </c>
      <c r="AT5" s="3">
        <f t="shared" si="0"/>
        <v>2018</v>
      </c>
      <c r="AU5" s="3">
        <f t="shared" si="0"/>
        <v>2018</v>
      </c>
      <c r="AV5" s="3">
        <f t="shared" si="0"/>
        <v>2018</v>
      </c>
      <c r="AW5" s="3">
        <f t="shared" si="0"/>
        <v>2018</v>
      </c>
      <c r="AX5" s="3">
        <f t="shared" si="0"/>
        <v>2018</v>
      </c>
      <c r="AY5" s="3">
        <f t="shared" si="0"/>
        <v>2018</v>
      </c>
      <c r="AZ5" s="3">
        <f t="shared" si="0"/>
        <v>2018</v>
      </c>
      <c r="BA5" s="3">
        <f t="shared" si="0"/>
        <v>2018</v>
      </c>
      <c r="BB5" s="3">
        <f t="shared" si="0"/>
        <v>2018</v>
      </c>
      <c r="BC5" s="3">
        <f t="shared" si="0"/>
        <v>2018</v>
      </c>
      <c r="BD5" s="3">
        <f t="shared" si="0"/>
        <v>2018</v>
      </c>
      <c r="BE5" s="3">
        <f t="shared" si="0"/>
        <v>2019</v>
      </c>
      <c r="BF5" s="3">
        <f t="shared" si="0"/>
        <v>2019</v>
      </c>
      <c r="BG5" s="3">
        <f t="shared" si="0"/>
        <v>2019</v>
      </c>
      <c r="BH5" s="3">
        <f t="shared" si="0"/>
        <v>2019</v>
      </c>
      <c r="BI5" s="3">
        <f t="shared" si="0"/>
        <v>2019</v>
      </c>
      <c r="BJ5" s="3">
        <f t="shared" si="0"/>
        <v>2019</v>
      </c>
      <c r="BK5" s="3">
        <f t="shared" si="0"/>
        <v>2019</v>
      </c>
      <c r="BL5" s="3">
        <f t="shared" si="0"/>
        <v>2019</v>
      </c>
      <c r="BM5" s="3">
        <f t="shared" si="0"/>
        <v>2019</v>
      </c>
      <c r="BN5" s="3">
        <f t="shared" si="0"/>
        <v>2019</v>
      </c>
      <c r="BO5" s="3">
        <f t="shared" si="0"/>
        <v>2019</v>
      </c>
      <c r="BP5" s="3">
        <f t="shared" si="0"/>
        <v>2019</v>
      </c>
      <c r="BQ5" s="3">
        <f t="shared" si="0"/>
        <v>2020</v>
      </c>
      <c r="BR5" s="3">
        <f t="shared" si="0"/>
        <v>2020</v>
      </c>
      <c r="BS5" s="3">
        <f t="shared" si="0"/>
        <v>2020</v>
      </c>
      <c r="BT5" s="3">
        <f t="shared" si="0"/>
        <v>2020</v>
      </c>
      <c r="BU5" s="3">
        <f t="shared" si="0"/>
        <v>2020</v>
      </c>
      <c r="BV5" s="3">
        <f t="shared" si="0"/>
        <v>2020</v>
      </c>
      <c r="BW5" s="3">
        <f t="shared" ref="BW5:CB5" si="1">YEAR(BW6)</f>
        <v>2020</v>
      </c>
      <c r="BX5" s="3">
        <f t="shared" si="1"/>
        <v>2020</v>
      </c>
      <c r="BY5" s="3">
        <f t="shared" si="1"/>
        <v>2020</v>
      </c>
      <c r="BZ5" s="3">
        <f t="shared" si="1"/>
        <v>2020</v>
      </c>
      <c r="CA5" s="3">
        <f t="shared" si="1"/>
        <v>2020</v>
      </c>
      <c r="CB5" s="3">
        <f t="shared" si="1"/>
        <v>2020</v>
      </c>
      <c r="DD5" s="4"/>
    </row>
    <row r="6" spans="1:110" ht="15.6" x14ac:dyDescent="0.35">
      <c r="D6" s="7" t="s">
        <v>0</v>
      </c>
      <c r="E6" s="7" t="s">
        <v>1</v>
      </c>
      <c r="F6" s="22" t="s">
        <v>140</v>
      </c>
      <c r="G6" s="2" t="s">
        <v>185</v>
      </c>
      <c r="H6" s="7" t="s">
        <v>171</v>
      </c>
      <c r="I6" s="9">
        <v>42035</v>
      </c>
      <c r="J6" s="9">
        <v>42063</v>
      </c>
      <c r="K6" s="9">
        <v>42094</v>
      </c>
      <c r="L6" s="9">
        <v>42124</v>
      </c>
      <c r="M6" s="9">
        <v>42155</v>
      </c>
      <c r="N6" s="9">
        <v>42185</v>
      </c>
      <c r="O6" s="9">
        <v>42216</v>
      </c>
      <c r="P6" s="9">
        <v>42247</v>
      </c>
      <c r="Q6" s="9">
        <v>42277</v>
      </c>
      <c r="R6" s="9">
        <v>42308</v>
      </c>
      <c r="S6" s="9">
        <v>42338</v>
      </c>
      <c r="T6" s="9">
        <v>42369</v>
      </c>
      <c r="U6" s="9">
        <v>42400</v>
      </c>
      <c r="V6" s="9">
        <v>42429</v>
      </c>
      <c r="W6" s="9">
        <v>42460</v>
      </c>
      <c r="X6" s="9">
        <v>42490</v>
      </c>
      <c r="Y6" s="9">
        <v>42521</v>
      </c>
      <c r="Z6" s="9">
        <v>42551</v>
      </c>
      <c r="AA6" s="9">
        <v>42582</v>
      </c>
      <c r="AB6" s="9">
        <v>42613</v>
      </c>
      <c r="AC6" s="9">
        <v>42643</v>
      </c>
      <c r="AD6" s="9">
        <v>42674</v>
      </c>
      <c r="AE6" s="9">
        <v>42704</v>
      </c>
      <c r="AF6" s="9">
        <v>42735</v>
      </c>
      <c r="AG6" s="9">
        <v>42766</v>
      </c>
      <c r="AH6" s="9">
        <v>42794</v>
      </c>
      <c r="AI6" s="9">
        <v>42825</v>
      </c>
      <c r="AJ6" s="9">
        <v>42855</v>
      </c>
      <c r="AK6" s="9">
        <v>42886</v>
      </c>
      <c r="AL6" s="9">
        <v>42916</v>
      </c>
      <c r="AM6" s="9">
        <v>42947</v>
      </c>
      <c r="AN6" s="9">
        <v>42978</v>
      </c>
      <c r="AO6" s="9">
        <v>43008</v>
      </c>
      <c r="AP6" s="9">
        <v>43039</v>
      </c>
      <c r="AQ6" s="9">
        <v>43069</v>
      </c>
      <c r="AR6" s="9">
        <v>43100</v>
      </c>
      <c r="AS6" s="9">
        <v>43131</v>
      </c>
      <c r="AT6" s="9">
        <v>43159</v>
      </c>
      <c r="AU6" s="9">
        <v>43190</v>
      </c>
      <c r="AV6" s="9">
        <v>43220</v>
      </c>
      <c r="AW6" s="9">
        <v>43251</v>
      </c>
      <c r="AX6" s="9">
        <v>43281</v>
      </c>
      <c r="AY6" s="9">
        <v>43312</v>
      </c>
      <c r="AZ6" s="9">
        <v>43343</v>
      </c>
      <c r="BA6" s="9">
        <v>43373</v>
      </c>
      <c r="BB6" s="9">
        <v>43404</v>
      </c>
      <c r="BC6" s="9">
        <v>43434</v>
      </c>
      <c r="BD6" s="9">
        <v>43465</v>
      </c>
      <c r="BE6" s="9">
        <v>43496</v>
      </c>
      <c r="BF6" s="9">
        <v>43524</v>
      </c>
      <c r="BG6" s="9">
        <v>43555</v>
      </c>
      <c r="BH6" s="9">
        <v>43585</v>
      </c>
      <c r="BI6" s="9">
        <v>43616</v>
      </c>
      <c r="BJ6" s="9">
        <v>43646</v>
      </c>
      <c r="BK6" s="9">
        <v>43677</v>
      </c>
      <c r="BL6" s="9">
        <v>43708</v>
      </c>
      <c r="BM6" s="9">
        <v>43738</v>
      </c>
      <c r="BN6" s="9">
        <v>43769</v>
      </c>
      <c r="BO6" s="9">
        <v>43799</v>
      </c>
      <c r="BP6" s="9">
        <v>43830</v>
      </c>
      <c r="BQ6" s="9">
        <v>43861</v>
      </c>
      <c r="BR6" s="9">
        <v>43890</v>
      </c>
      <c r="BS6" s="9">
        <v>43921</v>
      </c>
      <c r="BT6" s="9">
        <v>43951</v>
      </c>
      <c r="BU6" s="9">
        <v>43982</v>
      </c>
      <c r="BV6" s="9">
        <v>44012</v>
      </c>
      <c r="BW6" s="9">
        <v>44043</v>
      </c>
      <c r="BX6" s="9">
        <v>44074</v>
      </c>
      <c r="BY6" s="9">
        <v>44104</v>
      </c>
      <c r="BZ6" s="9">
        <v>44135</v>
      </c>
      <c r="CA6" s="9">
        <v>44165</v>
      </c>
      <c r="CB6" s="9">
        <v>44196</v>
      </c>
      <c r="DD6" s="4"/>
    </row>
    <row r="7" spans="1:110" x14ac:dyDescent="0.25">
      <c r="D7" s="10" t="s">
        <v>78</v>
      </c>
      <c r="E7" s="10" t="s">
        <v>48</v>
      </c>
      <c r="F7" s="10" t="s">
        <v>180</v>
      </c>
      <c r="G7" s="10"/>
      <c r="H7" s="67" t="str">
        <f>CONCATENATE(D7," ",G7)</f>
        <v xml:space="preserve">Hartford </v>
      </c>
      <c r="I7" s="11">
        <v>887.03200000000004</v>
      </c>
      <c r="J7" s="11">
        <v>878.70940491318822</v>
      </c>
      <c r="K7" s="11">
        <v>871.76166383322072</v>
      </c>
      <c r="L7" s="11">
        <v>883.88016885409286</v>
      </c>
      <c r="M7" s="11">
        <v>904.67516772847705</v>
      </c>
      <c r="N7" s="11">
        <v>939.18268383907673</v>
      </c>
      <c r="O7" s="11">
        <v>984.07937095964758</v>
      </c>
      <c r="P7" s="11">
        <v>1028.682715135933</v>
      </c>
      <c r="Q7" s="11">
        <v>1048.0056670323104</v>
      </c>
      <c r="R7" s="11">
        <v>1058.819770830901</v>
      </c>
      <c r="S7" s="11">
        <v>1023.7753967050077</v>
      </c>
      <c r="T7" s="11">
        <v>1019.3133608156986</v>
      </c>
      <c r="U7" s="11">
        <v>997.40491783570747</v>
      </c>
      <c r="V7" s="11">
        <v>976.43509847851601</v>
      </c>
      <c r="W7" s="11">
        <v>980.50541233956824</v>
      </c>
      <c r="X7" s="11">
        <v>985.01033407098521</v>
      </c>
      <c r="Y7" s="11">
        <v>1014.8513012179661</v>
      </c>
      <c r="Z7" s="11">
        <v>1061.4081769738173</v>
      </c>
      <c r="AA7" s="11">
        <v>1077.361343276639</v>
      </c>
      <c r="AB7" s="11">
        <v>1112.9529540654405</v>
      </c>
      <c r="AC7" s="11">
        <v>1135.6782738439833</v>
      </c>
      <c r="AD7" s="11">
        <v>1109.2608822692869</v>
      </c>
      <c r="AE7" s="11">
        <v>1044.7170247478161</v>
      </c>
      <c r="AF7" s="11">
        <v>1005.2723922228846</v>
      </c>
      <c r="AG7" s="11">
        <v>981.62518298714133</v>
      </c>
      <c r="AH7" s="11">
        <v>995.71402121523693</v>
      </c>
      <c r="AI7" s="11">
        <v>990.25358732038944</v>
      </c>
      <c r="AJ7" s="11">
        <v>1003.159618219987</v>
      </c>
      <c r="AK7" s="11">
        <v>1020.3814983884947</v>
      </c>
      <c r="AL7" s="11">
        <v>1049.1596133595131</v>
      </c>
      <c r="AM7" s="11">
        <v>1080.4714711030094</v>
      </c>
      <c r="AN7" s="11">
        <v>1088.5165526229093</v>
      </c>
      <c r="AO7" s="11">
        <v>1092.060157007216</v>
      </c>
      <c r="AP7" s="11">
        <v>1125.646051666824</v>
      </c>
      <c r="AQ7" s="11">
        <v>1080.4835853842721</v>
      </c>
      <c r="AR7" s="11">
        <v>1042.2613590087687</v>
      </c>
      <c r="AS7" s="11">
        <v>1032.7010468071785</v>
      </c>
      <c r="AT7" s="11">
        <v>1043.3857573639507</v>
      </c>
      <c r="AU7" s="11">
        <v>1073.4279339592322</v>
      </c>
      <c r="AV7" s="11">
        <v>1082.2783000966635</v>
      </c>
      <c r="AW7" s="11">
        <v>1094.0162551860587</v>
      </c>
      <c r="AX7" s="11">
        <v>1153.3239775602608</v>
      </c>
      <c r="AY7" s="11">
        <v>1171.0214804544839</v>
      </c>
      <c r="AZ7" s="11">
        <v>1199.5868320211605</v>
      </c>
      <c r="BA7" s="11">
        <v>1245.7538620999371</v>
      </c>
      <c r="BB7" s="11">
        <v>1301.9947305628425</v>
      </c>
      <c r="BC7" s="11">
        <v>1211.1646727697446</v>
      </c>
      <c r="BD7" s="11">
        <v>1199.1804790986068</v>
      </c>
      <c r="BE7" s="11">
        <v>1163.3856291354305</v>
      </c>
      <c r="BF7" s="11">
        <v>1202.0071246864793</v>
      </c>
      <c r="BG7" s="11">
        <v>1167.662449215356</v>
      </c>
      <c r="BH7" s="11">
        <v>1155.325634382084</v>
      </c>
      <c r="BI7" s="11">
        <v>1208.8496961502763</v>
      </c>
      <c r="BJ7" s="11">
        <v>1295.8807794258444</v>
      </c>
      <c r="BK7" s="11">
        <v>1352.0101636913139</v>
      </c>
      <c r="BL7" s="11">
        <v>1394.5391220013992</v>
      </c>
      <c r="BM7" s="11">
        <v>1431.6574613262662</v>
      </c>
      <c r="BN7" s="11">
        <v>1470.6327487512838</v>
      </c>
      <c r="BO7" s="11">
        <v>1375.9228894061926</v>
      </c>
      <c r="BP7" s="11">
        <v>1314.4977918313923</v>
      </c>
      <c r="BQ7" s="11">
        <v>1279.242417231025</v>
      </c>
      <c r="BR7" s="11">
        <v>1278.0249457440759</v>
      </c>
      <c r="BS7" s="11">
        <v>1326.8308029531729</v>
      </c>
      <c r="BT7" s="11">
        <v>1367.0883353184656</v>
      </c>
      <c r="BU7" s="11">
        <v>1426.3456579735609</v>
      </c>
      <c r="BV7" s="11">
        <v>1556.6233656948332</v>
      </c>
      <c r="BW7" s="11">
        <v>1614.6508993415143</v>
      </c>
      <c r="BX7" s="11">
        <v>1622.8999333654237</v>
      </c>
      <c r="BY7" s="11">
        <v>1670.7707436534454</v>
      </c>
      <c r="BZ7" s="11">
        <v>1669.1190943792665</v>
      </c>
      <c r="CA7" s="11">
        <v>1542.4057697099609</v>
      </c>
      <c r="CB7" s="11">
        <v>1519.5643953143763</v>
      </c>
      <c r="CC7" s="12"/>
      <c r="DD7" s="11"/>
      <c r="DE7" s="11"/>
      <c r="DF7" s="11"/>
    </row>
    <row r="8" spans="1:110" x14ac:dyDescent="0.25">
      <c r="D8" s="10" t="s">
        <v>79</v>
      </c>
      <c r="E8" s="10" t="s">
        <v>48</v>
      </c>
      <c r="F8" s="10" t="s">
        <v>180</v>
      </c>
      <c r="G8" s="10"/>
      <c r="H8" s="67" t="str">
        <f>CONCATENATE(D8," ",G8)</f>
        <v xml:space="preserve">Bridgeport </v>
      </c>
      <c r="I8" s="11">
        <f>746917/(10^3)</f>
        <v>746.91700000000003</v>
      </c>
      <c r="J8" s="11">
        <f>779956.183377035/(10^3)</f>
        <v>779.95618337703502</v>
      </c>
      <c r="K8" s="11">
        <v>756.83152701191682</v>
      </c>
      <c r="L8" s="11">
        <f>781529.516462763/(10^3)</f>
        <v>781.52951646276301</v>
      </c>
      <c r="M8" s="11">
        <f>764907.519071423/(10^3)</f>
        <v>764.90751907142294</v>
      </c>
      <c r="N8" s="11">
        <f>800695.117439494/(10^3)</f>
        <v>800.69511743949397</v>
      </c>
      <c r="O8" s="11">
        <f>816497.365209805/(10^3)</f>
        <v>816.49736520980491</v>
      </c>
      <c r="P8" s="11">
        <f>846794.329567683/(10^3)</f>
        <v>846.79432956768301</v>
      </c>
      <c r="Q8" s="11">
        <v>875.18832862165641</v>
      </c>
      <c r="R8" s="11">
        <f>871240.217552805/(10^3)</f>
        <v>871.24021755280501</v>
      </c>
      <c r="S8" s="11">
        <f>850080.283107634/(10^3)</f>
        <v>850.08028310763405</v>
      </c>
      <c r="T8" s="11">
        <f>826284.971749687/(10^3)</f>
        <v>826.28497174968697</v>
      </c>
      <c r="U8" s="11">
        <f>809959.641978705/(10^3)</f>
        <v>809.95964197870501</v>
      </c>
      <c r="V8" s="11">
        <f>797052.328998936/(10^3)</f>
        <v>797.05232899893599</v>
      </c>
      <c r="W8" s="11">
        <v>775.98226679582217</v>
      </c>
      <c r="X8" s="11">
        <f>768653.082624127/(10^3)</f>
        <v>768.65308262412702</v>
      </c>
      <c r="Y8" s="11">
        <f>781519.724206368/(10^3)</f>
        <v>781.51972420636798</v>
      </c>
      <c r="Z8" s="11">
        <f>811763.572260812/(10^3)</f>
        <v>811.763572260812</v>
      </c>
      <c r="AA8" s="11">
        <f>819657.973070503/(10^3)</f>
        <v>819.65797307050298</v>
      </c>
      <c r="AB8" s="11">
        <f>842553.40597956/(10^3)</f>
        <v>842.55340597956001</v>
      </c>
      <c r="AC8" s="11">
        <v>846.38504753643974</v>
      </c>
      <c r="AD8" s="11">
        <f>880223.551111981/(10^3)</f>
        <v>880.22355111198101</v>
      </c>
      <c r="AE8" s="11">
        <f>819512.179998056/(10^3)</f>
        <v>819.51217999805601</v>
      </c>
      <c r="AF8" s="11">
        <f>786640.212283744/(10^3)</f>
        <v>786.64021228374406</v>
      </c>
      <c r="AG8" s="11">
        <f>775216.00811935/(10^3)</f>
        <v>775.21600811934991</v>
      </c>
      <c r="AH8" s="11">
        <f>796093.052056162/(10^3)</f>
        <v>796.09305205616204</v>
      </c>
      <c r="AI8" s="11">
        <v>811.52555263456111</v>
      </c>
      <c r="AJ8" s="11">
        <f>789382.926812032/(10^3)</f>
        <v>789.382926812032</v>
      </c>
      <c r="AK8" s="11">
        <f>798352.590372488/(10^3)</f>
        <v>798.35259037248807</v>
      </c>
      <c r="AL8" s="11">
        <f>844768.327946392/(10^3)</f>
        <v>844.76832794639199</v>
      </c>
      <c r="AM8" s="11">
        <f>854072.472425844/(10^3)</f>
        <v>854.07247242584401</v>
      </c>
      <c r="AN8" s="11">
        <f>881688.742628926/(10^3)</f>
        <v>881.68874262892598</v>
      </c>
      <c r="AO8" s="11">
        <v>902.65314719707851</v>
      </c>
      <c r="AP8" s="11">
        <f>931799.24316735/(10^3)</f>
        <v>931.79924316734991</v>
      </c>
      <c r="AQ8" s="11">
        <f>929602.250398509/(10^3)</f>
        <v>929.602250398509</v>
      </c>
      <c r="AR8" s="11">
        <f>901132.465573448/(10^3)</f>
        <v>901.13246557344803</v>
      </c>
      <c r="AS8" s="11">
        <f>882093.976469425/(10^3)</f>
        <v>882.093976469425</v>
      </c>
      <c r="AT8" s="11">
        <f>876388.873095143/(10^3)</f>
        <v>876.38887309514303</v>
      </c>
      <c r="AU8" s="11">
        <v>854.90308832250537</v>
      </c>
      <c r="AV8" s="11">
        <f>830215.727759921/(10^3)</f>
        <v>830.21572775992104</v>
      </c>
      <c r="AW8" s="11">
        <f>813238.948089163/(10^3)</f>
        <v>813.23894808916305</v>
      </c>
      <c r="AX8" s="11">
        <f>856640.400329862/(10^3)</f>
        <v>856.64040032986202</v>
      </c>
      <c r="AY8" s="11">
        <f>876471.126036195/(10^3)</f>
        <v>876.47112603619496</v>
      </c>
      <c r="AZ8" s="11">
        <f>912822.070948397/(10^3)</f>
        <v>912.82207094839703</v>
      </c>
      <c r="BA8" s="11">
        <v>944.45162051145917</v>
      </c>
      <c r="BB8" s="11">
        <f>946044.878006471/(10^3)</f>
        <v>946.04487800647098</v>
      </c>
      <c r="BC8" s="11">
        <f>928302.868498682/(10^3)</f>
        <v>928.30286849868207</v>
      </c>
      <c r="BD8" s="11">
        <f>902427.616758259/(10^3)</f>
        <v>902.42761675825898</v>
      </c>
      <c r="BE8" s="11">
        <f>892467.846673363/(10^3)</f>
        <v>892.46784667336306</v>
      </c>
      <c r="BF8" s="11">
        <f>898846.125402617/(10^3)</f>
        <v>898.84612540261708</v>
      </c>
      <c r="BG8" s="11">
        <v>927.70397336514873</v>
      </c>
      <c r="BH8" s="11">
        <f>917368.203901459/(10^3)</f>
        <v>917.36820390145897</v>
      </c>
      <c r="BI8" s="11">
        <f>895655.389064729/(10^3)</f>
        <v>895.65538906472898</v>
      </c>
      <c r="BJ8" s="11">
        <f>966939.134556671/(10^3)</f>
        <v>966.93913455667098</v>
      </c>
      <c r="BK8" s="11">
        <f>1004927.08764261/(10^3)</f>
        <v>1004.92708764261</v>
      </c>
      <c r="BL8" s="11">
        <f>1048813.2642191/(10^3)</f>
        <v>1048.8132642190999</v>
      </c>
      <c r="BM8" s="11">
        <v>1095.9685068853562</v>
      </c>
      <c r="BN8" s="11">
        <f>1110761.77278425/(10^3)</f>
        <v>1110.7617727842501</v>
      </c>
      <c r="BO8" s="11">
        <f>1058794.56639316/(10^3)</f>
        <v>1058.79456639316</v>
      </c>
      <c r="BP8" s="11">
        <f>1010215.09782201/(10^3)</f>
        <v>1010.2150978220101</v>
      </c>
      <c r="BQ8" s="11">
        <f>1006281.92389592/(10^3)</f>
        <v>1006.28192389592</v>
      </c>
      <c r="BR8" s="11">
        <f>1002706.19049374/(10^3)</f>
        <v>1002.70619049374</v>
      </c>
      <c r="BS8" s="11">
        <v>986.86542136960929</v>
      </c>
      <c r="BT8" s="11">
        <f>1005752.10416556/(10^3)</f>
        <v>1005.75210416556</v>
      </c>
      <c r="BU8" s="11">
        <f>1008373.00154166/(10^3)</f>
        <v>1008.3730015416601</v>
      </c>
      <c r="BV8" s="11">
        <f>1009496.09555676/(10^3)</f>
        <v>1009.49609555676</v>
      </c>
      <c r="BW8" s="11">
        <f>1053359.77838239/(10^3)</f>
        <v>1053.35977838239</v>
      </c>
      <c r="BX8" s="11">
        <f>1094202.70444028/(10^3)</f>
        <v>1094.2027044402801</v>
      </c>
      <c r="BY8" s="11">
        <v>1126.6440159199335</v>
      </c>
      <c r="BZ8" s="11">
        <f>1130259.37605451/(10^3)</f>
        <v>1130.2593760545101</v>
      </c>
      <c r="CA8" s="11">
        <f>1102036.7190536/(10^3)</f>
        <v>1102.0367190535999</v>
      </c>
      <c r="CB8" s="11">
        <f>1047601.81515437/(10^3)</f>
        <v>1047.6018151543701</v>
      </c>
      <c r="CC8" s="12"/>
      <c r="DD8" s="11"/>
      <c r="DE8" s="11"/>
      <c r="DF8" s="11"/>
    </row>
    <row r="9" spans="1:110" x14ac:dyDescent="0.25">
      <c r="D9" s="10" t="s">
        <v>80</v>
      </c>
      <c r="E9" s="10" t="s">
        <v>49</v>
      </c>
      <c r="F9" s="10" t="s">
        <v>150</v>
      </c>
      <c r="G9" s="10"/>
      <c r="H9" s="67" t="str">
        <f>CONCATENATE(D9," ",G9)</f>
        <v xml:space="preserve">Dover </v>
      </c>
      <c r="I9" s="11">
        <f>202698/(10^3)</f>
        <v>202.69800000000001</v>
      </c>
      <c r="J9" s="11">
        <f>211926.126832518/(10^3)</f>
        <v>211.92612683251801</v>
      </c>
      <c r="K9" s="11">
        <v>211.74834302446132</v>
      </c>
      <c r="L9" s="11">
        <f>207209.621153056/(10^3)</f>
        <v>207.20962115305602</v>
      </c>
      <c r="M9" s="11">
        <f>217163.409309506/(10^3)</f>
        <v>217.16340930950602</v>
      </c>
      <c r="N9" s="11">
        <f>233922.752967273/(10^3)</f>
        <v>233.922752967273</v>
      </c>
      <c r="O9" s="11">
        <f>235161.563624815/(10^3)</f>
        <v>235.16156362481499</v>
      </c>
      <c r="P9" s="11">
        <f>243921.652657094/(10^3)</f>
        <v>243.921652657094</v>
      </c>
      <c r="Q9" s="11">
        <v>244.07408773952537</v>
      </c>
      <c r="R9" s="11">
        <f>240797.093229431/(10^3)</f>
        <v>240.797093229431</v>
      </c>
      <c r="S9" s="11">
        <f>236836.688596219/(10^3)</f>
        <v>236.83668859621901</v>
      </c>
      <c r="T9" s="11">
        <f>226886.595163733/(10^3)</f>
        <v>226.88659516373301</v>
      </c>
      <c r="U9" s="11">
        <f>224438.966153926/(10^3)</f>
        <v>224.438966153926</v>
      </c>
      <c r="V9" s="11">
        <f>220342.048975794/(10^3)</f>
        <v>220.342048975794</v>
      </c>
      <c r="W9" s="11">
        <v>225.26376353477596</v>
      </c>
      <c r="X9" s="11">
        <f>227604.580632046/(10^3)</f>
        <v>227.60458063204601</v>
      </c>
      <c r="Y9" s="11">
        <f>224306.27561978/(10^3)</f>
        <v>224.30627561978</v>
      </c>
      <c r="Z9" s="11">
        <f>232053.15409708/(10^3)</f>
        <v>232.05315409708001</v>
      </c>
      <c r="AA9" s="11">
        <f>235617.153075786/(10^3)</f>
        <v>235.61715307578598</v>
      </c>
      <c r="AB9" s="11">
        <f>237109.443679799/(10^3)</f>
        <v>237.109443679799</v>
      </c>
      <c r="AC9" s="11">
        <v>237.5324047607092</v>
      </c>
      <c r="AD9" s="11">
        <f>246469.904404663/(10^3)</f>
        <v>246.469904404663</v>
      </c>
      <c r="AE9" s="11">
        <f>241718.481288072/(10^3)</f>
        <v>241.71848128807201</v>
      </c>
      <c r="AF9" s="11">
        <f>241663.29375256/(10^3)</f>
        <v>241.66329375256001</v>
      </c>
      <c r="AG9" s="11">
        <f>240968.273398008/(10^3)</f>
        <v>240.96827339800799</v>
      </c>
      <c r="AH9" s="11">
        <f>249464.88180969/(10^3)</f>
        <v>249.46488180969001</v>
      </c>
      <c r="AI9" s="11">
        <v>257.28854729034123</v>
      </c>
      <c r="AJ9" s="11">
        <f>250962.360510597/(10^3)</f>
        <v>250.96236051059699</v>
      </c>
      <c r="AK9" s="11">
        <f>258417.249172678/(10^3)</f>
        <v>258.417249172678</v>
      </c>
      <c r="AL9" s="11">
        <f>269642.084077056/(10^3)</f>
        <v>269.64208407705598</v>
      </c>
      <c r="AM9" s="11">
        <f>281303.160415308/(10^3)</f>
        <v>281.30316041530801</v>
      </c>
      <c r="AN9" s="11">
        <f>291953.567561711/(10^3)</f>
        <v>291.953567561711</v>
      </c>
      <c r="AO9" s="11">
        <v>298.82227925175533</v>
      </c>
      <c r="AP9" s="11">
        <f>307300.540214099/(10^3)</f>
        <v>307.30054021409899</v>
      </c>
      <c r="AQ9" s="11">
        <f>303872.243669193/(10^3)</f>
        <v>303.87224366919298</v>
      </c>
      <c r="AR9" s="11">
        <f>299744.115465117/(10^3)</f>
        <v>299.74411546511698</v>
      </c>
      <c r="AS9" s="11">
        <f>291149.384268906/(10^3)</f>
        <v>291.14938426890603</v>
      </c>
      <c r="AT9" s="11">
        <f>296855.10398889/(10^3)</f>
        <v>296.85510398888999</v>
      </c>
      <c r="AU9" s="11">
        <v>309.95463081831338</v>
      </c>
      <c r="AV9" s="11">
        <f>323804.198746531/(10^3)</f>
        <v>323.80419874653097</v>
      </c>
      <c r="AW9" s="11">
        <f>326496.212559367/(10^3)</f>
        <v>326.496212559367</v>
      </c>
      <c r="AX9" s="11">
        <f>338247.259220362/(10^3)</f>
        <v>338.24725922036203</v>
      </c>
      <c r="AY9" s="11">
        <f>348311.982369033/(10^3)</f>
        <v>348.31198236903299</v>
      </c>
      <c r="AZ9" s="11">
        <f>349773.922382644/(10^3)</f>
        <v>349.773922382644</v>
      </c>
      <c r="BA9" s="11">
        <v>364.32077463196941</v>
      </c>
      <c r="BB9" s="11">
        <f>366297.660394133/(10^3)</f>
        <v>366.297660394133</v>
      </c>
      <c r="BC9" s="11">
        <f>365047.170261542/(10^3)</f>
        <v>365.04717026154202</v>
      </c>
      <c r="BD9" s="11">
        <f>353003.291349564/(10^3)</f>
        <v>353.00329134956399</v>
      </c>
      <c r="BE9" s="11">
        <f>345299.656052641/(10^3)</f>
        <v>345.29965605264101</v>
      </c>
      <c r="BF9" s="11">
        <f>345515.933191686/(10^3)</f>
        <v>345.51593319168597</v>
      </c>
      <c r="BG9" s="11">
        <v>361.97721957928047</v>
      </c>
      <c r="BH9" s="11">
        <f>351466.724448306/(10^3)</f>
        <v>351.46672444830602</v>
      </c>
      <c r="BI9" s="11">
        <f>352050.137358848/(10^3)</f>
        <v>352.05013735884802</v>
      </c>
      <c r="BJ9" s="11">
        <f>357822.167287486/(10^3)</f>
        <v>357.82216728748602</v>
      </c>
      <c r="BK9" s="11">
        <f>370489.26154545/(10^3)</f>
        <v>370.48926154545001</v>
      </c>
      <c r="BL9" s="11">
        <f>374461.248154484/(10^3)</f>
        <v>374.46124815448405</v>
      </c>
      <c r="BM9" s="11">
        <v>389.9831157923719</v>
      </c>
      <c r="BN9" s="11">
        <f>393426.065045406/(10^3)</f>
        <v>393.42606504540601</v>
      </c>
      <c r="BO9" s="11">
        <f>376367.700792477/(10^3)</f>
        <v>376.36770079247702</v>
      </c>
      <c r="BP9" s="11">
        <f>373372.959662042/(10^3)</f>
        <v>373.37295966204198</v>
      </c>
      <c r="BQ9" s="11">
        <f>366788.412572907/(10^3)</f>
        <v>366.78841257290702</v>
      </c>
      <c r="BR9" s="11">
        <f>358812.993159145/(10^3)</f>
        <v>358.81299315914498</v>
      </c>
      <c r="BS9" s="11">
        <v>367.40092477153598</v>
      </c>
      <c r="BT9" s="11">
        <f>369796.803652205/(10^3)</f>
        <v>369.79680365220497</v>
      </c>
      <c r="BU9" s="11">
        <f>372979.270038048/(10^3)</f>
        <v>372.97927003804796</v>
      </c>
      <c r="BV9" s="11">
        <f>383320.687084103/(10^3)</f>
        <v>383.32068708410299</v>
      </c>
      <c r="BW9" s="11">
        <f>401217.647211031/(10^3)</f>
        <v>401.21764721103102</v>
      </c>
      <c r="BX9" s="11">
        <f>404779.005730774/(10^3)</f>
        <v>404.77900573077403</v>
      </c>
      <c r="BY9" s="11">
        <v>417.93055941205824</v>
      </c>
      <c r="BZ9" s="11">
        <f>406152.680108267/(10^3)</f>
        <v>406.15268010826702</v>
      </c>
      <c r="CA9" s="11">
        <f>401767.575726734/(10^3)</f>
        <v>401.76757572673398</v>
      </c>
      <c r="CB9" s="11">
        <f>382663.796758516/(10^3)</f>
        <v>382.66379675851601</v>
      </c>
      <c r="CC9" s="12"/>
      <c r="DD9" s="11"/>
      <c r="DE9" s="11"/>
      <c r="DF9" s="11"/>
    </row>
    <row r="10" spans="1:110" x14ac:dyDescent="0.25">
      <c r="D10" s="10" t="s">
        <v>81</v>
      </c>
      <c r="E10" s="10" t="s">
        <v>49</v>
      </c>
      <c r="F10" s="10" t="s">
        <v>150</v>
      </c>
      <c r="G10" s="10"/>
      <c r="H10" s="67" t="str">
        <f>CONCATENATE(D10," ",G10)</f>
        <v xml:space="preserve">Wilmington </v>
      </c>
      <c r="I10" s="11">
        <f>250444/(10^3)</f>
        <v>250.44399999999999</v>
      </c>
      <c r="J10" s="11">
        <f>243355.528412885/(10^3)</f>
        <v>243.35552841288501</v>
      </c>
      <c r="K10" s="11">
        <v>236.60491137431293</v>
      </c>
      <c r="L10" s="11">
        <f>232962.741104965/(10^3)</f>
        <v>232.962741104965</v>
      </c>
      <c r="M10" s="11">
        <f>231590.441495484/(10^3)</f>
        <v>231.59044149548401</v>
      </c>
      <c r="N10" s="11">
        <f>253974.125766348/(10^3)</f>
        <v>253.97412576634801</v>
      </c>
      <c r="O10" s="11">
        <f>258262.346617669/(10^3)</f>
        <v>258.26234661766904</v>
      </c>
      <c r="P10" s="11">
        <f>264155.286507392/(10^3)</f>
        <v>264.15528650739202</v>
      </c>
      <c r="Q10" s="11">
        <v>270.60821759904422</v>
      </c>
      <c r="R10" s="11">
        <f>268533.956036393/(10^3)</f>
        <v>268.53395603639302</v>
      </c>
      <c r="S10" s="11">
        <f>264082.559482729/(10^3)</f>
        <v>264.08255948272898</v>
      </c>
      <c r="T10" s="11">
        <f>253364.212648643/(10^3)</f>
        <v>253.36421264864302</v>
      </c>
      <c r="U10" s="11">
        <f>251212.480481271/(10^3)</f>
        <v>251.212480481271</v>
      </c>
      <c r="V10" s="11">
        <f>252479.938553098/(10^3)</f>
        <v>252.47993855309801</v>
      </c>
      <c r="W10" s="11">
        <v>245.92525064553374</v>
      </c>
      <c r="X10" s="11">
        <f>243247.323330501/(10^3)</f>
        <v>243.24732333050102</v>
      </c>
      <c r="Y10" s="11">
        <f>238839.663539552/(10^3)</f>
        <v>238.83966353955202</v>
      </c>
      <c r="Z10" s="11">
        <f>238731.961841388/(10^3)</f>
        <v>238.731961841388</v>
      </c>
      <c r="AA10" s="11">
        <f>241984.944197371/(10^3)</f>
        <v>241.98494419737099</v>
      </c>
      <c r="AB10" s="11">
        <f>246143.342282805/(10^3)</f>
        <v>246.14334228280501</v>
      </c>
      <c r="AC10" s="11">
        <v>248.56919723168426</v>
      </c>
      <c r="AD10" s="11">
        <f>243890.629199843/(10^3)</f>
        <v>243.890629199843</v>
      </c>
      <c r="AE10" s="11">
        <f>233036.554045469/(10^3)</f>
        <v>233.03655404546902</v>
      </c>
      <c r="AF10" s="11">
        <f>227948.683031837/(10^3)</f>
        <v>227.94868303183699</v>
      </c>
      <c r="AG10" s="11">
        <f>222307.363344608/(10^3)</f>
        <v>222.30736334460798</v>
      </c>
      <c r="AH10" s="11">
        <f>228065.544483439/(10^3)</f>
        <v>228.065544483439</v>
      </c>
      <c r="AI10" s="11">
        <v>226.41126825511193</v>
      </c>
      <c r="AJ10" s="11">
        <f>227367.945574567/(10^3)</f>
        <v>227.36794557456702</v>
      </c>
      <c r="AK10" s="11">
        <f>233534.812072967/(10^3)</f>
        <v>233.53481207296701</v>
      </c>
      <c r="AL10" s="11">
        <f>242341.219101849/(10^3)</f>
        <v>242.34121910184902</v>
      </c>
      <c r="AM10" s="11">
        <f>249810.225283338/(10^3)</f>
        <v>249.81022528333799</v>
      </c>
      <c r="AN10" s="11">
        <f>255261.233329988/(10^3)</f>
        <v>255.26123332998799</v>
      </c>
      <c r="AO10" s="11">
        <v>261.92616015355202</v>
      </c>
      <c r="AP10" s="11">
        <f>260046.931842467/(10^3)</f>
        <v>260.04693184246702</v>
      </c>
      <c r="AQ10" s="11">
        <f>255720.679362197/(10^3)</f>
        <v>255.72067936219699</v>
      </c>
      <c r="AR10" s="11">
        <f>248053.249149786/(10^3)</f>
        <v>248.05324914978598</v>
      </c>
      <c r="AS10" s="11">
        <f>242880.449189763/(10^3)</f>
        <v>242.880449189763</v>
      </c>
      <c r="AT10" s="11">
        <f>245473.698539261/(10^3)</f>
        <v>245.47369853926099</v>
      </c>
      <c r="AU10" s="11">
        <v>253.62392419064315</v>
      </c>
      <c r="AV10" s="11">
        <f>263059.003945424/(10^3)</f>
        <v>263.05900394542397</v>
      </c>
      <c r="AW10" s="11">
        <f>268729.501227408/(10^3)</f>
        <v>268.72950122740798</v>
      </c>
      <c r="AX10" s="11">
        <f>282833.503460634/(10^3)</f>
        <v>282.83350346063395</v>
      </c>
      <c r="AY10" s="11">
        <f>294818.608814624/(10^3)</f>
        <v>294.81860881462404</v>
      </c>
      <c r="AZ10" s="11">
        <f>301816.131371101/(10^3)</f>
        <v>301.81613137110099</v>
      </c>
      <c r="BA10" s="11">
        <v>305.5880103594186</v>
      </c>
      <c r="BB10" s="11">
        <f>315613.120794162/(10^3)</f>
        <v>315.613120794162</v>
      </c>
      <c r="BC10" s="11">
        <f>297915.068596369/(10^3)</f>
        <v>297.915068596369</v>
      </c>
      <c r="BD10" s="11">
        <f>295244.542309337/(10^3)</f>
        <v>295.24454230933702</v>
      </c>
      <c r="BE10" s="11">
        <f>286582.857462722/(10^3)</f>
        <v>286.58285746272202</v>
      </c>
      <c r="BF10" s="11">
        <f>283279.025736984/(10^3)</f>
        <v>283.27902573698395</v>
      </c>
      <c r="BG10" s="11">
        <v>291.12312714363264</v>
      </c>
      <c r="BH10" s="11">
        <f>285958.076953613/(10^3)</f>
        <v>285.95807695361304</v>
      </c>
      <c r="BI10" s="11">
        <f>279002.74314665/(10^3)</f>
        <v>279.00274314665</v>
      </c>
      <c r="BJ10" s="11">
        <f>287616.3548703/(10^3)</f>
        <v>287.61635487029997</v>
      </c>
      <c r="BK10" s="11">
        <f>284512.954239632/(10^3)</f>
        <v>284.51295423963199</v>
      </c>
      <c r="BL10" s="11">
        <f>283182.936131644/(10^3)</f>
        <v>283.182936131644</v>
      </c>
      <c r="BM10" s="11">
        <v>274.70642611334222</v>
      </c>
      <c r="BN10" s="11">
        <f>280099.828254112/(10^3)</f>
        <v>280.09982825411197</v>
      </c>
      <c r="BO10" s="11">
        <f>257884.661005789/(10^3)</f>
        <v>257.88466100578898</v>
      </c>
      <c r="BP10" s="11">
        <f>245176.592061483/(10^3)</f>
        <v>245.17659206148301</v>
      </c>
      <c r="BQ10" s="11">
        <f>239912.719434428/(10^3)</f>
        <v>239.912719434428</v>
      </c>
      <c r="BR10" s="11">
        <f>244894.326009134/(10^3)</f>
        <v>244.89432600913401</v>
      </c>
      <c r="BS10" s="11">
        <v>245.89387251157609</v>
      </c>
      <c r="BT10" s="11">
        <f>246502.15085431/(10^3)</f>
        <v>246.50215085431</v>
      </c>
      <c r="BU10" s="11">
        <f>246664.302751546/(10^3)</f>
        <v>246.66430275154599</v>
      </c>
      <c r="BV10" s="11">
        <f>260996.999474072/(10^3)</f>
        <v>260.99699947407203</v>
      </c>
      <c r="BW10" s="11">
        <f>263540.926365246/(10^3)</f>
        <v>263.54092636524598</v>
      </c>
      <c r="BX10" s="11">
        <f>273459.706361377/(10^3)</f>
        <v>273.45970636137696</v>
      </c>
      <c r="BY10" s="11">
        <v>273.90993609297777</v>
      </c>
      <c r="BZ10" s="11">
        <f>279729.558518527/(10^3)</f>
        <v>279.72955851852703</v>
      </c>
      <c r="CA10" s="11">
        <f>253751.408241729/(10^3)</f>
        <v>253.751408241729</v>
      </c>
      <c r="CB10" s="11">
        <f>251816.886847934/(10^3)</f>
        <v>251.816886847934</v>
      </c>
      <c r="CC10" s="12"/>
      <c r="DD10" s="11"/>
      <c r="DE10" s="11"/>
      <c r="DF10" s="11"/>
    </row>
    <row r="11" spans="1:110" x14ac:dyDescent="0.25">
      <c r="D11" s="10" t="s">
        <v>82</v>
      </c>
      <c r="E11" s="10" t="s">
        <v>52</v>
      </c>
      <c r="F11" s="10" t="s">
        <v>180</v>
      </c>
      <c r="G11" s="10"/>
      <c r="H11" s="67" t="str">
        <f>CONCATENATE(D11," ",G11)</f>
        <v xml:space="preserve">Boston </v>
      </c>
      <c r="I11" s="11">
        <f>418862/(10^3)</f>
        <v>418.86200000000002</v>
      </c>
      <c r="J11" s="11">
        <f>434017.149806292/(10^3)</f>
        <v>434.01714980629203</v>
      </c>
      <c r="K11" s="11">
        <v>423.11152576368698</v>
      </c>
      <c r="L11" s="11">
        <f>431993.189131992/(10^3)</f>
        <v>431.99318913199198</v>
      </c>
      <c r="M11" s="11">
        <f>439238.101927608/(10^3)</f>
        <v>439.238101927608</v>
      </c>
      <c r="N11" s="11">
        <f>457087.752862882/(10^3)</f>
        <v>457.08775286288198</v>
      </c>
      <c r="O11" s="11">
        <f>476853.323807506/(10^3)</f>
        <v>476.853323807506</v>
      </c>
      <c r="P11" s="11">
        <f>482045.005112134/(10^3)</f>
        <v>482.04500511213399</v>
      </c>
      <c r="Q11" s="11">
        <v>498.69602766464703</v>
      </c>
      <c r="R11" s="11">
        <f>520230.964492718/(10^3)</f>
        <v>520.23096449271804</v>
      </c>
      <c r="S11" s="11">
        <f>514707.667424795/(10^3)</f>
        <v>514.70766742479498</v>
      </c>
      <c r="T11" s="11">
        <f>508484.101108304/(10^3)</f>
        <v>508.484101108304</v>
      </c>
      <c r="U11" s="11">
        <f>496647.454767075/(10^3)</f>
        <v>496.64745476707503</v>
      </c>
      <c r="V11" s="11">
        <f>493889.124892549/(10^3)</f>
        <v>493.88912489254903</v>
      </c>
      <c r="W11" s="11">
        <v>508.25225025915233</v>
      </c>
      <c r="X11" s="11">
        <f>509893.278510875/(10^3)</f>
        <v>509.89327851087501</v>
      </c>
      <c r="Y11" s="11">
        <f>506776.556420315/(10^3)</f>
        <v>506.77655642031499</v>
      </c>
      <c r="Z11" s="11">
        <f>494343.240047122/(10^3)</f>
        <v>494.34324004712198</v>
      </c>
      <c r="AA11" s="11">
        <f>512420.450466506/(10^3)</f>
        <v>512.42045046650605</v>
      </c>
      <c r="AB11" s="11">
        <f>535845.177870748/(10^3)</f>
        <v>535.84517787074799</v>
      </c>
      <c r="AC11" s="11">
        <v>537.79076007465073</v>
      </c>
      <c r="AD11" s="11">
        <f>541132.389616972/(10^3)</f>
        <v>541.13238961697198</v>
      </c>
      <c r="AE11" s="11">
        <f>505655.997446667/(10^3)</f>
        <v>505.65599744666702</v>
      </c>
      <c r="AF11" s="11">
        <f>485581.566722143/(10^3)</f>
        <v>485.58156672214295</v>
      </c>
      <c r="AG11" s="11">
        <f>481265.872077806/(10^3)</f>
        <v>481.26587207780597</v>
      </c>
      <c r="AH11" s="11">
        <f>488410.273891496/(10^3)</f>
        <v>488.41027389149599</v>
      </c>
      <c r="AI11" s="11">
        <v>477.89450958499123</v>
      </c>
      <c r="AJ11" s="11">
        <f>484399.23675448/(10^3)</f>
        <v>484.39923675448</v>
      </c>
      <c r="AK11" s="11">
        <f>506784.983288336/(10^3)</f>
        <v>506.78498328833604</v>
      </c>
      <c r="AL11" s="11">
        <f>546242.328274318/(10^3)</f>
        <v>546.24232827431797</v>
      </c>
      <c r="AM11" s="11">
        <f>568117.572894887/(10^3)</f>
        <v>568.11757289488696</v>
      </c>
      <c r="AN11" s="11">
        <f>583693.662339845/(10^3)</f>
        <v>583.69366233984499</v>
      </c>
      <c r="AO11" s="11">
        <v>596.79912362806022</v>
      </c>
      <c r="AP11" s="11">
        <f>583096.930683837/(10^3)</f>
        <v>583.09693068383706</v>
      </c>
      <c r="AQ11" s="11">
        <f>566175.851201804/(10^3)</f>
        <v>566.17585120180399</v>
      </c>
      <c r="AR11" s="11">
        <f>549342.669559702/(10^3)</f>
        <v>549.34266955970202</v>
      </c>
      <c r="AS11" s="11">
        <f>543035.118150022/(10^3)</f>
        <v>543.03511815002196</v>
      </c>
      <c r="AT11" s="11">
        <f>556492.151023258/(10^3)</f>
        <v>556.49215102325797</v>
      </c>
      <c r="AU11" s="11">
        <v>579.13261396874816</v>
      </c>
      <c r="AV11" s="11">
        <f>577041.565196905/(10^3)</f>
        <v>577.04156519690503</v>
      </c>
      <c r="AW11" s="11">
        <f>591144.464176026/(10^3)</f>
        <v>591.14446417602608</v>
      </c>
      <c r="AX11" s="11">
        <f>637167.257527713/(10^3)</f>
        <v>637.16725752771299</v>
      </c>
      <c r="AY11" s="11">
        <f>666166.922188627/(10^3)</f>
        <v>666.16692218862693</v>
      </c>
      <c r="AZ11" s="11">
        <f>673006.076261089/(10^3)</f>
        <v>673.00607626108899</v>
      </c>
      <c r="BA11" s="11">
        <v>686.57168806102788</v>
      </c>
      <c r="BB11" s="11">
        <f>719318.496091906/(10^3)</f>
        <v>719.31849609190601</v>
      </c>
      <c r="BC11" s="11">
        <f>655337.6761811/(10^3)</f>
        <v>655.33767618109994</v>
      </c>
      <c r="BD11" s="11">
        <f>635322.134893468/(10^3)</f>
        <v>635.32213489346805</v>
      </c>
      <c r="BE11" s="11">
        <f>626258.090296824/(10^3)</f>
        <v>626.25809029682398</v>
      </c>
      <c r="BF11" s="11">
        <f>643091.962200436/(10^3)</f>
        <v>643.091962200436</v>
      </c>
      <c r="BG11" s="11">
        <v>640.61296255042635</v>
      </c>
      <c r="BH11" s="11">
        <f>661557.599026919/(10^3)</f>
        <v>661.55759902691898</v>
      </c>
      <c r="BI11" s="11">
        <f>680862.799861718/(10^3)</f>
        <v>680.86279986171792</v>
      </c>
      <c r="BJ11" s="11">
        <f>704085.333358943/(10^3)</f>
        <v>704.08533335894299</v>
      </c>
      <c r="BK11" s="11">
        <f>696225.163171438/(10^3)</f>
        <v>696.225163171438</v>
      </c>
      <c r="BL11" s="11">
        <f>725690.6013695/(10^3)</f>
        <v>725.69060136950009</v>
      </c>
      <c r="BM11" s="11">
        <v>720.39235298907954</v>
      </c>
      <c r="BN11" s="11">
        <f>718479.351844481/(10^3)</f>
        <v>718.47935184448102</v>
      </c>
      <c r="BO11" s="11">
        <f>672553.374552538/(10^3)</f>
        <v>672.553374552538</v>
      </c>
      <c r="BP11" s="11">
        <f>669081.840616465/(10^3)</f>
        <v>669.081840616465</v>
      </c>
      <c r="BQ11" s="11">
        <f>663691.646912497/(10^3)</f>
        <v>663.69164691249705</v>
      </c>
      <c r="BR11" s="11">
        <f>694244.00993735/(10^3)</f>
        <v>694.24400993735003</v>
      </c>
      <c r="BS11" s="11">
        <v>726.01816824407661</v>
      </c>
      <c r="BT11" s="11">
        <f>715824.715439572/(10^3)</f>
        <v>715.82471543957195</v>
      </c>
      <c r="BU11" s="11">
        <f>736904.731538992/(10^3)</f>
        <v>736.904731538992</v>
      </c>
      <c r="BV11" s="11">
        <f>778012.415010361/(10^3)</f>
        <v>778.012415010361</v>
      </c>
      <c r="BW11" s="11">
        <f>803185.525023921/(10^3)</f>
        <v>803.18552502392106</v>
      </c>
      <c r="BX11" s="11">
        <f>805012.762912815/(10^3)</f>
        <v>805.01276291281499</v>
      </c>
      <c r="BY11" s="11">
        <v>833.33854922533874</v>
      </c>
      <c r="BZ11" s="11">
        <f>822440.290361275/(10^3)</f>
        <v>822.44029036127495</v>
      </c>
      <c r="CA11" s="11">
        <f>800388.435006347/(10^3)</f>
        <v>800.38843500634698</v>
      </c>
      <c r="CB11" s="11">
        <f>787892.203635249/(10^3)</f>
        <v>787.89220363524907</v>
      </c>
      <c r="CC11" s="12"/>
      <c r="DD11" s="11"/>
      <c r="DE11" s="11"/>
      <c r="DF11" s="11"/>
    </row>
    <row r="12" spans="1:110" x14ac:dyDescent="0.25">
      <c r="D12" s="10" t="s">
        <v>84</v>
      </c>
      <c r="E12" s="10" t="s">
        <v>53</v>
      </c>
      <c r="F12" s="10" t="s">
        <v>150</v>
      </c>
      <c r="G12" s="10"/>
      <c r="H12" s="67" t="str">
        <f>CONCATENATE(D12," ",G12)</f>
        <v xml:space="preserve">Annapolis </v>
      </c>
      <c r="I12" s="11">
        <f>1037699/(10^3)</f>
        <v>1037.6990000000001</v>
      </c>
      <c r="J12" s="11">
        <f>1067288.78727128/(10^3)</f>
        <v>1067.2887872712802</v>
      </c>
      <c r="K12" s="11">
        <v>1038.4282415608138</v>
      </c>
      <c r="L12" s="11">
        <f>1020083.74013691/(10^3)</f>
        <v>1020.08374013691</v>
      </c>
      <c r="M12" s="11">
        <f>1007235.28690848/(10^3)</f>
        <v>1007.23528690848</v>
      </c>
      <c r="N12" s="11">
        <f>1024976.32414874/(10^3)</f>
        <v>1024.9763241487401</v>
      </c>
      <c r="O12" s="11">
        <f>1060362.52723919/(10^3)</f>
        <v>1060.3625272391901</v>
      </c>
      <c r="P12" s="11">
        <f>1086452.25970161/(10^3)</f>
        <v>1086.45225970161</v>
      </c>
      <c r="Q12" s="11">
        <v>1131.0687541637378</v>
      </c>
      <c r="R12" s="11">
        <f>1182699.03711572/(10^3)</f>
        <v>1182.6990371157201</v>
      </c>
      <c r="S12" s="11">
        <f>1137294.7293361/(10^3)</f>
        <v>1137.2947293360999</v>
      </c>
      <c r="T12" s="11">
        <f>1107595.27782085/(10^3)</f>
        <v>1107.59527782085</v>
      </c>
      <c r="U12" s="11">
        <f>1097044.21294669/(10^3)</f>
        <v>1097.0442129466899</v>
      </c>
      <c r="V12" s="11">
        <f>1090075.32190266/(10^3)</f>
        <v>1090.0753219026599</v>
      </c>
      <c r="W12" s="11">
        <v>1060.4515576296444</v>
      </c>
      <c r="X12" s="11">
        <f>1113163.64644996/(10^3)</f>
        <v>1113.16364644996</v>
      </c>
      <c r="Y12" s="11">
        <f>1086439.71781153/(10^3)</f>
        <v>1086.43971781153</v>
      </c>
      <c r="Z12" s="11">
        <f>1089439.60067833/(10^3)</f>
        <v>1089.43960067833</v>
      </c>
      <c r="AA12" s="11">
        <f>1108904.91872391/(10^3)</f>
        <v>1108.9049187239102</v>
      </c>
      <c r="AB12" s="11">
        <f>1126583.13748724/(10^3)</f>
        <v>1126.5831374872398</v>
      </c>
      <c r="AC12" s="11">
        <v>1176.5695084947022</v>
      </c>
      <c r="AD12" s="11">
        <f>1222171.91880882/(10^3)</f>
        <v>1222.17191880882</v>
      </c>
      <c r="AE12" s="11">
        <f>1175741.87472116/(10^3)</f>
        <v>1175.74187472116</v>
      </c>
      <c r="AF12" s="11">
        <f>1113286.94946036/(10^3)</f>
        <v>1113.2869494603599</v>
      </c>
      <c r="AG12" s="11">
        <f>1090120.98224412/(10^3)</f>
        <v>1090.1209822441199</v>
      </c>
      <c r="AH12" s="11">
        <f>1144214.46887788/(10^3)</f>
        <v>1144.2144688778799</v>
      </c>
      <c r="AI12" s="11">
        <v>1179.5440428657346</v>
      </c>
      <c r="AJ12" s="11">
        <f>1214987.0499577/(10^3)</f>
        <v>1214.9870499577</v>
      </c>
      <c r="AK12" s="11">
        <f>1188293.59224791/(10^3)</f>
        <v>1188.2935922479101</v>
      </c>
      <c r="AL12" s="11">
        <f>1197190.57949443/(10^3)</f>
        <v>1197.19057949443</v>
      </c>
      <c r="AM12" s="11">
        <f>1249742.07535895/(10^3)</f>
        <v>1249.7420753589502</v>
      </c>
      <c r="AN12" s="11">
        <f>1277456.2650017/(10^3)</f>
        <v>1277.4562650017001</v>
      </c>
      <c r="AO12" s="11">
        <v>1296.6166515535915</v>
      </c>
      <c r="AP12" s="11">
        <f>1329516.96751683/(10^3)</f>
        <v>1329.5169675168299</v>
      </c>
      <c r="AQ12" s="11">
        <f>1291881.94063252/(10^3)</f>
        <v>1291.8819406325199</v>
      </c>
      <c r="AR12" s="11">
        <f>1232539.040792/(10^3)</f>
        <v>1232.5390407919999</v>
      </c>
      <c r="AS12" s="11">
        <f>1198765.30041421/(10^3)</f>
        <v>1198.7653004142101</v>
      </c>
      <c r="AT12" s="11">
        <f>1227523.65621341/(10^3)</f>
        <v>1227.52365621341</v>
      </c>
      <c r="AU12" s="11">
        <v>1258.3085678390601</v>
      </c>
      <c r="AV12" s="11">
        <f>1277703.76450858/(10^3)</f>
        <v>1277.70376450858</v>
      </c>
      <c r="AW12" s="11">
        <f>1310183.8288567/(10^3)</f>
        <v>1310.1838288567001</v>
      </c>
      <c r="AX12" s="11">
        <f>1393055.27924096/(10^3)</f>
        <v>1393.0552792409601</v>
      </c>
      <c r="AY12" s="11">
        <f>1431649.48373977/(10^3)</f>
        <v>1431.6494837397699</v>
      </c>
      <c r="AZ12" s="11">
        <f>1444069.9708818/(10^3)</f>
        <v>1444.0699708817999</v>
      </c>
      <c r="BA12" s="11">
        <v>1508.0500445427515</v>
      </c>
      <c r="BB12" s="11">
        <f>1567706.54280048/(10^3)</f>
        <v>1567.7065428004801</v>
      </c>
      <c r="BC12" s="11">
        <f>1447276.1596975/(10^3)</f>
        <v>1447.2761596975001</v>
      </c>
      <c r="BD12" s="11">
        <f>1408349.48803951/(10^3)</f>
        <v>1408.3494880395101</v>
      </c>
      <c r="BE12" s="11">
        <f>1402643.19032762/(10^3)</f>
        <v>1402.64319032762</v>
      </c>
      <c r="BF12" s="11">
        <f>1387704.45404233/(10^3)</f>
        <v>1387.7044540423299</v>
      </c>
      <c r="BG12" s="11">
        <v>1454.8771070568039</v>
      </c>
      <c r="BH12" s="11">
        <f>1497154.25582315/(10^3)</f>
        <v>1497.1542558231502</v>
      </c>
      <c r="BI12" s="11">
        <f>1480352.20102187/(10^3)</f>
        <v>1480.3522010218699</v>
      </c>
      <c r="BJ12" s="11">
        <f>1444669.84290402/(10^3)</f>
        <v>1444.66984290402</v>
      </c>
      <c r="BK12" s="11">
        <f>1504239.13589207/(10^3)</f>
        <v>1504.23913589207</v>
      </c>
      <c r="BL12" s="11">
        <f>1543336.25969364/(10^3)</f>
        <v>1543.3362596936402</v>
      </c>
      <c r="BM12" s="11">
        <v>1597.9966147325022</v>
      </c>
      <c r="BN12" s="11">
        <f>1654032.87068425/(10^3)</f>
        <v>1654.0328706842499</v>
      </c>
      <c r="BO12" s="11">
        <f>1503833.0152624/(10^3)</f>
        <v>1503.8330152624001</v>
      </c>
      <c r="BP12" s="11">
        <f>1466858.01809382/(10^3)</f>
        <v>1466.85801809382</v>
      </c>
      <c r="BQ12" s="11">
        <f>1440542.46147065/(10^3)</f>
        <v>1440.5424614706501</v>
      </c>
      <c r="BR12" s="11">
        <f>1419535.62321514/(10^3)</f>
        <v>1419.53562321514</v>
      </c>
      <c r="BS12" s="11">
        <v>1443.765164237024</v>
      </c>
      <c r="BT12" s="11">
        <f>1438453.31996591/(10^3)</f>
        <v>1438.4533199659099</v>
      </c>
      <c r="BU12" s="11">
        <f>1467358.18576406/(10^3)</f>
        <v>1467.35818576406</v>
      </c>
      <c r="BV12" s="11">
        <f>1605072.09557432/(10^3)</f>
        <v>1605.07209557432</v>
      </c>
      <c r="BW12" s="11">
        <f>1637582.14388631/(10^3)</f>
        <v>1637.58214388631</v>
      </c>
      <c r="BX12" s="11">
        <f>1662401.9141473/(10^3)</f>
        <v>1662.4019141473</v>
      </c>
      <c r="BY12" s="11">
        <v>1738.1331381876894</v>
      </c>
      <c r="BZ12" s="11">
        <f>1740148.83699447/(10^3)</f>
        <v>1740.14883699447</v>
      </c>
      <c r="CA12" s="11">
        <f>1623136.04269568/(10^3)</f>
        <v>1623.1360426956799</v>
      </c>
      <c r="CB12" s="11">
        <f>1587829.43700163/(10^3)</f>
        <v>1587.8294370016299</v>
      </c>
      <c r="CC12" s="12"/>
      <c r="DD12" s="11"/>
      <c r="DE12" s="11"/>
      <c r="DF12" s="11"/>
    </row>
    <row r="13" spans="1:110" x14ac:dyDescent="0.25">
      <c r="D13" s="10" t="s">
        <v>85</v>
      </c>
      <c r="E13" s="10" t="s">
        <v>53</v>
      </c>
      <c r="F13" s="10" t="s">
        <v>150</v>
      </c>
      <c r="G13" s="10"/>
      <c r="H13" s="67" t="str">
        <f>CONCATENATE(D13," ",G13)</f>
        <v xml:space="preserve">Baltimore </v>
      </c>
      <c r="I13" s="11">
        <f>1203964/(10^3)</f>
        <v>1203.9639999999999</v>
      </c>
      <c r="J13" s="11">
        <f>1245168.65129479/(10^3)</f>
        <v>1245.1686512947899</v>
      </c>
      <c r="K13" s="11">
        <v>1237.6621626918868</v>
      </c>
      <c r="L13" s="11">
        <f>1227360.21479529/(10^3)</f>
        <v>1227.3602147952899</v>
      </c>
      <c r="M13" s="11">
        <f>1284189.29222322/(10^3)</f>
        <v>1284.18929222322</v>
      </c>
      <c r="N13" s="11">
        <f>1334447.36209835/(10^3)</f>
        <v>1334.4473620983499</v>
      </c>
      <c r="O13" s="11">
        <f>1343253.07182241/(10^3)</f>
        <v>1343.25307182241</v>
      </c>
      <c r="P13" s="11">
        <f>1347765.61918033/(10^3)</f>
        <v>1347.7656191803301</v>
      </c>
      <c r="Q13" s="11">
        <v>1404.5698593011659</v>
      </c>
      <c r="R13" s="11">
        <f>1367081.67816842/(10^3)</f>
        <v>1367.08167816842</v>
      </c>
      <c r="S13" s="11">
        <f>1351815.27653578/(10^3)</f>
        <v>1351.81527653578</v>
      </c>
      <c r="T13" s="11">
        <f>1297769.05982769/(10^3)</f>
        <v>1297.7690598276899</v>
      </c>
      <c r="U13" s="11">
        <f>1272407.34552039/(10^3)</f>
        <v>1272.40734552039</v>
      </c>
      <c r="V13" s="11">
        <f>1250065.80711511/(10^3)</f>
        <v>1250.0658071151101</v>
      </c>
      <c r="W13" s="11">
        <v>1273.7327956458289</v>
      </c>
      <c r="X13" s="11">
        <f>1308965.53966105/(10^3)</f>
        <v>1308.9655396610501</v>
      </c>
      <c r="Y13" s="11">
        <f>1354043.97638047/(10^3)</f>
        <v>1354.04397638047</v>
      </c>
      <c r="Z13" s="11">
        <f>1342535.46840312/(10^3)</f>
        <v>1342.5354684031201</v>
      </c>
      <c r="AA13" s="11">
        <f>1353051.98004166/(10^3)</f>
        <v>1353.0519800416598</v>
      </c>
      <c r="AB13" s="11">
        <f>1404177.65478954/(10^3)</f>
        <v>1404.1776547895399</v>
      </c>
      <c r="AC13" s="11">
        <v>1456.4191037790292</v>
      </c>
      <c r="AD13" s="11">
        <f>1481329.15362493/(10^3)</f>
        <v>1481.3291536249299</v>
      </c>
      <c r="AE13" s="11">
        <f>1497029.49467177/(10^3)</f>
        <v>1497.02949467177</v>
      </c>
      <c r="AF13" s="11">
        <f>1498455.90186315/(10^3)</f>
        <v>1498.4559018631501</v>
      </c>
      <c r="AG13" s="11">
        <f>1524447.29317743/(10^3)</f>
        <v>1524.4472931774301</v>
      </c>
      <c r="AH13" s="11">
        <f>1552694.84998568/(10^3)</f>
        <v>1552.6948499856801</v>
      </c>
      <c r="AI13" s="11">
        <v>1592.614880746215</v>
      </c>
      <c r="AJ13" s="11">
        <f>1618391.6467044/(10^3)</f>
        <v>1618.3916467044</v>
      </c>
      <c r="AK13" s="11">
        <f>1609244.69139972/(10^3)</f>
        <v>1609.2446913997201</v>
      </c>
      <c r="AL13" s="11">
        <f>1711859.22936898/(10^3)</f>
        <v>1711.8592293689801</v>
      </c>
      <c r="AM13" s="11">
        <f>1720929.90816344/(10^3)</f>
        <v>1720.9299081634399</v>
      </c>
      <c r="AN13" s="11">
        <f>1775455.34893768/(10^3)</f>
        <v>1775.4553489376799</v>
      </c>
      <c r="AO13" s="11">
        <v>1845.5053308805534</v>
      </c>
      <c r="AP13" s="11">
        <f>1886961.56996153/(10^3)</f>
        <v>1886.9615699615299</v>
      </c>
      <c r="AQ13" s="11">
        <f>1837380.41546164/(10^3)</f>
        <v>1837.38041546164</v>
      </c>
      <c r="AR13" s="11">
        <f>1797538.39388045/(10^3)</f>
        <v>1797.53839388045</v>
      </c>
      <c r="AS13" s="11">
        <f>1762515.77434533/(10^3)</f>
        <v>1762.5157743453299</v>
      </c>
      <c r="AT13" s="11">
        <f>1710182.07383148/(10^3)</f>
        <v>1710.18207383148</v>
      </c>
      <c r="AU13" s="11">
        <v>1678.3493298923036</v>
      </c>
      <c r="AV13" s="11">
        <f>1733442.04977821/(10^3)</f>
        <v>1733.44204977821</v>
      </c>
      <c r="AW13" s="11">
        <f>1742843.45660091/(10^3)</f>
        <v>1742.84345660091</v>
      </c>
      <c r="AX13" s="11">
        <f>1801111.90594165/(10^3)</f>
        <v>1801.1119059416501</v>
      </c>
      <c r="AY13" s="11">
        <f>1814931.31460785/(10^3)</f>
        <v>1814.93131460785</v>
      </c>
      <c r="AZ13" s="11">
        <f>1879861.96773084/(10^3)</f>
        <v>1879.86196773084</v>
      </c>
      <c r="BA13" s="11">
        <v>1895.4534553623994</v>
      </c>
      <c r="BB13" s="11">
        <f>1972275.01176655/(10^3)</f>
        <v>1972.2750117665498</v>
      </c>
      <c r="BC13" s="11">
        <f>1965541.85508936/(10^3)</f>
        <v>1965.5418550893598</v>
      </c>
      <c r="BD13" s="11">
        <f>1883789.10184674/(10^3)</f>
        <v>1883.7891018467401</v>
      </c>
      <c r="BE13" s="11">
        <f>1870820.1315072/(10^3)</f>
        <v>1870.8201315071999</v>
      </c>
      <c r="BF13" s="11">
        <f>1899430.68315103/(10^3)</f>
        <v>1899.4306831510301</v>
      </c>
      <c r="BG13" s="11">
        <v>1901.0402607329897</v>
      </c>
      <c r="BH13" s="11">
        <f>1971604.5354082/(10^3)</f>
        <v>1971.6045354082</v>
      </c>
      <c r="BI13" s="11">
        <f>2035932.77619007/(10^3)</f>
        <v>2035.9327761900699</v>
      </c>
      <c r="BJ13" s="11">
        <f>2238326.15235012/(10^3)</f>
        <v>2238.3261523501196</v>
      </c>
      <c r="BK13" s="11">
        <f>2238925.16970613/(10^3)</f>
        <v>2238.92516970613</v>
      </c>
      <c r="BL13" s="11">
        <f>2349124.58040029/(10^3)</f>
        <v>2349.1245804002901</v>
      </c>
      <c r="BM13" s="11">
        <v>2459.5179548571346</v>
      </c>
      <c r="BN13" s="11">
        <f>2537062.42331801/(10^3)</f>
        <v>2537.0624233180097</v>
      </c>
      <c r="BO13" s="11">
        <f>2444701.09661492/(10^3)</f>
        <v>2444.7010966149201</v>
      </c>
      <c r="BP13" s="11">
        <f>2435975.15082882/(10^3)</f>
        <v>2435.97515082882</v>
      </c>
      <c r="BQ13" s="11">
        <f>2411976.69494959/(10^3)</f>
        <v>2411.9766949495902</v>
      </c>
      <c r="BR13" s="11">
        <f>2429032.1044294/(10^3)</f>
        <v>2429.0321044294001</v>
      </c>
      <c r="BS13" s="11">
        <v>2488.338925771232</v>
      </c>
      <c r="BT13" s="11">
        <f>2573036.00498506/(10^3)</f>
        <v>2573.0360049850601</v>
      </c>
      <c r="BU13" s="11">
        <f>2616533.59505634/(10^3)</f>
        <v>2616.5335950563399</v>
      </c>
      <c r="BV13" s="11">
        <f>2629852.36790555/(10^3)</f>
        <v>2629.8523679055502</v>
      </c>
      <c r="BW13" s="11">
        <f>2632526.8028127/(10^3)</f>
        <v>2632.5268028127002</v>
      </c>
      <c r="BX13" s="11">
        <f>2633951.68938676/(10^3)</f>
        <v>2633.9516893867599</v>
      </c>
      <c r="BY13" s="11">
        <v>2664.6180671154279</v>
      </c>
      <c r="BZ13" s="11">
        <f>2615398.17736309/(10^3)</f>
        <v>2615.3981773630903</v>
      </c>
      <c r="CA13" s="11">
        <f>2460449.95198721/(10^3)</f>
        <v>2460.4499519872102</v>
      </c>
      <c r="CB13" s="11">
        <f>2388593.77655435/(10^3)</f>
        <v>2388.5937765543499</v>
      </c>
      <c r="CC13" s="12"/>
      <c r="DD13" s="11"/>
      <c r="DE13" s="11"/>
      <c r="DF13" s="11"/>
    </row>
    <row r="14" spans="1:110" x14ac:dyDescent="0.25">
      <c r="D14" s="10" t="s">
        <v>87</v>
      </c>
      <c r="E14" s="10" t="s">
        <v>77</v>
      </c>
      <c r="F14" s="10" t="s">
        <v>180</v>
      </c>
      <c r="G14" s="10"/>
      <c r="H14" s="67" t="str">
        <f>CONCATENATE(D14," ",G14)</f>
        <v xml:space="preserve">Augusta </v>
      </c>
      <c r="I14" s="11">
        <f>637760/(10^3)</f>
        <v>637.76</v>
      </c>
      <c r="J14" s="11">
        <f>663849.317822511/(10^3)</f>
        <v>663.84931782251101</v>
      </c>
      <c r="K14" s="11">
        <v>696.70376406072239</v>
      </c>
      <c r="L14" s="11">
        <f>683512.070308572/(10^3)</f>
        <v>683.51207030857199</v>
      </c>
      <c r="M14" s="11">
        <f>700706.538725485/(10^3)</f>
        <v>700.70653872548496</v>
      </c>
      <c r="N14" s="11">
        <f>735474.233772277/(10^3)</f>
        <v>735.47423377227699</v>
      </c>
      <c r="O14" s="11">
        <f>759609.246546103/(10^3)</f>
        <v>759.60924654610301</v>
      </c>
      <c r="P14" s="11">
        <f>785496.531597389/(10^3)</f>
        <v>785.49653159738898</v>
      </c>
      <c r="Q14" s="11">
        <v>800.80611988705448</v>
      </c>
      <c r="R14" s="11">
        <f>783551.153286511/(10^3)</f>
        <v>783.55115328651095</v>
      </c>
      <c r="S14" s="11">
        <f>718453.031694986/(10^3)</f>
        <v>718.45303169498607</v>
      </c>
      <c r="T14" s="11">
        <f>698609.856559121/(10^3)</f>
        <v>698.609856559121</v>
      </c>
      <c r="U14" s="11">
        <f>695125.86725834/(10^3)</f>
        <v>695.12586725834001</v>
      </c>
      <c r="V14" s="11">
        <f>676698.083848351/(10^3)</f>
        <v>676.69808384835108</v>
      </c>
      <c r="W14" s="11">
        <v>672.78872603809714</v>
      </c>
      <c r="X14" s="11">
        <f>681014.628139075/(10^3)</f>
        <v>681.01462813907506</v>
      </c>
      <c r="Y14" s="11">
        <f>668351.123647431/(10^3)</f>
        <v>668.351123647431</v>
      </c>
      <c r="Z14" s="11">
        <f>680143.427116123/(10^3)</f>
        <v>680.14342711612301</v>
      </c>
      <c r="AA14" s="11">
        <f>699533.386539157/(10^3)</f>
        <v>699.53338653915705</v>
      </c>
      <c r="AB14" s="11">
        <f>724461.483774047/(10^3)</f>
        <v>724.461483774047</v>
      </c>
      <c r="AC14" s="11">
        <v>727.62873047771166</v>
      </c>
      <c r="AD14" s="11">
        <f>740941.295600499/(10^3)</f>
        <v>740.94129560049907</v>
      </c>
      <c r="AE14" s="11">
        <f>748991.123454758/(10^3)</f>
        <v>748.99112345475794</v>
      </c>
      <c r="AF14" s="11">
        <f>766376.840310529/(10^3)</f>
        <v>766.37684031052902</v>
      </c>
      <c r="AG14" s="11">
        <f>796596.128991998/(10^3)</f>
        <v>796.59612899199806</v>
      </c>
      <c r="AH14" s="11">
        <f>829781.142485467/(10^3)</f>
        <v>829.78114248546706</v>
      </c>
      <c r="AI14" s="11">
        <v>865.68633000789066</v>
      </c>
      <c r="AJ14" s="11">
        <f>895975.74220057/(10^3)</f>
        <v>895.97574220056993</v>
      </c>
      <c r="AK14" s="11">
        <f>892530.60924997/(10^3)</f>
        <v>892.53060924996998</v>
      </c>
      <c r="AL14" s="11">
        <f>936846.978652936/(10^3)</f>
        <v>936.84697865293606</v>
      </c>
      <c r="AM14" s="11">
        <f>942308.771608609/(10^3)</f>
        <v>942.30877160860905</v>
      </c>
      <c r="AN14" s="11">
        <f>978990.477703784/(10^3)</f>
        <v>978.99047770378399</v>
      </c>
      <c r="AO14" s="11">
        <v>1019.1987078303745</v>
      </c>
      <c r="AP14" s="11">
        <f>1040732.51396615/(10^3)</f>
        <v>1040.73251396615</v>
      </c>
      <c r="AQ14" s="11">
        <f>959971.162920011/(10^3)</f>
        <v>959.97116292001101</v>
      </c>
      <c r="AR14" s="11">
        <f>920283.592333081/(10^3)</f>
        <v>920.28359233308095</v>
      </c>
      <c r="AS14" s="11">
        <f>894847.642190033/(10^3)</f>
        <v>894.84764219003296</v>
      </c>
      <c r="AT14" s="11">
        <f>870742.69235197/(10^3)</f>
        <v>870.74269235197005</v>
      </c>
      <c r="AU14" s="11">
        <v>857.99561995681654</v>
      </c>
      <c r="AV14" s="11">
        <f>845250.66548662/(10^3)</f>
        <v>845.25066548662005</v>
      </c>
      <c r="AW14" s="11">
        <f>880724.535023717/(10^3)</f>
        <v>880.72453502371695</v>
      </c>
      <c r="AX14" s="11">
        <f>944944.793349811/(10^3)</f>
        <v>944.94479334981099</v>
      </c>
      <c r="AY14" s="11">
        <f>956707.867882474/(10^3)</f>
        <v>956.70786788247392</v>
      </c>
      <c r="AZ14" s="11">
        <f>999341.099772985/(10^3)</f>
        <v>999.34109977298499</v>
      </c>
      <c r="BA14" s="11">
        <v>1035.2731332692447</v>
      </c>
      <c r="BB14" s="11">
        <f>1077676.01772529/(10^3)</f>
        <v>1077.67601772529</v>
      </c>
      <c r="BC14" s="11">
        <f>990871.802447302/(10^3)</f>
        <v>990.871802447302</v>
      </c>
      <c r="BD14" s="11">
        <f>959346.269713483/(10^3)</f>
        <v>959.34626971348303</v>
      </c>
      <c r="BE14" s="11">
        <f>935918.251437571/(10^3)</f>
        <v>935.91825143757103</v>
      </c>
      <c r="BF14" s="11">
        <f>971717.305169665/(10^3)</f>
        <v>971.717305169665</v>
      </c>
      <c r="BG14" s="11">
        <v>958.00024719258192</v>
      </c>
      <c r="BH14" s="11">
        <f>982039.234689166/(10^3)</f>
        <v>982.03923468916594</v>
      </c>
      <c r="BI14" s="11">
        <f>1014452.12584998/(10^3)</f>
        <v>1014.45212584998</v>
      </c>
      <c r="BJ14" s="11">
        <f>1058123.05494347/(10^3)</f>
        <v>1058.1230549434702</v>
      </c>
      <c r="BK14" s="11">
        <f>1100192.02107946/(10^3)</f>
        <v>1100.1920210794599</v>
      </c>
      <c r="BL14" s="11">
        <f>1133350.16632358/(10^3)</f>
        <v>1133.35016632358</v>
      </c>
      <c r="BM14" s="11">
        <v>1168.5205162573088</v>
      </c>
      <c r="BN14" s="11">
        <f>1148475.10521039/(10^3)</f>
        <v>1148.47510521039</v>
      </c>
      <c r="BO14" s="11">
        <f>1089395.17591181/(10^3)</f>
        <v>1089.3951759118099</v>
      </c>
      <c r="BP14" s="11">
        <f>1064373.06324552/(10^3)</f>
        <v>1064.3730632455199</v>
      </c>
      <c r="BQ14" s="11">
        <f>1062952.48065165/(10^3)</f>
        <v>1062.9524806516501</v>
      </c>
      <c r="BR14" s="11">
        <f>1114954.52628429/(10^3)</f>
        <v>1114.9545262842901</v>
      </c>
      <c r="BS14" s="11">
        <v>1139.430180779387</v>
      </c>
      <c r="BT14" s="11">
        <f>1155092.71521596/(10^3)</f>
        <v>1155.09271521596</v>
      </c>
      <c r="BU14" s="11">
        <f>1208647.60582172/(10^3)</f>
        <v>1208.6476058217202</v>
      </c>
      <c r="BV14" s="11">
        <f>1228978.94729975/(10^3)</f>
        <v>1228.97894729975</v>
      </c>
      <c r="BW14" s="11">
        <f>1265571.4885542/(10^3)</f>
        <v>1265.5714885542</v>
      </c>
      <c r="BX14" s="11">
        <f>1287183.48356665/(10^3)</f>
        <v>1287.18348356665</v>
      </c>
      <c r="BY14" s="11">
        <v>1314.3534832620644</v>
      </c>
      <c r="BZ14" s="11">
        <f>1372229.72920815/(10^3)</f>
        <v>1372.22972920815</v>
      </c>
      <c r="CA14" s="11">
        <f>1278787.82198858/(10^3)</f>
        <v>1278.7878219885802</v>
      </c>
      <c r="CB14" s="11">
        <f>1240557.10675196/(10^3)</f>
        <v>1240.55710675196</v>
      </c>
      <c r="CC14" s="12"/>
      <c r="DD14" s="11"/>
      <c r="DE14" s="11"/>
      <c r="DF14" s="11"/>
    </row>
    <row r="15" spans="1:110" x14ac:dyDescent="0.25">
      <c r="D15" s="10" t="s">
        <v>89</v>
      </c>
      <c r="E15" s="10" t="s">
        <v>77</v>
      </c>
      <c r="F15" s="10" t="s">
        <v>180</v>
      </c>
      <c r="G15" s="10"/>
      <c r="H15" s="67" t="str">
        <f>CONCATENATE(D15," ",G15)</f>
        <v xml:space="preserve">Portland </v>
      </c>
      <c r="I15" s="11">
        <f>384458/(10^3)</f>
        <v>384.45800000000003</v>
      </c>
      <c r="J15" s="11">
        <f>395706.352499704/(10^3)</f>
        <v>395.706352499704</v>
      </c>
      <c r="K15" s="11">
        <v>387.07459487430492</v>
      </c>
      <c r="L15" s="11">
        <f>406267.438221923/(10^3)</f>
        <v>406.26743822192304</v>
      </c>
      <c r="M15" s="11">
        <f>423653.802851817/(10^3)</f>
        <v>423.65380285181698</v>
      </c>
      <c r="N15" s="11">
        <f>459813.039939224/(10^3)</f>
        <v>459.81303993922404</v>
      </c>
      <c r="O15" s="11">
        <f>468385.725125248/(10^3)</f>
        <v>468.38572512524803</v>
      </c>
      <c r="P15" s="11">
        <f>485633.297437247/(10^3)</f>
        <v>485.63329743724699</v>
      </c>
      <c r="Q15" s="11">
        <v>496.25406433363446</v>
      </c>
      <c r="R15" s="11">
        <f>503171.1431075/(10^3)</f>
        <v>503.17114310749997</v>
      </c>
      <c r="S15" s="11">
        <f>464381.544967198/(10^3)</f>
        <v>464.38154496719801</v>
      </c>
      <c r="T15" s="11">
        <f>456925.030501693/(10^3)</f>
        <v>456.92503050169302</v>
      </c>
      <c r="U15" s="11">
        <f>447915.011996632/(10^3)</f>
        <v>447.91501199663196</v>
      </c>
      <c r="V15" s="11">
        <f>446395.796208526/(10^3)</f>
        <v>446.39579620852601</v>
      </c>
      <c r="W15" s="11">
        <v>450.46824519466799</v>
      </c>
      <c r="X15" s="11">
        <f>461735.306484553/(10^3)</f>
        <v>461.73530648455295</v>
      </c>
      <c r="Y15" s="11">
        <f>468039.014698812/(10^3)</f>
        <v>468.03901469881197</v>
      </c>
      <c r="Z15" s="11">
        <f>513648.317884015/(10^3)</f>
        <v>513.648317884015</v>
      </c>
      <c r="AA15" s="11">
        <f>520019.496093535/(10^3)</f>
        <v>520.01949609353494</v>
      </c>
      <c r="AB15" s="11">
        <f>541972.628820589/(10^3)</f>
        <v>541.97262882058908</v>
      </c>
      <c r="AC15" s="11">
        <v>546.20619573690101</v>
      </c>
      <c r="AD15" s="11">
        <f>563162.430859263/(10^3)</f>
        <v>563.16243085926305</v>
      </c>
      <c r="AE15" s="11">
        <f>567664.832554573/(10^3)</f>
        <v>567.66483255457297</v>
      </c>
      <c r="AF15" s="11">
        <f>583667.226420917/(10^3)</f>
        <v>583.66722642091702</v>
      </c>
      <c r="AG15" s="11">
        <f>606632.237487947/(10^3)</f>
        <v>606.63223748794701</v>
      </c>
      <c r="AH15" s="11">
        <f>626737.434399199/(10^3)</f>
        <v>626.73743439919895</v>
      </c>
      <c r="AI15" s="11">
        <v>640.64531641791518</v>
      </c>
      <c r="AJ15" s="11">
        <f>670364.717486484/(10^3)</f>
        <v>670.36471748648398</v>
      </c>
      <c r="AK15" s="11">
        <f>691703.683910361/(10^3)</f>
        <v>691.70368391036106</v>
      </c>
      <c r="AL15" s="11">
        <f>710815.243564971/(10^3)</f>
        <v>710.81524356497107</v>
      </c>
      <c r="AM15" s="11">
        <f>742214.682197302/(10^3)</f>
        <v>742.21468219730195</v>
      </c>
      <c r="AN15" s="11">
        <f>764047.372117407/(10^3)</f>
        <v>764.04737211740701</v>
      </c>
      <c r="AO15" s="11">
        <v>783.15877531511694</v>
      </c>
      <c r="AP15" s="11">
        <f>816808.949766176/(10^3)</f>
        <v>816.80894976617606</v>
      </c>
      <c r="AQ15" s="11">
        <f>759708.219260054/(10^3)</f>
        <v>759.70821926005397</v>
      </c>
      <c r="AR15" s="11">
        <f>726529.197378616/(10^3)</f>
        <v>726.529197378616</v>
      </c>
      <c r="AS15" s="11">
        <f>713738.074008832/(10^3)</f>
        <v>713.73807400883197</v>
      </c>
      <c r="AT15" s="11">
        <f>694519.711323421/(10^3)</f>
        <v>694.51971132342101</v>
      </c>
      <c r="AU15" s="11">
        <v>690.75752058001922</v>
      </c>
      <c r="AV15" s="11">
        <f>686109.376090197/(10^3)</f>
        <v>686.10937609019697</v>
      </c>
      <c r="AW15" s="11">
        <f>677062.241401615/(10^3)</f>
        <v>677.06224140161498</v>
      </c>
      <c r="AX15" s="11">
        <f>663421.623816553/(10^3)</f>
        <v>663.42162381655305</v>
      </c>
      <c r="AY15" s="11">
        <f>662039.571877086/(10^3)</f>
        <v>662.0395718770859</v>
      </c>
      <c r="AZ15" s="11">
        <f>648537.192544959/(10^3)</f>
        <v>648.537192544959</v>
      </c>
      <c r="BA15" s="11">
        <v>636.65523408989702</v>
      </c>
      <c r="BB15" s="11">
        <f>627931.226962646/(10^3)</f>
        <v>627.93122696264595</v>
      </c>
      <c r="BC15" s="11">
        <f>610149.089993536/(10^3)</f>
        <v>610.14908999353599</v>
      </c>
      <c r="BD15" s="11">
        <f>607617.932357659/(10^3)</f>
        <v>607.61793235765901</v>
      </c>
      <c r="BE15" s="11">
        <f>597174.289967943/(10^3)</f>
        <v>597.17428996794297</v>
      </c>
      <c r="BF15" s="11">
        <f>603596.607021064/(10^3)</f>
        <v>603.59660702106407</v>
      </c>
      <c r="BG15" s="11">
        <v>608.73911969880737</v>
      </c>
      <c r="BH15" s="11">
        <f>623509.11515422/(10^3)</f>
        <v>623.50911515422001</v>
      </c>
      <c r="BI15" s="11">
        <f>646579.2787435/(10^3)</f>
        <v>646.57927874350003</v>
      </c>
      <c r="BJ15" s="11">
        <f>697185.487930642/(10^3)</f>
        <v>697.18548793064201</v>
      </c>
      <c r="BK15" s="11">
        <f>725665.148673415/(10^3)</f>
        <v>725.66514867341493</v>
      </c>
      <c r="BL15" s="11">
        <f>760638.544994345/(10^3)</f>
        <v>760.63854499434501</v>
      </c>
      <c r="BM15" s="11">
        <v>781.71682514968245</v>
      </c>
      <c r="BN15" s="11">
        <f>772517.072286611/(10^3)</f>
        <v>772.51707228661098</v>
      </c>
      <c r="BO15" s="11">
        <f>737575.740394419/(10^3)</f>
        <v>737.57574039441897</v>
      </c>
      <c r="BP15" s="11">
        <f>708091.479042824/(10^3)</f>
        <v>708.09147904282406</v>
      </c>
      <c r="BQ15" s="11">
        <f>692436.204871725/(10^3)</f>
        <v>692.43620487172507</v>
      </c>
      <c r="BR15" s="11">
        <f>724834.541587895/(10^3)</f>
        <v>724.83454158789505</v>
      </c>
      <c r="BS15" s="11">
        <v>714.6217670809508</v>
      </c>
      <c r="BT15" s="11">
        <f>705316.206513702/(10^3)</f>
        <v>705.31620651370201</v>
      </c>
      <c r="BU15" s="11">
        <f>712360.942593897/(10^3)</f>
        <v>712.36094259389699</v>
      </c>
      <c r="BV15" s="11">
        <f>744301.642236017/(10^3)</f>
        <v>744.30164223601707</v>
      </c>
      <c r="BW15" s="11">
        <f>770721.755511472/(10^3)</f>
        <v>770.721755511472</v>
      </c>
      <c r="BX15" s="11">
        <f>775562.569843755/(10^3)</f>
        <v>775.562569843755</v>
      </c>
      <c r="BY15" s="11">
        <v>776.85063752675183</v>
      </c>
      <c r="BZ15" s="11">
        <f>753627.40401967/(10^3)</f>
        <v>753.62740401966994</v>
      </c>
      <c r="CA15" s="11">
        <f>678887.996873248/(10^3)</f>
        <v>678.88799687324797</v>
      </c>
      <c r="CB15" s="11">
        <f>676591.847589276/(10^3)</f>
        <v>676.59184758927609</v>
      </c>
      <c r="CC15" s="12"/>
      <c r="DD15" s="11"/>
      <c r="DE15" s="11"/>
      <c r="DF15" s="11"/>
    </row>
    <row r="16" spans="1:110" x14ac:dyDescent="0.25">
      <c r="D16" s="10" t="s">
        <v>90</v>
      </c>
      <c r="E16" s="10" t="s">
        <v>83</v>
      </c>
      <c r="F16" s="10" t="s">
        <v>150</v>
      </c>
      <c r="G16" s="10"/>
      <c r="H16" s="67" t="str">
        <f>CONCATENATE(D16," ",G16)</f>
        <v xml:space="preserve">Raleigh </v>
      </c>
      <c r="I16" s="11">
        <f>1407836/(10^3)</f>
        <v>1407.836</v>
      </c>
      <c r="J16" s="11">
        <f>1438110.2138582/(10^3)</f>
        <v>1438.1102138582</v>
      </c>
      <c r="K16" s="11">
        <v>1505.4287123560014</v>
      </c>
      <c r="L16" s="11">
        <f>1525303.4013505/(10^3)</f>
        <v>1525.3034013505001</v>
      </c>
      <c r="M16" s="11">
        <f>1491000.81560781/(10^3)</f>
        <v>1491.00081560781</v>
      </c>
      <c r="N16" s="11">
        <f>1596227.050946/(10^3)</f>
        <v>1596.227050946</v>
      </c>
      <c r="O16" s="11">
        <f>1660678.00524949/(10^3)</f>
        <v>1660.6780052494901</v>
      </c>
      <c r="P16" s="11">
        <f>1716149.21890998/(10^3)</f>
        <v>1716.1492189099799</v>
      </c>
      <c r="Q16" s="11">
        <v>1746.3042856881682</v>
      </c>
      <c r="R16" s="11">
        <f>1760272.42292235/(10^3)</f>
        <v>1760.27242292235</v>
      </c>
      <c r="S16" s="11">
        <f>1743543.46780438/(10^3)</f>
        <v>1743.54346780438</v>
      </c>
      <c r="T16" s="11">
        <f>1698563.66224748/(10^3)</f>
        <v>1698.5636622474799</v>
      </c>
      <c r="U16" s="11">
        <f>1663130.46285107/(10^3)</f>
        <v>1663.1304628510702</v>
      </c>
      <c r="V16" s="11">
        <f>1727567.42604246/(10^3)</f>
        <v>1727.5674260424598</v>
      </c>
      <c r="W16" s="11">
        <v>1675.97693318713</v>
      </c>
      <c r="X16" s="11">
        <f>1704734.69777616/(10^3)</f>
        <v>1704.7346977761599</v>
      </c>
      <c r="Y16" s="11">
        <f>1687828.94269684/(10^3)</f>
        <v>1687.8289426968399</v>
      </c>
      <c r="Z16" s="11">
        <f>1835053.86462194/(10^3)</f>
        <v>1835.05386462194</v>
      </c>
      <c r="AA16" s="11">
        <f>1874474.27606765/(10^3)</f>
        <v>1874.47427606765</v>
      </c>
      <c r="AB16" s="11">
        <f>1886519.49598153/(10^3)</f>
        <v>1886.5194959815301</v>
      </c>
      <c r="AC16" s="11">
        <v>1929.1020318730925</v>
      </c>
      <c r="AD16" s="11">
        <f>2017196.32396248/(10^3)</f>
        <v>2017.1963239624802</v>
      </c>
      <c r="AE16" s="11">
        <f>2111239.20085829/(10^3)</f>
        <v>2111.2392008582897</v>
      </c>
      <c r="AF16" s="11">
        <f>2206089.84851604/(10^3)</f>
        <v>2206.0898485160401</v>
      </c>
      <c r="AG16" s="11">
        <f>2293294.15124069/(10^3)</f>
        <v>2293.2941512406901</v>
      </c>
      <c r="AH16" s="11">
        <f>2359203.16285473/(10^3)</f>
        <v>2359.2031628547302</v>
      </c>
      <c r="AI16" s="11">
        <v>2418.5511478667895</v>
      </c>
      <c r="AJ16" s="11">
        <f>2473361.10580543/(10^3)</f>
        <v>2473.3611058054303</v>
      </c>
      <c r="AK16" s="11">
        <f>2534435.36984217/(10^3)</f>
        <v>2534.4353698421696</v>
      </c>
      <c r="AL16" s="11">
        <f>2617033.69787063/(10^3)</f>
        <v>2617.03369787063</v>
      </c>
      <c r="AM16" s="11">
        <f>2694044.21017829/(10^3)</f>
        <v>2694.0442101782901</v>
      </c>
      <c r="AN16" s="11">
        <f>2734628.95469528/(10^3)</f>
        <v>2734.6289546952803</v>
      </c>
      <c r="AO16" s="11">
        <v>2779.3225504954489</v>
      </c>
      <c r="AP16" s="11">
        <f>2789836.22498988/(10^3)</f>
        <v>2789.8362249898801</v>
      </c>
      <c r="AQ16" s="11">
        <f>2687775.68378424/(10^3)</f>
        <v>2687.7756837842398</v>
      </c>
      <c r="AR16" s="11">
        <f>2596648.25354611/(10^3)</f>
        <v>2596.64825354611</v>
      </c>
      <c r="AS16" s="11">
        <f>2566188.93164581/(10^3)</f>
        <v>2566.18893164581</v>
      </c>
      <c r="AT16" s="11">
        <f>2501592.07715135/(10^3)</f>
        <v>2501.5920771513502</v>
      </c>
      <c r="AU16" s="11">
        <v>2442.5076607088558</v>
      </c>
      <c r="AV16" s="11">
        <f>2377518.24599395/(10^3)</f>
        <v>2377.5182459939501</v>
      </c>
      <c r="AW16" s="11">
        <f>2338114.88301155/(10^3)</f>
        <v>2338.1148830115503</v>
      </c>
      <c r="AX16" s="11">
        <f>2312516.73575871/(10^3)</f>
        <v>2312.5167357587102</v>
      </c>
      <c r="AY16" s="11">
        <f>2259877.40056119/(10^3)</f>
        <v>2259.8774005611904</v>
      </c>
      <c r="AZ16" s="11">
        <f>2244001.68814726/(10^3)</f>
        <v>2244.0016881472598</v>
      </c>
      <c r="BA16" s="11">
        <v>2217.6253757518903</v>
      </c>
      <c r="BB16" s="11">
        <f>2182626.6930461/(10^3)</f>
        <v>2182.6266930461002</v>
      </c>
      <c r="BC16" s="11">
        <f>2136679.8683807/(10^3)</f>
        <v>2136.6798683806996</v>
      </c>
      <c r="BD16" s="11">
        <f>2077391.61566174/(10^3)</f>
        <v>2077.3916156617402</v>
      </c>
      <c r="BE16" s="11">
        <f>2070409.48110858/(10^3)</f>
        <v>2070.4094811085802</v>
      </c>
      <c r="BF16" s="11">
        <f>2029399.27016684/(10^3)</f>
        <v>2029.3992701668399</v>
      </c>
      <c r="BG16" s="11">
        <v>2045.759878393839</v>
      </c>
      <c r="BH16" s="11">
        <f>2071263.46490194/(10^3)</f>
        <v>2071.2634649019401</v>
      </c>
      <c r="BI16" s="11">
        <f>2102089.8516808/(10^3)</f>
        <v>2102.0898516807997</v>
      </c>
      <c r="BJ16" s="11">
        <f>2192816.06487862/(10^3)</f>
        <v>2192.8160648786202</v>
      </c>
      <c r="BK16" s="11">
        <f>2224372.43543655/(10^3)</f>
        <v>2224.3724354365499</v>
      </c>
      <c r="BL16" s="11">
        <f>2299416.44944477/(10^3)</f>
        <v>2299.41644944477</v>
      </c>
      <c r="BM16" s="11">
        <v>2374.7723635156485</v>
      </c>
      <c r="BN16" s="11">
        <f>2439538.15142151/(10^3)</f>
        <v>2439.5381514215101</v>
      </c>
      <c r="BO16" s="11">
        <f>2338354.57448961/(10^3)</f>
        <v>2338.3545744896096</v>
      </c>
      <c r="BP16" s="11">
        <f>2303720.37246019/(10^3)</f>
        <v>2303.72037246019</v>
      </c>
      <c r="BQ16" s="11">
        <f>2291109.80390899/(10^3)</f>
        <v>2291.1098039089902</v>
      </c>
      <c r="BR16" s="11">
        <f>2394746.42876697/(10^3)</f>
        <v>2394.74642876697</v>
      </c>
      <c r="BS16" s="11">
        <v>2362.0653366711072</v>
      </c>
      <c r="BT16" s="11">
        <f>2434713.71613345/(10^3)</f>
        <v>2434.7137161334504</v>
      </c>
      <c r="BU16" s="11">
        <f>2432602.98105257/(10^3)</f>
        <v>2432.6029810525702</v>
      </c>
      <c r="BV16" s="11">
        <f>2476643.15990694/(10^3)</f>
        <v>2476.6431599069401</v>
      </c>
      <c r="BW16" s="11">
        <f>2587856.20623318/(10^3)</f>
        <v>2587.8562062331803</v>
      </c>
      <c r="BX16" s="11">
        <f>2618608.01106354/(10^3)</f>
        <v>2618.6080110635398</v>
      </c>
      <c r="BY16" s="11">
        <v>2674.5310589686546</v>
      </c>
      <c r="BZ16" s="11">
        <f>2795241.60385568/(10^3)</f>
        <v>2795.2416038556803</v>
      </c>
      <c r="CA16" s="11">
        <f>2578923.97893469/(10^3)</f>
        <v>2578.9239789346898</v>
      </c>
      <c r="CB16" s="11">
        <f>2517593.28190603/(10^3)</f>
        <v>2517.5932819060299</v>
      </c>
      <c r="CC16" s="12"/>
      <c r="DD16" s="11"/>
      <c r="DE16" s="11"/>
      <c r="DF16" s="11"/>
    </row>
    <row r="17" spans="4:110" x14ac:dyDescent="0.25">
      <c r="D17" s="10" t="s">
        <v>92</v>
      </c>
      <c r="E17" s="10" t="s">
        <v>83</v>
      </c>
      <c r="F17" s="10" t="s">
        <v>150</v>
      </c>
      <c r="G17" s="10"/>
      <c r="H17" s="67" t="str">
        <f>CONCATENATE(D17," ",G17)</f>
        <v xml:space="preserve">Charlotte </v>
      </c>
      <c r="I17" s="11">
        <f>1147753/(10^3)</f>
        <v>1147.7529999999999</v>
      </c>
      <c r="J17" s="11">
        <f>1202895.26322354/(10^3)</f>
        <v>1202.89526322354</v>
      </c>
      <c r="K17" s="11">
        <v>1187.3210170226741</v>
      </c>
      <c r="L17" s="11">
        <f>1239848.65593774/(10^3)</f>
        <v>1239.8486559377402</v>
      </c>
      <c r="M17" s="11">
        <f>1238930.6484937/(10^3)</f>
        <v>1238.9306484936999</v>
      </c>
      <c r="N17" s="11">
        <f>1335552.3843925/(10^3)</f>
        <v>1335.5523843925</v>
      </c>
      <c r="O17" s="11">
        <f>1368458.19440051/(10^3)</f>
        <v>1368.4581944005101</v>
      </c>
      <c r="P17" s="11">
        <f>1394705.08004615/(10^3)</f>
        <v>1394.70508004615</v>
      </c>
      <c r="Q17" s="11">
        <v>1440.1545948112075</v>
      </c>
      <c r="R17" s="11">
        <f>1434639.65347605/(10^3)</f>
        <v>1434.6396534760499</v>
      </c>
      <c r="S17" s="11">
        <f>1421663.28085975/(10^3)</f>
        <v>1421.6632808597501</v>
      </c>
      <c r="T17" s="11">
        <f>1357884.99351232/(10^3)</f>
        <v>1357.8849935123201</v>
      </c>
      <c r="U17" s="11">
        <f>1334497.32464353/(10^3)</f>
        <v>1334.49732464353</v>
      </c>
      <c r="V17" s="11">
        <f>1322180.03617297/(10^3)</f>
        <v>1322.1800361729699</v>
      </c>
      <c r="W17" s="11">
        <v>1333.2801999074936</v>
      </c>
      <c r="X17" s="11">
        <f>1322746.35183156/(10^3)</f>
        <v>1322.7463518315601</v>
      </c>
      <c r="Y17" s="11">
        <f>1388270.99794727/(10^3)</f>
        <v>1388.27099794727</v>
      </c>
      <c r="Z17" s="11">
        <f>1466681.06835576/(10^3)</f>
        <v>1466.6810683557601</v>
      </c>
      <c r="AA17" s="11">
        <f>1526571.00713036/(10^3)</f>
        <v>1526.5710071303599</v>
      </c>
      <c r="AB17" s="11">
        <f>1539299.43634307/(10^3)</f>
        <v>1539.2994363430698</v>
      </c>
      <c r="AC17" s="11">
        <v>1599.1763258545932</v>
      </c>
      <c r="AD17" s="11">
        <f>1672852.32189522/(10^3)</f>
        <v>1672.85232189522</v>
      </c>
      <c r="AE17" s="11">
        <f>1719154.24273481/(10^3)</f>
        <v>1719.1542427348102</v>
      </c>
      <c r="AF17" s="11">
        <f>1791181.65966893/(10^3)</f>
        <v>1791.18165966893</v>
      </c>
      <c r="AG17" s="11">
        <f>1871910.09077418/(10^3)</f>
        <v>1871.9100907741799</v>
      </c>
      <c r="AH17" s="11">
        <f>1918908.3029192/(10^3)</f>
        <v>1918.9083029192</v>
      </c>
      <c r="AI17" s="11">
        <v>1984.549920625162</v>
      </c>
      <c r="AJ17" s="11">
        <f>2043279.99113263/(10^3)</f>
        <v>2043.2799911326301</v>
      </c>
      <c r="AK17" s="11">
        <f>2091893.56817743/(10^3)</f>
        <v>2091.8935681774301</v>
      </c>
      <c r="AL17" s="11">
        <f>2149562.442771/(10^3)</f>
        <v>2149.562442771</v>
      </c>
      <c r="AM17" s="11">
        <f>2202125.72490585/(10^3)</f>
        <v>2202.1257249058499</v>
      </c>
      <c r="AN17" s="11">
        <f>2285655.26013354/(10^3)</f>
        <v>2285.6552601335397</v>
      </c>
      <c r="AO17" s="11">
        <v>2371.1878993874961</v>
      </c>
      <c r="AP17" s="11">
        <f>2308766.23062741/(10^3)</f>
        <v>2308.7662306274101</v>
      </c>
      <c r="AQ17" s="11">
        <f>2246067.06045077/(10^3)</f>
        <v>2246.06706045077</v>
      </c>
      <c r="AR17" s="11">
        <f>2194864.26297882/(10^3)</f>
        <v>2194.8642629788201</v>
      </c>
      <c r="AS17" s="11">
        <f>2160501.01412177/(10^3)</f>
        <v>2160.5010141217699</v>
      </c>
      <c r="AT17" s="11">
        <f>2106976.02200596/(10^3)</f>
        <v>2106.9760220059597</v>
      </c>
      <c r="AU17" s="11">
        <v>2079.6261535269582</v>
      </c>
      <c r="AV17" s="11">
        <f>2031031.2734737/(10^3)</f>
        <v>2031.0312734737001</v>
      </c>
      <c r="AW17" s="11">
        <f>2021184.68387151/(10^3)</f>
        <v>2021.1846838715101</v>
      </c>
      <c r="AX17" s="11">
        <f>1993059.3494641/(10^3)</f>
        <v>1993.0593494641</v>
      </c>
      <c r="AY17" s="11">
        <f>1936711.84590864/(10^3)</f>
        <v>1936.71184590864</v>
      </c>
      <c r="AZ17" s="11">
        <f>1898175.43290096/(10^3)</f>
        <v>1898.17543290096</v>
      </c>
      <c r="BA17" s="11">
        <v>1872.9981434733509</v>
      </c>
      <c r="BB17" s="11">
        <f>1865950.95721888/(10^3)</f>
        <v>1865.9509572188801</v>
      </c>
      <c r="BC17" s="11">
        <f>1846393.90689228/(10^3)</f>
        <v>1846.39390689228</v>
      </c>
      <c r="BD17" s="11">
        <f>1842407.03708231/(10^3)</f>
        <v>1842.4070370823101</v>
      </c>
      <c r="BE17" s="11">
        <f>1793807.66766634/(10^3)</f>
        <v>1793.80766766634</v>
      </c>
      <c r="BF17" s="11">
        <f>1806045.54974209/(10^3)</f>
        <v>1806.0455497420901</v>
      </c>
      <c r="BG17" s="11">
        <v>1778.9818962882455</v>
      </c>
      <c r="BH17" s="11">
        <f>1854010.65434561/(10^3)</f>
        <v>1854.01065434561</v>
      </c>
      <c r="BI17" s="11">
        <f>1929960.59900505/(10^3)</f>
        <v>1929.96059900505</v>
      </c>
      <c r="BJ17" s="11">
        <f>2046611.49667862/(10^3)</f>
        <v>2046.6114966786201</v>
      </c>
      <c r="BK17" s="11">
        <f>2085577.6302389/(10^3)</f>
        <v>2085.5776302388999</v>
      </c>
      <c r="BL17" s="11">
        <f>2134223.54082196/(10^3)</f>
        <v>2134.2235408219603</v>
      </c>
      <c r="BM17" s="11">
        <v>2228.0388417932691</v>
      </c>
      <c r="BN17" s="11">
        <f>2326946.15156197/(10^3)</f>
        <v>2326.9461515619701</v>
      </c>
      <c r="BO17" s="11">
        <f>2103798.92635272/(10^3)</f>
        <v>2103.7989263527197</v>
      </c>
      <c r="BP17" s="11">
        <f>2071064.23352131/(10^3)</f>
        <v>2071.0642335213097</v>
      </c>
      <c r="BQ17" s="11">
        <f>2030048.3225436/(10^3)</f>
        <v>2030.0483225436001</v>
      </c>
      <c r="BR17" s="11">
        <f>2124236.91756013/(10^3)</f>
        <v>2124.2369175601298</v>
      </c>
      <c r="BS17" s="11">
        <v>2132.3426937359427</v>
      </c>
      <c r="BT17" s="11">
        <f>2166111.84670474/(10^3)</f>
        <v>2166.1118467047399</v>
      </c>
      <c r="BU17" s="11">
        <f>2118496.02102026/(10^3)</f>
        <v>2118.4960210202603</v>
      </c>
      <c r="BV17" s="11">
        <f>2233186.18046544/(10^3)</f>
        <v>2233.18618046544</v>
      </c>
      <c r="BW17" s="11">
        <f>2244317.0000452/(10^3)</f>
        <v>2244.3170000452001</v>
      </c>
      <c r="BX17" s="11">
        <f>2340310.482981/(10^3)</f>
        <v>2340.310482981</v>
      </c>
      <c r="BY17" s="11">
        <v>2428.8588189877764</v>
      </c>
      <c r="BZ17" s="11">
        <f>2543468.16316351/(10^3)</f>
        <v>2543.4681631635103</v>
      </c>
      <c r="CA17" s="11">
        <f>2417451.70955401/(10^3)</f>
        <v>2417.45170955401</v>
      </c>
      <c r="CB17" s="11">
        <f>2310169.44155526/(10^3)</f>
        <v>2310.1694415552602</v>
      </c>
      <c r="CC17" s="12"/>
      <c r="DD17" s="11"/>
      <c r="DE17" s="11"/>
      <c r="DF17" s="11"/>
    </row>
    <row r="18" spans="4:110" x14ac:dyDescent="0.25">
      <c r="D18" s="10" t="s">
        <v>94</v>
      </c>
      <c r="E18" s="10" t="s">
        <v>86</v>
      </c>
      <c r="F18" s="10" t="s">
        <v>180</v>
      </c>
      <c r="G18" s="10"/>
      <c r="H18" s="67" t="str">
        <f>CONCATENATE(D18," ",G18)</f>
        <v xml:space="preserve">Concord </v>
      </c>
      <c r="I18" s="11">
        <f>1384170/(10^3)</f>
        <v>1384.17</v>
      </c>
      <c r="J18" s="11">
        <f>1377580.04394489/(10^3)</f>
        <v>1377.5800439448899</v>
      </c>
      <c r="K18" s="11">
        <v>1426.0978700972014</v>
      </c>
      <c r="L18" s="11">
        <f>1417250.76300979/(10^3)</f>
        <v>1417.25076300979</v>
      </c>
      <c r="M18" s="11">
        <f>1440210.24143201/(10^3)</f>
        <v>1440.21024143201</v>
      </c>
      <c r="N18" s="11">
        <f>1578858.659239/(10^3)</f>
        <v>1578.858659239</v>
      </c>
      <c r="O18" s="11">
        <f>1644023.97915496/(10^3)</f>
        <v>1644.02397915496</v>
      </c>
      <c r="P18" s="11">
        <f>1647044.79137035/(10^3)</f>
        <v>1647.0447913703499</v>
      </c>
      <c r="Q18" s="11">
        <v>1725.660605604078</v>
      </c>
      <c r="R18" s="11">
        <f>1724013.61423349/(10^3)</f>
        <v>1724.01361423349</v>
      </c>
      <c r="S18" s="11">
        <f>1646659.44131014/(10^3)</f>
        <v>1646.65944131014</v>
      </c>
      <c r="T18" s="11">
        <f>1588293.3152426/(10^3)</f>
        <v>1588.2933152425999</v>
      </c>
      <c r="U18" s="11">
        <f>1577290.57018244/(10^3)</f>
        <v>1577.2905701824402</v>
      </c>
      <c r="V18" s="11">
        <f>1655255.53245151/(10^3)</f>
        <v>1655.2555324515099</v>
      </c>
      <c r="W18" s="11">
        <v>1713.9038366428872</v>
      </c>
      <c r="X18" s="11">
        <f>1665551.86056794/(10^3)</f>
        <v>1665.5518605679399</v>
      </c>
      <c r="Y18" s="11">
        <f>1662988.59861825/(10^3)</f>
        <v>1662.9885986182501</v>
      </c>
      <c r="Z18" s="11">
        <f>1773946.0199902/(10^3)</f>
        <v>1773.9460199902001</v>
      </c>
      <c r="AA18" s="11">
        <f>1820382.24611496/(10^3)</f>
        <v>1820.38224611496</v>
      </c>
      <c r="AB18" s="11">
        <f>1841375.19803764/(10^3)</f>
        <v>1841.3751980376398</v>
      </c>
      <c r="AC18" s="11">
        <v>1867.3762049021059</v>
      </c>
      <c r="AD18" s="11">
        <f>1893542.91451737/(10^3)</f>
        <v>1893.54291451737</v>
      </c>
      <c r="AE18" s="11">
        <f>1938580.53480038/(10^3)</f>
        <v>1938.5805348003801</v>
      </c>
      <c r="AF18" s="11">
        <f>1958506.49955173/(10^3)</f>
        <v>1958.50649955173</v>
      </c>
      <c r="AG18" s="11">
        <f>1978312.80250502/(10^3)</f>
        <v>1978.31280250502</v>
      </c>
      <c r="AH18" s="11">
        <f>2057423.62119315/(10^3)</f>
        <v>2057.4236211931502</v>
      </c>
      <c r="AI18" s="11">
        <v>2108.9455570093146</v>
      </c>
      <c r="AJ18" s="11">
        <f>2178768.4817877/(10^3)</f>
        <v>2178.7684817877002</v>
      </c>
      <c r="AK18" s="11">
        <f>2249240.54274168/(10^3)</f>
        <v>2249.2405427416802</v>
      </c>
      <c r="AL18" s="11">
        <f>2308121.30047196/(10^3)</f>
        <v>2308.1213004719602</v>
      </c>
      <c r="AM18" s="11">
        <f>2355450.07933245/(10^3)</f>
        <v>2355.4500793324501</v>
      </c>
      <c r="AN18" s="11">
        <f>2363901.83592736/(10^3)</f>
        <v>2363.90183592736</v>
      </c>
      <c r="AO18" s="11">
        <v>2443.6727416936633</v>
      </c>
      <c r="AP18" s="11">
        <f>2495458.50974013/(10^3)</f>
        <v>2495.45850974013</v>
      </c>
      <c r="AQ18" s="11">
        <f>2311317.89570666/(10^3)</f>
        <v>2311.3178957066602</v>
      </c>
      <c r="AR18" s="11">
        <f>2302446.88321051/(10^3)</f>
        <v>2302.4468832105099</v>
      </c>
      <c r="AS18" s="11">
        <f>2290918.07602173/(10^3)</f>
        <v>2290.91807602173</v>
      </c>
      <c r="AT18" s="11">
        <f>2244149.52276315/(10^3)</f>
        <v>2244.1495227631499</v>
      </c>
      <c r="AU18" s="11">
        <v>2217.9621995585312</v>
      </c>
      <c r="AV18" s="11">
        <f>2168640.19083994/(10^3)</f>
        <v>2168.6401908399403</v>
      </c>
      <c r="AW18" s="11">
        <f>2144138.70985603/(10^3)</f>
        <v>2144.1387098560299</v>
      </c>
      <c r="AX18" s="11">
        <f>2113178.22161282/(10^3)</f>
        <v>2113.1782216128199</v>
      </c>
      <c r="AY18" s="11">
        <f>2091778.1844342/(10^3)</f>
        <v>2091.7781844341998</v>
      </c>
      <c r="AZ18" s="11">
        <f>2084172.12277159/(10^3)</f>
        <v>2084.1721227715902</v>
      </c>
      <c r="BA18" s="11">
        <v>2052.8229303765147</v>
      </c>
      <c r="BB18" s="11">
        <f>2013141.61044916/(10^3)</f>
        <v>2013.14161044916</v>
      </c>
      <c r="BC18" s="11">
        <f>2006800.9269453/(10^3)</f>
        <v>2006.8009269453</v>
      </c>
      <c r="BD18" s="11">
        <f>1950907.2922094/(10^3)</f>
        <v>1950.9072922094001</v>
      </c>
      <c r="BE18" s="11">
        <f>1923968.87876207/(10^3)</f>
        <v>1923.9688787620701</v>
      </c>
      <c r="BF18" s="11">
        <f>2005375.12151563/(10^3)</f>
        <v>2005.3751215156301</v>
      </c>
      <c r="BG18" s="11">
        <v>2083.9102986810781</v>
      </c>
      <c r="BH18" s="11">
        <f>2173248.0853256/(10^3)</f>
        <v>2173.2480853256002</v>
      </c>
      <c r="BI18" s="11">
        <f>2120282.08319566/(10^3)</f>
        <v>2120.2820831956597</v>
      </c>
      <c r="BJ18" s="11">
        <f>2148739.47085362/(10^3)</f>
        <v>2148.7394708536203</v>
      </c>
      <c r="BK18" s="11">
        <f>2235296.60220179/(10^3)</f>
        <v>2235.2966022017899</v>
      </c>
      <c r="BL18" s="11">
        <f>2303782.83052645/(10^3)</f>
        <v>2303.7828305264502</v>
      </c>
      <c r="BM18" s="11">
        <v>2416.3085750837126</v>
      </c>
      <c r="BN18" s="11">
        <f>2416785.23049588/(10^3)</f>
        <v>2416.7852304958801</v>
      </c>
      <c r="BO18" s="11">
        <f>2324015.8246815/(10^3)</f>
        <v>2324.0158246814999</v>
      </c>
      <c r="BP18" s="11">
        <f>2188986.77381374/(10^3)</f>
        <v>2188.98677381374</v>
      </c>
      <c r="BQ18" s="11">
        <f>1993527.72608583/(10^3)</f>
        <v>1993.52772608583</v>
      </c>
      <c r="BR18" s="11">
        <f>1938817.57899635/(10^3)</f>
        <v>1938.81757899635</v>
      </c>
      <c r="BS18" s="11">
        <v>1753.6871665305077</v>
      </c>
      <c r="BT18" s="11">
        <f>1724949.27388645/(10^3)</f>
        <v>1724.9492738864501</v>
      </c>
      <c r="BU18" s="11">
        <f>1747283.94094247/(10^3)</f>
        <v>1747.2839409424701</v>
      </c>
      <c r="BV18" s="11">
        <f>1911412.65928634/(10^3)</f>
        <v>1911.4126592863399</v>
      </c>
      <c r="BW18" s="11">
        <f>1937965.95371965/(10^3)</f>
        <v>1937.9659537196499</v>
      </c>
      <c r="BX18" s="11">
        <f>1984149.96692854/(10^3)</f>
        <v>1984.1499669285399</v>
      </c>
      <c r="BY18" s="11">
        <v>2027.4563488854903</v>
      </c>
      <c r="BZ18" s="11">
        <f>2078911.61824109/(10^3)</f>
        <v>2078.9116182410903</v>
      </c>
      <c r="CA18" s="11">
        <f>1960718.08513907/(10^3)</f>
        <v>1960.7180851390699</v>
      </c>
      <c r="CB18" s="11">
        <f>1958356.13239316/(10^3)</f>
        <v>1958.3561323931599</v>
      </c>
      <c r="CC18" s="12"/>
      <c r="DD18" s="11"/>
      <c r="DE18" s="11"/>
      <c r="DF18" s="11"/>
    </row>
    <row r="19" spans="4:110" x14ac:dyDescent="0.25">
      <c r="D19" s="10" t="s">
        <v>96</v>
      </c>
      <c r="E19" s="10" t="s">
        <v>86</v>
      </c>
      <c r="F19" s="10" t="s">
        <v>180</v>
      </c>
      <c r="G19" s="10"/>
      <c r="H19" s="67" t="str">
        <f>CONCATENATE(D19," ",G19)</f>
        <v xml:space="preserve">Manchester </v>
      </c>
      <c r="I19" s="11">
        <f>1562122/(10^3)</f>
        <v>1562.1220000000001</v>
      </c>
      <c r="J19" s="11">
        <f>1607945.2910819/(10^3)</f>
        <v>1607.9452910819</v>
      </c>
      <c r="K19" s="11">
        <v>1682.1762089319698</v>
      </c>
      <c r="L19" s="11">
        <f>1731165.62398145/(10^3)</f>
        <v>1731.1656239814499</v>
      </c>
      <c r="M19" s="11">
        <f>1753282.75847/(10^3)</f>
        <v>1753.2827584700001</v>
      </c>
      <c r="N19" s="11">
        <f>1815451.179335/(10^3)</f>
        <v>1815.451179335</v>
      </c>
      <c r="O19" s="11">
        <f>1854952.87572804/(10^3)</f>
        <v>1854.95287572804</v>
      </c>
      <c r="P19" s="11">
        <f>1880047.66155964/(10^3)</f>
        <v>1880.0476615596399</v>
      </c>
      <c r="Q19" s="11">
        <v>1900.1743296738073</v>
      </c>
      <c r="R19" s="11">
        <f>1870371.96395954/(10^3)</f>
        <v>1870.3719639595399</v>
      </c>
      <c r="S19" s="11">
        <f>1822320.28345477/(10^3)</f>
        <v>1822.3202834547699</v>
      </c>
      <c r="T19" s="11">
        <f>1821124.26940479/(10^3)</f>
        <v>1821.1242694047899</v>
      </c>
      <c r="U19" s="11">
        <f>1779389.7492586/(10^3)</f>
        <v>1779.3897492586</v>
      </c>
      <c r="V19" s="11">
        <f>1800789.94982748/(10^3)</f>
        <v>1800.7899498274799</v>
      </c>
      <c r="W19" s="11">
        <v>1783.050482237298</v>
      </c>
      <c r="X19" s="11">
        <f>1817245.72773962/(10^3)</f>
        <v>1817.24572773962</v>
      </c>
      <c r="Y19" s="11">
        <f>1812825.82375059/(10^3)</f>
        <v>1812.82582375059</v>
      </c>
      <c r="Z19" s="11">
        <f>1863544.84115454/(10^3)</f>
        <v>1863.5448411545399</v>
      </c>
      <c r="AA19" s="11">
        <f>1876525.06430684/(10^3)</f>
        <v>1876.52506430684</v>
      </c>
      <c r="AB19" s="11">
        <f>1910623.14737383/(10^3)</f>
        <v>1910.6231473738301</v>
      </c>
      <c r="AC19" s="11">
        <v>1968.1926337111697</v>
      </c>
      <c r="AD19" s="11">
        <f>2001858.30340191/(10^3)</f>
        <v>2001.85830340191</v>
      </c>
      <c r="AE19" s="11">
        <f>2069140.2673359/(10^3)</f>
        <v>2069.1402673359003</v>
      </c>
      <c r="AF19" s="11">
        <f>2162722.57801305/(10^3)</f>
        <v>2162.7225780130498</v>
      </c>
      <c r="AG19" s="11">
        <f>2190319.10135204/(10^3)</f>
        <v>2190.31910135204</v>
      </c>
      <c r="AH19" s="11">
        <f>2228997.44646241/(10^3)</f>
        <v>2228.9974464624102</v>
      </c>
      <c r="AI19" s="11">
        <v>2280.4605481805211</v>
      </c>
      <c r="AJ19" s="11">
        <f>2386980.40664208/(10^3)</f>
        <v>2386.9804066420797</v>
      </c>
      <c r="AK19" s="11">
        <f>2486056.08694216/(10^3)</f>
        <v>2486.0560869421602</v>
      </c>
      <c r="AL19" s="11">
        <f>2492319.99579186/(10^3)</f>
        <v>2492.31999579186</v>
      </c>
      <c r="AM19" s="11">
        <f>2510638.05329628/(10^3)</f>
        <v>2510.6380532962803</v>
      </c>
      <c r="AN19" s="11">
        <f>2540935.38713973/(10^3)</f>
        <v>2540.9353871397302</v>
      </c>
      <c r="AO19" s="11">
        <v>2565.9663593650753</v>
      </c>
      <c r="AP19" s="11">
        <f>2541850.78331556/(10^3)</f>
        <v>2541.85078331556</v>
      </c>
      <c r="AQ19" s="11">
        <f>2423322.67832736/(10^3)</f>
        <v>2423.3226783273603</v>
      </c>
      <c r="AR19" s="11">
        <f>2403396.9397876/(10^3)</f>
        <v>2403.3969397876003</v>
      </c>
      <c r="AS19" s="11">
        <f>2401816.41756817/(10^3)</f>
        <v>2401.81641756817</v>
      </c>
      <c r="AT19" s="11">
        <f>2364333.84078745/(10^3)</f>
        <v>2364.3338407874498</v>
      </c>
      <c r="AU19" s="11">
        <v>2344.3632506394401</v>
      </c>
      <c r="AV19" s="11">
        <f>2283873.58655022/(10^3)</f>
        <v>2283.8735865502199</v>
      </c>
      <c r="AW19" s="11">
        <f>2281788.95796919/(10^3)</f>
        <v>2281.7889579691901</v>
      </c>
      <c r="AX19" s="11">
        <f>2236037.51159304/(10^3)</f>
        <v>2236.0375115930401</v>
      </c>
      <c r="AY19" s="11">
        <f>2230066.79574329/(10^3)</f>
        <v>2230.0667957432897</v>
      </c>
      <c r="AZ19" s="11">
        <f>2176388.81348325/(10^3)</f>
        <v>2176.38881348325</v>
      </c>
      <c r="BA19" s="11">
        <v>2168.449709284926</v>
      </c>
      <c r="BB19" s="11">
        <f>2134709.96870623/(10^3)</f>
        <v>2134.70996870623</v>
      </c>
      <c r="BC19" s="11">
        <f>2132788.69996899/(10^3)</f>
        <v>2132.7886999689899</v>
      </c>
      <c r="BD19" s="11">
        <f>2114547.07325068/(10^3)</f>
        <v>2114.5470732506801</v>
      </c>
      <c r="BE19" s="11">
        <f>2087382.03490749/(10^3)</f>
        <v>2087.3820349074899</v>
      </c>
      <c r="BF19" s="11">
        <f>2145980.93576033/(10^3)</f>
        <v>2145.9809357603299</v>
      </c>
      <c r="BG19" s="11">
        <v>2153.1496919544848</v>
      </c>
      <c r="BH19" s="11">
        <f>2234995.7416169/(10^3)</f>
        <v>2234.9957416169</v>
      </c>
      <c r="BI19" s="11">
        <f>2311120.53704204/(10^3)</f>
        <v>2311.1205370420398</v>
      </c>
      <c r="BJ19" s="11">
        <f>2496215.39693227/(10^3)</f>
        <v>2496.2153969322699</v>
      </c>
      <c r="BK19" s="11">
        <f>2546706.49750844/(10^3)</f>
        <v>2546.70649750844</v>
      </c>
      <c r="BL19" s="11">
        <f>2607948.33475099/(10^3)</f>
        <v>2607.9483347509899</v>
      </c>
      <c r="BM19" s="11">
        <v>2706.8108519712305</v>
      </c>
      <c r="BN19" s="11">
        <f>2744286.82470699/(10^3)</f>
        <v>2744.2868247069896</v>
      </c>
      <c r="BO19" s="11">
        <f>2720349.49172697/(10^3)</f>
        <v>2720.34949172697</v>
      </c>
      <c r="BP19" s="11">
        <f>2638555.59046309/(10^3)</f>
        <v>2638.5555904630901</v>
      </c>
      <c r="BQ19" s="11">
        <f>2509606.22098688/(10^3)</f>
        <v>2509.6062209868801</v>
      </c>
      <c r="BR19" s="11">
        <f>2307086.06564389/(10^3)</f>
        <v>2307.0860656438899</v>
      </c>
      <c r="BS19" s="11">
        <v>2215.1069934604593</v>
      </c>
      <c r="BT19" s="11">
        <f>2097715.56122931/(10^3)</f>
        <v>2097.71556122931</v>
      </c>
      <c r="BU19" s="11">
        <f>1980836.68087986/(10^3)</f>
        <v>1980.8366808798598</v>
      </c>
      <c r="BV19" s="11">
        <f>1802284.26459285/(10^3)</f>
        <v>1802.2842645928501</v>
      </c>
      <c r="BW19" s="11">
        <f>1709233.93913478/(10^3)</f>
        <v>1709.23393913478</v>
      </c>
      <c r="BX19" s="11">
        <f>1776809.85328347/(10^3)</f>
        <v>1776.8098532834699</v>
      </c>
      <c r="BY19" s="11">
        <v>1838.4175863343105</v>
      </c>
      <c r="BZ19" s="11">
        <f>1788130.03169366/(10^3)</f>
        <v>1788.1300316936599</v>
      </c>
      <c r="CA19" s="11">
        <f>1663504.52303763/(10^3)</f>
        <v>1663.50452303763</v>
      </c>
      <c r="CB19" s="11">
        <f>1654075.80541996/(10^3)</f>
        <v>1654.07580541996</v>
      </c>
      <c r="CC19" s="12"/>
      <c r="DD19" s="11"/>
      <c r="DE19" s="11"/>
      <c r="DF19" s="11"/>
    </row>
    <row r="20" spans="4:110" x14ac:dyDescent="0.25">
      <c r="D20" s="10" t="s">
        <v>97</v>
      </c>
      <c r="E20" s="10" t="s">
        <v>88</v>
      </c>
      <c r="F20" s="10" t="s">
        <v>180</v>
      </c>
      <c r="G20" s="10"/>
      <c r="H20" s="67" t="str">
        <f>CONCATENATE(D20," ",G20)</f>
        <v xml:space="preserve">Trenton </v>
      </c>
      <c r="I20" s="11">
        <f>608453/(10^3)</f>
        <v>608.45299999999997</v>
      </c>
      <c r="J20" s="11">
        <f>618114.959838961/(10^3)</f>
        <v>618.114959838961</v>
      </c>
      <c r="K20" s="11">
        <v>648.56172963311997</v>
      </c>
      <c r="L20" s="11">
        <f>664410.511793585/(10^3)</f>
        <v>664.41051179358499</v>
      </c>
      <c r="M20" s="11">
        <f>649218.740893584/(10^3)</f>
        <v>649.21874089358403</v>
      </c>
      <c r="N20" s="11">
        <f>699838.941588395/(10^3)</f>
        <v>699.83894158839507</v>
      </c>
      <c r="O20" s="11">
        <f>702606.822124163/(10^3)</f>
        <v>702.60682212416305</v>
      </c>
      <c r="P20" s="11">
        <f>721461.309974614/(10^3)</f>
        <v>721.46130997461398</v>
      </c>
      <c r="Q20" s="11">
        <v>754.61236724910771</v>
      </c>
      <c r="R20" s="11">
        <f>776191.73162226/(10^3)</f>
        <v>776.19173162225991</v>
      </c>
      <c r="S20" s="11">
        <f>761812.255704464/(10^3)</f>
        <v>761.81225570446406</v>
      </c>
      <c r="T20" s="11">
        <f>740522.995073394/(10^3)</f>
        <v>740.52299507339399</v>
      </c>
      <c r="U20" s="11">
        <f>732185.70413964/(10^3)</f>
        <v>732.18570413963994</v>
      </c>
      <c r="V20" s="11">
        <f>718756.732668053/(10^3)</f>
        <v>718.75673266805302</v>
      </c>
      <c r="W20" s="11">
        <v>709.25480409648469</v>
      </c>
      <c r="X20" s="11">
        <f>743910.157917143/(10^3)</f>
        <v>743.91015791714301</v>
      </c>
      <c r="Y20" s="11">
        <f>766749.228233103/(10^3)</f>
        <v>766.74922823310294</v>
      </c>
      <c r="Z20" s="11">
        <f>779410.390528156/(10^3)</f>
        <v>779.41039052815597</v>
      </c>
      <c r="AA20" s="11">
        <f>779815.867628958/(10^3)</f>
        <v>779.8158676289579</v>
      </c>
      <c r="AB20" s="11">
        <f>809592.527897843/(10^3)</f>
        <v>809.59252789784307</v>
      </c>
      <c r="AC20" s="11">
        <v>828.81860512554204</v>
      </c>
      <c r="AD20" s="11">
        <f>835972.204171642/(10^3)</f>
        <v>835.97220417164192</v>
      </c>
      <c r="AE20" s="11">
        <f>859405.718521/(10^3)</f>
        <v>859.40571852100004</v>
      </c>
      <c r="AF20" s="11">
        <f>875000.916815824/(10^3)</f>
        <v>875.00091681582398</v>
      </c>
      <c r="AG20" s="11">
        <f>894672.359992506/(10^3)</f>
        <v>894.67235999250602</v>
      </c>
      <c r="AH20" s="11">
        <f>938375.687818257/(10^3)</f>
        <v>938.37568781825701</v>
      </c>
      <c r="AI20" s="11">
        <v>983.16870186281744</v>
      </c>
      <c r="AJ20" s="11">
        <f>995246.715716317/(10^3)</f>
        <v>995.246715716317</v>
      </c>
      <c r="AK20" s="11">
        <f>1043919.23278808/(10^3)</f>
        <v>1043.9192327880801</v>
      </c>
      <c r="AL20" s="11">
        <f>1080509.64058206/(10^3)</f>
        <v>1080.50964058206</v>
      </c>
      <c r="AM20" s="11">
        <f>1118916.56677912/(10^3)</f>
        <v>1118.9165667791199</v>
      </c>
      <c r="AN20" s="11">
        <f>1170707.55704472/(10^3)</f>
        <v>1170.70755704472</v>
      </c>
      <c r="AO20" s="11">
        <v>1216.5804061235492</v>
      </c>
      <c r="AP20" s="11">
        <f>1266009.31854834/(10^3)</f>
        <v>1266.0093185483399</v>
      </c>
      <c r="AQ20" s="11">
        <f>1217238.19220197/(10^3)</f>
        <v>1217.2381922019699</v>
      </c>
      <c r="AR20" s="11">
        <f>1179216.40610803/(10^3)</f>
        <v>1179.2164061080298</v>
      </c>
      <c r="AS20" s="11">
        <f>1144203.28170793/(10^3)</f>
        <v>1144.2032817079298</v>
      </c>
      <c r="AT20" s="11">
        <f>1141695.05495345/(10^3)</f>
        <v>1141.6950549534502</v>
      </c>
      <c r="AU20" s="11">
        <v>1112.0623401053522</v>
      </c>
      <c r="AV20" s="11">
        <f>1101987.08441076/(10^3)</f>
        <v>1101.9870844107602</v>
      </c>
      <c r="AW20" s="11">
        <f>1084318.34523402/(10^3)</f>
        <v>1084.3183452340199</v>
      </c>
      <c r="AX20" s="11">
        <f>1077417.16533706/(10^3)</f>
        <v>1077.4171653370602</v>
      </c>
      <c r="AY20" s="11">
        <f>1052398.03023709/(10^3)</f>
        <v>1052.3980302370901</v>
      </c>
      <c r="AZ20" s="11">
        <f>1045975.45149196/(10^3)</f>
        <v>1045.97545149196</v>
      </c>
      <c r="BA20" s="11">
        <v>1041.9690526664895</v>
      </c>
      <c r="BB20" s="11">
        <f>1032636.79698432/(10^3)</f>
        <v>1032.63679698432</v>
      </c>
      <c r="BC20" s="11">
        <f>1031314.44836092/(10^3)</f>
        <v>1031.3144483609199</v>
      </c>
      <c r="BD20" s="11">
        <f>1028247.76574357/(10^3)</f>
        <v>1028.24776574357</v>
      </c>
      <c r="BE20" s="11">
        <f>1008927.1837322/(10^3)</f>
        <v>1008.9271837322</v>
      </c>
      <c r="BF20" s="11">
        <f>1023073.11631889/(10^3)</f>
        <v>1023.07311631889</v>
      </c>
      <c r="BG20" s="11">
        <v>1070.9439510358754</v>
      </c>
      <c r="BH20" s="11">
        <f>1080687.47356832/(10^3)</f>
        <v>1080.68747356832</v>
      </c>
      <c r="BI20" s="11">
        <f>1118263.39382732/(10^3)</f>
        <v>1118.26339382732</v>
      </c>
      <c r="BJ20" s="11">
        <f>1176697.09121988/(10^3)</f>
        <v>1176.6970912198799</v>
      </c>
      <c r="BK20" s="11">
        <f>1179752.00736231/(10^3)</f>
        <v>1179.75200736231</v>
      </c>
      <c r="BL20" s="11">
        <f>1194000.58373376/(10^3)</f>
        <v>1194.0005837337601</v>
      </c>
      <c r="BM20" s="11">
        <v>1228.400270210971</v>
      </c>
      <c r="BN20" s="11">
        <f>1231147.69349731/(10^3)</f>
        <v>1231.14769349731</v>
      </c>
      <c r="BO20" s="11">
        <f>1173299.58889784/(10^3)</f>
        <v>1173.2995888978398</v>
      </c>
      <c r="BP20" s="11">
        <f>1100145.49945142/(10^3)</f>
        <v>1100.1454994514199</v>
      </c>
      <c r="BQ20" s="11">
        <f>1057768.32338936/(10^3)</f>
        <v>1057.7683233893599</v>
      </c>
      <c r="BR20" s="11">
        <f>1010717.21045356/(10^3)</f>
        <v>1010.71721045356</v>
      </c>
      <c r="BS20" s="11">
        <v>996.89663466587206</v>
      </c>
      <c r="BT20" s="11">
        <f>979384.194868285/(10^3)</f>
        <v>979.38419486828502</v>
      </c>
      <c r="BU20" s="11">
        <f>925806.792256266/(10^3)</f>
        <v>925.80679225626602</v>
      </c>
      <c r="BV20" s="11">
        <f>833379.048020746/(10^3)</f>
        <v>833.37904802074593</v>
      </c>
      <c r="BW20" s="11">
        <f>823516.404393674/(10^3)</f>
        <v>823.51640439367395</v>
      </c>
      <c r="BX20" s="11">
        <f>845692.303293875/(10^3)</f>
        <v>845.69230329387494</v>
      </c>
      <c r="BY20" s="11">
        <v>879.72450331617438</v>
      </c>
      <c r="BZ20" s="11">
        <f>920830.946464737/(10^3)</f>
        <v>920.83094646473694</v>
      </c>
      <c r="CA20" s="11">
        <f>832267.059852642/(10^3)</f>
        <v>832.26705985264198</v>
      </c>
      <c r="CB20" s="11">
        <f>815993.516316982/(10^3)</f>
        <v>815.99351631698198</v>
      </c>
      <c r="CC20" s="12"/>
      <c r="DD20" s="11"/>
      <c r="DE20" s="11"/>
      <c r="DF20" s="11"/>
    </row>
    <row r="21" spans="4:110" x14ac:dyDescent="0.25">
      <c r="D21" s="10" t="s">
        <v>99</v>
      </c>
      <c r="E21" s="10" t="s">
        <v>88</v>
      </c>
      <c r="F21" s="10" t="s">
        <v>180</v>
      </c>
      <c r="G21" s="10"/>
      <c r="H21" s="67" t="str">
        <f>CONCATENATE(D21," ",G21)</f>
        <v xml:space="preserve">Newark </v>
      </c>
      <c r="I21" s="11">
        <f>140069/(10^3)</f>
        <v>140.06899999999999</v>
      </c>
      <c r="J21" s="11">
        <f>144812.979233607/(10^3)</f>
        <v>144.812979233607</v>
      </c>
      <c r="K21" s="11">
        <v>143.09748243716376</v>
      </c>
      <c r="L21" s="11">
        <f>144881.429915268/(10^3)</f>
        <v>144.881429915268</v>
      </c>
      <c r="M21" s="11">
        <f>148059.586754779/(10^3)</f>
        <v>148.05958675477902</v>
      </c>
      <c r="N21" s="11">
        <f>149956.546395344/(10^3)</f>
        <v>149.95654639534399</v>
      </c>
      <c r="O21" s="11">
        <f>155628.761671623/(10^3)</f>
        <v>155.62876167162301</v>
      </c>
      <c r="P21" s="11">
        <f>157852.27492584/(10^3)</f>
        <v>157.85227492583999</v>
      </c>
      <c r="Q21" s="11">
        <v>162.37920716779288</v>
      </c>
      <c r="R21" s="11">
        <f>158807.579671206/(10^3)</f>
        <v>158.80757967120601</v>
      </c>
      <c r="S21" s="11">
        <f>153331.888105427/(10^3)</f>
        <v>153.331888105427</v>
      </c>
      <c r="T21" s="11">
        <f>148845.39881974/(10^3)</f>
        <v>148.84539881973998</v>
      </c>
      <c r="U21" s="11">
        <f>145323.365942201/(10^3)</f>
        <v>145.32336594220101</v>
      </c>
      <c r="V21" s="11">
        <f>145125.505543835/(10^3)</f>
        <v>145.125505543835</v>
      </c>
      <c r="W21" s="11">
        <v>142.74525537093203</v>
      </c>
      <c r="X21" s="11">
        <f>148868.026103978/(10^3)</f>
        <v>148.868026103978</v>
      </c>
      <c r="Y21" s="11">
        <f>151310.003594795/(10^3)</f>
        <v>151.31000359479501</v>
      </c>
      <c r="Z21" s="11">
        <f>157747.759766384/(10^3)</f>
        <v>157.74775976638401</v>
      </c>
      <c r="AA21" s="11">
        <f>161996.731826912/(10^3)</f>
        <v>161.996731826912</v>
      </c>
      <c r="AB21" s="11">
        <f>162774.719379409/(10^3)</f>
        <v>162.77471937940902</v>
      </c>
      <c r="AC21" s="11">
        <v>170.43955328822346</v>
      </c>
      <c r="AD21" s="11">
        <f>175237.654828585/(10^3)</f>
        <v>175.23765482858499</v>
      </c>
      <c r="AE21" s="11">
        <f>179576.265205029/(10^3)</f>
        <v>179.57626520502899</v>
      </c>
      <c r="AF21" s="11">
        <f>182205.706258638/(10^3)</f>
        <v>182.205706258638</v>
      </c>
      <c r="AG21" s="11">
        <f>183215.963189602/(10^3)</f>
        <v>183.21596318960198</v>
      </c>
      <c r="AH21" s="11">
        <f>184480.916884419/(10^3)</f>
        <v>184.480916884419</v>
      </c>
      <c r="AI21" s="11">
        <v>191.75066495498683</v>
      </c>
      <c r="AJ21" s="11">
        <f>193310.133501345/(10^3)</f>
        <v>193.31013350134501</v>
      </c>
      <c r="AK21" s="11">
        <f>202058.881867179/(10^3)</f>
        <v>202.058881867179</v>
      </c>
      <c r="AL21" s="11">
        <f>203562.630565371/(10^3)</f>
        <v>203.56263056537099</v>
      </c>
      <c r="AM21" s="11">
        <f>204278.786805215/(10^3)</f>
        <v>204.27878680521499</v>
      </c>
      <c r="AN21" s="11">
        <f>209647.292715086/(10^3)</f>
        <v>209.647292715086</v>
      </c>
      <c r="AO21" s="11">
        <v>216.10363513773558</v>
      </c>
      <c r="AP21" s="11">
        <f>221713.519016132/(10^3)</f>
        <v>221.71351901613198</v>
      </c>
      <c r="AQ21" s="11">
        <f>217877.34580513/(10^3)</f>
        <v>217.87734580513001</v>
      </c>
      <c r="AR21" s="11">
        <f>211484.795509716/(10^3)</f>
        <v>211.48479550971601</v>
      </c>
      <c r="AS21" s="11">
        <f>210240.566021405/(10^3)</f>
        <v>210.24056602140499</v>
      </c>
      <c r="AT21" s="11">
        <f>202487.330239176/(10^3)</f>
        <v>202.487330239176</v>
      </c>
      <c r="AU21" s="11">
        <v>201.99903468613994</v>
      </c>
      <c r="AV21" s="11">
        <f>194742.006449495/(10^3)</f>
        <v>194.74200644949499</v>
      </c>
      <c r="AW21" s="11">
        <f>188203.43978244/(10^3)</f>
        <v>188.20343978244</v>
      </c>
      <c r="AX21" s="11">
        <f>179953.298719623/(10^3)</f>
        <v>179.95329871962301</v>
      </c>
      <c r="AY21" s="11">
        <f>173855.088828839/(10^3)</f>
        <v>173.855088828839</v>
      </c>
      <c r="AZ21" s="11">
        <f>167974.261635505/(10^3)</f>
        <v>167.974261635505</v>
      </c>
      <c r="BA21" s="11">
        <v>166.19782697973176</v>
      </c>
      <c r="BB21" s="11">
        <f>162295.976077878/(10^3)</f>
        <v>162.29597607787801</v>
      </c>
      <c r="BC21" s="11">
        <f>157768.145350401/(10^3)</f>
        <v>157.768145350401</v>
      </c>
      <c r="BD21" s="11">
        <f>151330.231216227/(10^3)</f>
        <v>151.33023121622699</v>
      </c>
      <c r="BE21" s="11">
        <f>146299.611038521/(10^3)</f>
        <v>146.29961103852099</v>
      </c>
      <c r="BF21" s="11">
        <f>152082.246800605/(10^3)</f>
        <v>152.08224680060499</v>
      </c>
      <c r="BG21" s="11">
        <v>147.93984434588265</v>
      </c>
      <c r="BH21" s="11">
        <f>144902.273212488/(10^3)</f>
        <v>144.90227321248801</v>
      </c>
      <c r="BI21" s="11">
        <f>145779.280108814/(10^3)</f>
        <v>145.77928010881402</v>
      </c>
      <c r="BJ21" s="11">
        <f>160321.041858586/(10^3)</f>
        <v>160.321041858586</v>
      </c>
      <c r="BK21" s="11">
        <f>162626.523686095/(10^3)</f>
        <v>162.626523686095</v>
      </c>
      <c r="BL21" s="11">
        <f>170095.16039244/(10^3)</f>
        <v>170.09516039244002</v>
      </c>
      <c r="BM21" s="11">
        <v>174.7967954574178</v>
      </c>
      <c r="BN21" s="11">
        <f>182038.786966145/(10^3)</f>
        <v>182.03878696614501</v>
      </c>
      <c r="BO21" s="11">
        <f>165125.981613116/(10^3)</f>
        <v>165.12598161311598</v>
      </c>
      <c r="BP21" s="11">
        <f>151491.345975416/(10^3)</f>
        <v>151.49134597541601</v>
      </c>
      <c r="BQ21" s="11">
        <f>141425.696187995/(10^3)</f>
        <v>141.42569618799499</v>
      </c>
      <c r="BR21" s="11">
        <f>139539.702599611/(10^3)</f>
        <v>139.53970259961099</v>
      </c>
      <c r="BS21" s="11">
        <v>131.67670793071815</v>
      </c>
      <c r="BT21" s="11">
        <f>128827.371053484/(10^3)</f>
        <v>128.827371053484</v>
      </c>
      <c r="BU21" s="11">
        <f>123531.268018622/(10^3)</f>
        <v>123.531268018622</v>
      </c>
      <c r="BV21" s="11">
        <f>112290.277768958/(10^3)</f>
        <v>112.29027776895799</v>
      </c>
      <c r="BW21" s="11">
        <f>112131.976414198/(10^3)</f>
        <v>112.13197641419799</v>
      </c>
      <c r="BX21" s="11">
        <f>115536.254064272/(10^3)</f>
        <v>115.536254064272</v>
      </c>
      <c r="BY21" s="11">
        <v>118.83587881130993</v>
      </c>
      <c r="BZ21" s="11">
        <f>116216.078254175/(10^3)</f>
        <v>116.21607825417499</v>
      </c>
      <c r="CA21" s="11">
        <f>109506.479735208/(10^3)</f>
        <v>109.506479735208</v>
      </c>
      <c r="CB21" s="11">
        <f>109178.307481711/(10^3)</f>
        <v>109.178307481711</v>
      </c>
      <c r="CC21" s="12"/>
      <c r="DD21" s="11"/>
      <c r="DE21" s="11"/>
      <c r="DF21" s="11"/>
    </row>
    <row r="22" spans="4:110" x14ac:dyDescent="0.25">
      <c r="D22" s="10" t="s">
        <v>102</v>
      </c>
      <c r="E22" s="10" t="s">
        <v>93</v>
      </c>
      <c r="F22" s="10" t="s">
        <v>180</v>
      </c>
      <c r="G22" s="10"/>
      <c r="H22" s="67" t="str">
        <f>CONCATENATE(D22," ",G22)</f>
        <v xml:space="preserve">Albany </v>
      </c>
      <c r="I22" s="11">
        <f>117617/(10^3)</f>
        <v>117.617</v>
      </c>
      <c r="J22" s="11">
        <f>122755.845644216/(10^3)</f>
        <v>122.755845644216</v>
      </c>
      <c r="K22" s="11">
        <v>128.52915425560928</v>
      </c>
      <c r="L22" s="11">
        <f>129042.458653128/(10^3)</f>
        <v>129.04245865312799</v>
      </c>
      <c r="M22" s="11">
        <f>125811.247837738/(10^3)</f>
        <v>125.81124783773801</v>
      </c>
      <c r="N22" s="11">
        <f>136822.811458083/(10^3)</f>
        <v>136.82281145808298</v>
      </c>
      <c r="O22" s="11">
        <f>143408.65003465/(10^3)</f>
        <v>143.40865003465001</v>
      </c>
      <c r="P22" s="11">
        <f>150550.163703445/(10^3)</f>
        <v>150.55016370344501</v>
      </c>
      <c r="Q22" s="11">
        <v>153.04505651792965</v>
      </c>
      <c r="R22" s="11">
        <f>150818.166433166/(10^3)</f>
        <v>150.81816643316603</v>
      </c>
      <c r="S22" s="11">
        <f>139865.691495938/(10^3)</f>
        <v>139.86569149593799</v>
      </c>
      <c r="T22" s="11">
        <f>135099.382720532/(10^3)</f>
        <v>135.09938272053202</v>
      </c>
      <c r="U22" s="11">
        <f>133531.336624021/(10^3)</f>
        <v>133.53133662402101</v>
      </c>
      <c r="V22" s="11">
        <f>130338.145540318/(10^3)</f>
        <v>130.33814554031801</v>
      </c>
      <c r="W22" s="11">
        <v>133.1427428090285</v>
      </c>
      <c r="X22" s="11">
        <f>139734.692926939/(10^3)</f>
        <v>139.734692926939</v>
      </c>
      <c r="Y22" s="11">
        <f>140737.607946966/(10^3)</f>
        <v>140.73760794696599</v>
      </c>
      <c r="Z22" s="11">
        <f>145882.452145418/(10^3)</f>
        <v>145.882452145418</v>
      </c>
      <c r="AA22" s="11">
        <f>152699.865690476/(10^3)</f>
        <v>152.699865690476</v>
      </c>
      <c r="AB22" s="11">
        <f>156827.688851171/(10^3)</f>
        <v>156.82768885117099</v>
      </c>
      <c r="AC22" s="11">
        <v>162.50183463286572</v>
      </c>
      <c r="AD22" s="11">
        <f>169842.6392946/(10^3)</f>
        <v>169.84263929459999</v>
      </c>
      <c r="AE22" s="11">
        <f>177425.410645828/(10^3)</f>
        <v>177.42541064582801</v>
      </c>
      <c r="AF22" s="11">
        <f>184893.917299624/(10^3)</f>
        <v>184.89391729962401</v>
      </c>
      <c r="AG22" s="11">
        <f>190009.373189483/(10^3)</f>
        <v>190.009373189483</v>
      </c>
      <c r="AH22" s="11">
        <f>196914.72482421/(10^3)</f>
        <v>196.91472482421</v>
      </c>
      <c r="AI22" s="11">
        <v>202.08039520378523</v>
      </c>
      <c r="AJ22" s="11">
        <f>203753.114939683/(10^3)</f>
        <v>203.753114939683</v>
      </c>
      <c r="AK22" s="11">
        <f>211036.496223907/(10^3)</f>
        <v>211.03649622390699</v>
      </c>
      <c r="AL22" s="11">
        <f>213622.932449885/(10^3)</f>
        <v>213.62293244988501</v>
      </c>
      <c r="AM22" s="11">
        <f>219099.199369057/(10^3)</f>
        <v>219.099199369057</v>
      </c>
      <c r="AN22" s="11">
        <f>219159.301320646/(10^3)</f>
        <v>219.15930132064599</v>
      </c>
      <c r="AO22" s="11">
        <v>224.75367938718466</v>
      </c>
      <c r="AP22" s="11">
        <f>232633.443185636/(10^3)</f>
        <v>232.633443185636</v>
      </c>
      <c r="AQ22" s="11">
        <f>218597.477618738/(10^3)</f>
        <v>218.597477618738</v>
      </c>
      <c r="AR22" s="11">
        <f>214601.289039938/(10^3)</f>
        <v>214.60128903993802</v>
      </c>
      <c r="AS22" s="11">
        <f>207698.182872282/(10^3)</f>
        <v>207.69818287228199</v>
      </c>
      <c r="AT22" s="11">
        <f>206314.141117245/(10^3)</f>
        <v>206.31414111724499</v>
      </c>
      <c r="AU22" s="11">
        <v>204.58041194557606</v>
      </c>
      <c r="AV22" s="11">
        <f>200493.757025201/(10^3)</f>
        <v>200.49375702520098</v>
      </c>
      <c r="AW22" s="11">
        <f>195775.842792637/(10^3)</f>
        <v>195.77584279263701</v>
      </c>
      <c r="AX22" s="11">
        <f>192605.34050019/(10^3)</f>
        <v>192.60534050019001</v>
      </c>
      <c r="AY22" s="11">
        <f>185999.124038146/(10^3)</f>
        <v>185.99912403814599</v>
      </c>
      <c r="AZ22" s="11">
        <f>181596.088492103/(10^3)</f>
        <v>181.59608849210301</v>
      </c>
      <c r="BA22" s="11">
        <v>173.48122047217805</v>
      </c>
      <c r="BB22" s="11">
        <f>165045.835407425/(10^3)</f>
        <v>165.04583540742502</v>
      </c>
      <c r="BC22" s="11">
        <f>163481.761769916/(10^3)</f>
        <v>163.48176176991598</v>
      </c>
      <c r="BD22" s="11">
        <f>160789.069531606/(10^3)</f>
        <v>160.78906953160597</v>
      </c>
      <c r="BE22" s="11">
        <f>153974.485137016/(10^3)</f>
        <v>153.97448513701599</v>
      </c>
      <c r="BF22" s="11">
        <f>150705.875224261/(10^3)</f>
        <v>150.70587522426098</v>
      </c>
      <c r="BG22" s="11">
        <v>151.94279077505914</v>
      </c>
      <c r="BH22" s="11">
        <f>154259.879838903/(10^3)</f>
        <v>154.259879838903</v>
      </c>
      <c r="BI22" s="11">
        <f>153488.563204338/(10^3)</f>
        <v>153.48856320433799</v>
      </c>
      <c r="BJ22" s="11">
        <f>153497.602105291/(10^3)</f>
        <v>153.49760210529101</v>
      </c>
      <c r="BK22" s="11">
        <f>159165.357754584/(10^3)</f>
        <v>159.16535775458399</v>
      </c>
      <c r="BL22" s="11">
        <f>165720.821620364/(10^3)</f>
        <v>165.72082162036401</v>
      </c>
      <c r="BM22" s="11">
        <v>173.46174985947943</v>
      </c>
      <c r="BN22" s="11">
        <f>170952.634440367/(10^3)</f>
        <v>170.95263444036701</v>
      </c>
      <c r="BO22" s="11">
        <f>157318.19317291/(10^3)</f>
        <v>157.31819317290999</v>
      </c>
      <c r="BP22" s="11">
        <f>146385.836418417/(10^3)</f>
        <v>146.385836418417</v>
      </c>
      <c r="BQ22" s="11">
        <f>137445.522704474/(10^3)</f>
        <v>137.445522704474</v>
      </c>
      <c r="BR22" s="11">
        <f>130160.96846091/(10^3)</f>
        <v>130.16096846091</v>
      </c>
      <c r="BS22" s="11">
        <v>128.27340892755973</v>
      </c>
      <c r="BT22" s="11">
        <f>125430.25535621/(10^3)</f>
        <v>125.43025535621</v>
      </c>
      <c r="BU22" s="11">
        <f>115610.71102428/(10^3)</f>
        <v>115.61071102427999</v>
      </c>
      <c r="BV22" s="11">
        <f>111775.865364701/(10^3)</f>
        <v>111.775865364701</v>
      </c>
      <c r="BW22" s="11">
        <f>101575.897800214/(10^3)</f>
        <v>101.57589780021401</v>
      </c>
      <c r="BX22" s="11">
        <f>103933.395252658/(10^3)</f>
        <v>103.933395252658</v>
      </c>
      <c r="BY22" s="11">
        <v>105.56883925679563</v>
      </c>
      <c r="BZ22" s="11">
        <f>107237.460075721/(10^3)</f>
        <v>107.237460075721</v>
      </c>
      <c r="CA22" s="11">
        <f>96899.895636048/(10^3)</f>
        <v>96.899895636047987</v>
      </c>
      <c r="CB22" s="11">
        <f>93280.707795398/(10^3)</f>
        <v>93.280707795398001</v>
      </c>
      <c r="CC22" s="12"/>
      <c r="DD22" s="11"/>
      <c r="DE22" s="11"/>
      <c r="DF22" s="11"/>
    </row>
    <row r="23" spans="4:110" x14ac:dyDescent="0.25">
      <c r="D23" s="10" t="s">
        <v>101</v>
      </c>
      <c r="E23" s="10" t="s">
        <v>93</v>
      </c>
      <c r="F23" s="10" t="s">
        <v>180</v>
      </c>
      <c r="G23" s="10"/>
      <c r="H23" s="67" t="str">
        <f>CONCATENATE(D23," ",G23)</f>
        <v xml:space="preserve">New York </v>
      </c>
      <c r="I23" s="11">
        <f>43488/(10^3)</f>
        <v>43.488</v>
      </c>
      <c r="J23" s="11">
        <f>42822.3847047298/(10^3)</f>
        <v>42.822384704729799</v>
      </c>
      <c r="K23" s="11">
        <v>44.202595195123088</v>
      </c>
      <c r="L23" s="11">
        <f>45343.4335884138/(10^3)</f>
        <v>45.343433588413795</v>
      </c>
      <c r="M23" s="11">
        <f>47105.7676362416/(10^3)</f>
        <v>47.105767636241602</v>
      </c>
      <c r="N23" s="11">
        <f>51809.8819235875/(10^3)</f>
        <v>51.809881923587497</v>
      </c>
      <c r="O23" s="11">
        <f>53345.0725254424/(10^3)</f>
        <v>53.345072525442404</v>
      </c>
      <c r="P23" s="11">
        <f>55930.8448047964/(10^3)</f>
        <v>55.930844804796401</v>
      </c>
      <c r="Q23" s="11">
        <v>57.430293332352107</v>
      </c>
      <c r="R23" s="11">
        <f>57117.8458691106/(10^3)</f>
        <v>57.117845869110596</v>
      </c>
      <c r="S23" s="11">
        <f>53682.6150853493/(10^3)</f>
        <v>53.682615085349305</v>
      </c>
      <c r="T23" s="11">
        <f>52078.24600403/(10^3)</f>
        <v>52.078246004029999</v>
      </c>
      <c r="U23" s="11">
        <f>51813.7930698644/(10^3)</f>
        <v>51.813793069864396</v>
      </c>
      <c r="V23" s="11">
        <f>50487.6163427624/(10^3)</f>
        <v>50.487616342762401</v>
      </c>
      <c r="W23" s="11">
        <v>49.048834647719289</v>
      </c>
      <c r="X23" s="11">
        <f>51072.604220262/(10^3)</f>
        <v>51.072604220262001</v>
      </c>
      <c r="Y23" s="11">
        <f>52197.1577624292/(10^3)</f>
        <v>52.1971577624292</v>
      </c>
      <c r="Z23" s="11">
        <f>54984.6572247367/(10^3)</f>
        <v>54.984657224736701</v>
      </c>
      <c r="AA23" s="11">
        <f>55493.0196411375/(10^3)</f>
        <v>55.493019641137501</v>
      </c>
      <c r="AB23" s="11">
        <f>57149.3374455003/(10^3)</f>
        <v>57.149337445500301</v>
      </c>
      <c r="AC23" s="11">
        <v>58.838501424227516</v>
      </c>
      <c r="AD23" s="11">
        <f>60782.9616247544/(10^3)</f>
        <v>60.782961624754407</v>
      </c>
      <c r="AE23" s="11">
        <f>63351.0175105266/(10^3)</f>
        <v>63.351017510526603</v>
      </c>
      <c r="AF23" s="11">
        <f>64355.4445271385/(10^3)</f>
        <v>64.355444527138502</v>
      </c>
      <c r="AG23" s="11">
        <f>66040.093164718/(10^3)</f>
        <v>66.040093164718002</v>
      </c>
      <c r="AH23" s="11">
        <f>69221.8612445743/(10^3)</f>
        <v>69.221861244574299</v>
      </c>
      <c r="AI23" s="11">
        <v>72.034214699473381</v>
      </c>
      <c r="AJ23" s="11">
        <f>73374.1768606081/(10^3)</f>
        <v>73.374176860608102</v>
      </c>
      <c r="AK23" s="11">
        <f>75572.4808771055/(10^3)</f>
        <v>75.572480877105491</v>
      </c>
      <c r="AL23" s="11">
        <f>78519.5750995862/(10^3)</f>
        <v>78.519575099586206</v>
      </c>
      <c r="AM23" s="11">
        <f>81391.5522724051/(10^3)</f>
        <v>81.391552272405093</v>
      </c>
      <c r="AN23" s="11">
        <f>83953.9784864409/(10^3)</f>
        <v>83.953978486440903</v>
      </c>
      <c r="AO23" s="11">
        <v>86.707726095493896</v>
      </c>
      <c r="AP23" s="11">
        <f>84606.3473557057/(10^3)</f>
        <v>84.606347355705694</v>
      </c>
      <c r="AQ23" s="11">
        <f>81856.8941570425/(10^3)</f>
        <v>81.85689415704249</v>
      </c>
      <c r="AR23" s="11">
        <f>79444.1761059329/(10^3)</f>
        <v>79.444176105932897</v>
      </c>
      <c r="AS23" s="11">
        <f>77057.0710472724/(10^3)</f>
        <v>77.057071047272402</v>
      </c>
      <c r="AT23" s="11">
        <f>75590.4844038285/(10^3)</f>
        <v>75.590484403828498</v>
      </c>
      <c r="AU23" s="11">
        <v>73.39329954453757</v>
      </c>
      <c r="AV23" s="11">
        <f>73114.8021262575/(10^3)</f>
        <v>73.114802126257501</v>
      </c>
      <c r="AW23" s="11">
        <f>71618.6838312765/(10^3)</f>
        <v>71.618683831276499</v>
      </c>
      <c r="AX23" s="11">
        <f>70742.7040377192/(10^3)</f>
        <v>70.742704037719207</v>
      </c>
      <c r="AY23" s="11">
        <f>70070.7757311852/(10^3)</f>
        <v>70.070775731185208</v>
      </c>
      <c r="AZ23" s="11">
        <f>66749.9534100895/(10^3)</f>
        <v>66.749953410089489</v>
      </c>
      <c r="BA23" s="11">
        <v>66.293269408391396</v>
      </c>
      <c r="BB23" s="11">
        <f>66203.4008169012/(10^3)</f>
        <v>66.203400816901194</v>
      </c>
      <c r="BC23" s="11">
        <f>64873.6774354109/(10^3)</f>
        <v>64.873677435410897</v>
      </c>
      <c r="BD23" s="11">
        <f>63960.8417472843/(10^3)</f>
        <v>63.960841747284299</v>
      </c>
      <c r="BE23" s="11">
        <f>62678.765781433/(10^3)</f>
        <v>62.678765781433</v>
      </c>
      <c r="BF23" s="11">
        <f>65029.3947201135/(10^3)</f>
        <v>65.029394720113501</v>
      </c>
      <c r="BG23" s="11">
        <v>64.768842151084002</v>
      </c>
      <c r="BH23" s="11">
        <f>65864.1598201419/(10^3)</f>
        <v>65.864159820141893</v>
      </c>
      <c r="BI23" s="11">
        <f>68078.7262360059/(10^3)</f>
        <v>68.078726236005892</v>
      </c>
      <c r="BJ23" s="11">
        <f>74114.6036337335/(10^3)</f>
        <v>74.114603633733495</v>
      </c>
      <c r="BK23" s="11">
        <f>76239.862637909/(10^3)</f>
        <v>76.239862637908999</v>
      </c>
      <c r="BL23" s="11">
        <f>78403.9721416764/(10^3)</f>
        <v>78.403972141676391</v>
      </c>
      <c r="BM23" s="11">
        <v>79.201993861910267</v>
      </c>
      <c r="BN23" s="11">
        <f>77834.9582604994/(10^3)</f>
        <v>77.834958260499405</v>
      </c>
      <c r="BO23" s="11">
        <f>70630.5753903296/(10^3)</f>
        <v>70.630575390329597</v>
      </c>
      <c r="BP23" s="11">
        <f>68793.4008643103/(10^3)</f>
        <v>68.7934008643103</v>
      </c>
      <c r="BQ23" s="11">
        <f>61924.5068445487/(10^3)</f>
        <v>61.924506844548695</v>
      </c>
      <c r="BR23" s="11">
        <f>60352.9038348323/(10^3)</f>
        <v>60.352903834832304</v>
      </c>
      <c r="BS23" s="11">
        <v>56.677213708932101</v>
      </c>
      <c r="BT23" s="11">
        <f>53799.1134857349/(10^3)</f>
        <v>53.7991134857349</v>
      </c>
      <c r="BU23" s="11">
        <f>52339.3440033172/(10^3)</f>
        <v>52.339344003317201</v>
      </c>
      <c r="BV23" s="11">
        <f>47777.5929721501/(10^3)</f>
        <v>47.777592972150103</v>
      </c>
      <c r="BW23" s="11">
        <f>47264.0865424622/(10^3)</f>
        <v>47.264086542462202</v>
      </c>
      <c r="BX23" s="11">
        <f>49299.3674702404/(10^3)</f>
        <v>49.299367470240405</v>
      </c>
      <c r="BY23" s="11">
        <v>50.545823576431339</v>
      </c>
      <c r="BZ23" s="11">
        <f>52962.8854730114/(10^3)</f>
        <v>52.962885473011404</v>
      </c>
      <c r="CA23" s="11">
        <f>50333.2406988837/(10^3)</f>
        <v>50.333240698883699</v>
      </c>
      <c r="CB23" s="11">
        <f>50212.8898207521/(10^3)</f>
        <v>50.212889820752096</v>
      </c>
      <c r="CC23" s="12"/>
      <c r="DD23" s="11"/>
      <c r="DE23" s="11"/>
      <c r="DF23" s="11"/>
    </row>
    <row r="24" spans="4:110" x14ac:dyDescent="0.25">
      <c r="D24" s="10" t="s">
        <v>105</v>
      </c>
      <c r="E24" s="10" t="s">
        <v>95</v>
      </c>
      <c r="F24" s="10" t="s">
        <v>149</v>
      </c>
      <c r="G24" s="10"/>
      <c r="H24" s="67" t="str">
        <f>CONCATENATE(D24," ",G24)</f>
        <v xml:space="preserve">Columbus </v>
      </c>
      <c r="I24" s="11">
        <f>68005/(10^3)</f>
        <v>68.004999999999995</v>
      </c>
      <c r="J24" s="11">
        <f>71188.864474829/(10^3)</f>
        <v>71.188864474828989</v>
      </c>
      <c r="K24" s="11">
        <v>72.644297156886736</v>
      </c>
      <c r="L24" s="11">
        <f>74956.791583303/(10^3)</f>
        <v>74.956791583303001</v>
      </c>
      <c r="M24" s="11">
        <f>77501.4034815062/(10^3)</f>
        <v>77.501403481506202</v>
      </c>
      <c r="N24" s="11">
        <f>80922.4656145205/(10^3)</f>
        <v>80.92246561452049</v>
      </c>
      <c r="O24" s="11">
        <f>83742.461671271/(10^3)</f>
        <v>83.742461671271002</v>
      </c>
      <c r="P24" s="11">
        <f>86269.6524326486/(10^3)</f>
        <v>86.269652432648599</v>
      </c>
      <c r="Q24" s="11">
        <v>88.042478461441547</v>
      </c>
      <c r="R24" s="11">
        <f>91058.1350313558/(10^3)</f>
        <v>91.058135031355803</v>
      </c>
      <c r="S24" s="11">
        <f>85460.81952425/(10^3)</f>
        <v>85.460819524249999</v>
      </c>
      <c r="T24" s="11">
        <f>81662.2453665218/(10^3)</f>
        <v>81.662245366521802</v>
      </c>
      <c r="U24" s="11">
        <f>80676.2234675436/(10^3)</f>
        <v>80.676223467543608</v>
      </c>
      <c r="V24" s="11">
        <f>80999.0982664151/(10^3)</f>
        <v>80.999098266415089</v>
      </c>
      <c r="W24" s="11">
        <v>82.434754267172863</v>
      </c>
      <c r="X24" s="11">
        <f>85698.1847649182/(10^3)</f>
        <v>85.698184764918196</v>
      </c>
      <c r="Y24" s="11">
        <f>89707.9779048708/(10^3)</f>
        <v>89.707977904870802</v>
      </c>
      <c r="Z24" s="11">
        <f>92609.9497116317/(10^3)</f>
        <v>92.609949711631714</v>
      </c>
      <c r="AA24" s="11">
        <f>97125.6845234653/(10^3)</f>
        <v>97.125684523465296</v>
      </c>
      <c r="AB24" s="11">
        <f>97762.7506417304/(10^3)</f>
        <v>97.762750641730392</v>
      </c>
      <c r="AC24" s="11">
        <v>101.63452325458894</v>
      </c>
      <c r="AD24" s="11">
        <f>102562.078413307/(10^3)</f>
        <v>102.56207841330699</v>
      </c>
      <c r="AE24" s="11">
        <f>103073.402395206/(10^3)</f>
        <v>103.07340239520599</v>
      </c>
      <c r="AF24" s="11">
        <f>104889.229014077/(10^3)</f>
        <v>104.889229014077</v>
      </c>
      <c r="AG24" s="11">
        <f>110122.516778357/(10^3)</f>
        <v>110.12251677835701</v>
      </c>
      <c r="AH24" s="11">
        <f>114974.620331299/(10^3)</f>
        <v>114.97462033129899</v>
      </c>
      <c r="AI24" s="11">
        <v>118.8829200229723</v>
      </c>
      <c r="AJ24" s="11">
        <f>121551.594441676/(10^3)</f>
        <v>121.551594441676</v>
      </c>
      <c r="AK24" s="11">
        <f>124256.060805665/(10^3)</f>
        <v>124.256060805665</v>
      </c>
      <c r="AL24" s="11">
        <f>127049.006728074/(10^3)</f>
        <v>127.049006728074</v>
      </c>
      <c r="AM24" s="11">
        <f>131114.242170935/(10^3)</f>
        <v>131.114242170935</v>
      </c>
      <c r="AN24" s="11">
        <f>133401.269110113/(10^3)</f>
        <v>133.40126911011299</v>
      </c>
      <c r="AO24" s="11">
        <v>138.29528010259742</v>
      </c>
      <c r="AP24" s="11">
        <f>144625.21852233/(10^3)</f>
        <v>144.62521852232999</v>
      </c>
      <c r="AQ24" s="11">
        <f>130729.541762644/(10^3)</f>
        <v>130.729541762644</v>
      </c>
      <c r="AR24" s="11">
        <f>124338.566928733/(10^3)</f>
        <v>124.338566928733</v>
      </c>
      <c r="AS24" s="11">
        <f>124290.775555863/(10^3)</f>
        <v>124.29077555586301</v>
      </c>
      <c r="AT24" s="11">
        <f>122405.014661944/(10^3)</f>
        <v>122.40501466194401</v>
      </c>
      <c r="AU24" s="11">
        <v>119.73289479277945</v>
      </c>
      <c r="AV24" s="11">
        <f>116855.583305701/(10^3)</f>
        <v>116.855583305701</v>
      </c>
      <c r="AW24" s="11">
        <f>112346.915747888/(10^3)</f>
        <v>112.34691574788799</v>
      </c>
      <c r="AX24" s="11">
        <f>107560.139819243/(10^3)</f>
        <v>107.56013981924301</v>
      </c>
      <c r="AY24" s="11">
        <f>103696.031962744/(10^3)</f>
        <v>103.696031962744</v>
      </c>
      <c r="AZ24" s="11">
        <f>99984.8807205878/(10^3)</f>
        <v>99.984880720587796</v>
      </c>
      <c r="BA24" s="11">
        <v>97.084105868621421</v>
      </c>
      <c r="BB24" s="11">
        <f>93838.9710253835/(10^3)</f>
        <v>93.838971025383486</v>
      </c>
      <c r="BC24" s="11">
        <f>89187.9557247545/(10^3)</f>
        <v>89.187955724754502</v>
      </c>
      <c r="BD24" s="11">
        <f>85521.7298951126/(10^3)</f>
        <v>85.5217298951126</v>
      </c>
      <c r="BE24" s="11">
        <f>85234.0791752281/(10^3)</f>
        <v>85.234079175228089</v>
      </c>
      <c r="BF24" s="11">
        <f>83104.5565455357/(10^3)</f>
        <v>83.104556545535701</v>
      </c>
      <c r="BG24" s="11">
        <v>83.207024992161109</v>
      </c>
      <c r="BH24" s="11">
        <f>80884.2475775676/(10^3)</f>
        <v>80.884247577567606</v>
      </c>
      <c r="BI24" s="11">
        <f>83143.2808328637/(10^3)</f>
        <v>83.143280832863709</v>
      </c>
      <c r="BJ24" s="11">
        <f>84958.1663182597/(10^3)</f>
        <v>84.9581663182597</v>
      </c>
      <c r="BK24" s="11">
        <f>87191.274527281/(10^3)</f>
        <v>87.191274527280996</v>
      </c>
      <c r="BL24" s="11">
        <f>90744.3496307603/(10^3)</f>
        <v>90.744349630760311</v>
      </c>
      <c r="BM24" s="11">
        <v>91.47477361728923</v>
      </c>
      <c r="BN24" s="11">
        <f>90035.5520339733/(10^3)</f>
        <v>90.035552033973303</v>
      </c>
      <c r="BO24" s="11">
        <f>89509.8505360727/(10^3)</f>
        <v>89.509850536072705</v>
      </c>
      <c r="BP24" s="11">
        <f>88167.8109445284/(10^3)</f>
        <v>88.167810944528412</v>
      </c>
      <c r="BQ24" s="11">
        <f>83841.3642061271/(10^3)</f>
        <v>83.841364206127096</v>
      </c>
      <c r="BR24" s="11">
        <f>83202.0270798979/(10^3)</f>
        <v>83.202027079897903</v>
      </c>
      <c r="BS24" s="11">
        <v>81.336704228550246</v>
      </c>
      <c r="BT24" s="11">
        <f>75565.0855599304/(10^3)</f>
        <v>75.565085559930409</v>
      </c>
      <c r="BU24" s="11">
        <f>72100.9611389543/(10^3)</f>
        <v>72.100961138954304</v>
      </c>
      <c r="BV24" s="11">
        <f>71101.2722061011/(10^3)</f>
        <v>71.1012722061011</v>
      </c>
      <c r="BW24" s="11">
        <f>69864.7217150513/(10^3)</f>
        <v>69.864721715051303</v>
      </c>
      <c r="BX24" s="11">
        <f>70385.3672977975/(10^3)</f>
        <v>70.385367297797487</v>
      </c>
      <c r="BY24" s="11">
        <v>72.596845981242765</v>
      </c>
      <c r="BZ24" s="11">
        <f>75761.1970422795/(10^3)</f>
        <v>75.761197042279505</v>
      </c>
      <c r="CA24" s="11">
        <f>75046.6398849667/(10^3)</f>
        <v>75.046639884966709</v>
      </c>
      <c r="CB24" s="11">
        <f>73853.8232227463/(10^3)</f>
        <v>73.8538232227463</v>
      </c>
      <c r="CC24" s="12"/>
      <c r="DD24" s="11"/>
      <c r="DE24" s="11"/>
      <c r="DF24" s="11"/>
    </row>
    <row r="25" spans="4:110" x14ac:dyDescent="0.25">
      <c r="D25" s="10" t="s">
        <v>106</v>
      </c>
      <c r="E25" s="10" t="s">
        <v>95</v>
      </c>
      <c r="F25" s="10" t="s">
        <v>149</v>
      </c>
      <c r="G25" s="10"/>
      <c r="H25" s="67" t="str">
        <f>CONCATENATE(D25," ",G25)</f>
        <v xml:space="preserve">Cleveland </v>
      </c>
      <c r="I25" s="11">
        <f>126969/(10^3)</f>
        <v>126.96899999999999</v>
      </c>
      <c r="J25" s="11">
        <f>128822.008668504/(10^3)</f>
        <v>128.822008668504</v>
      </c>
      <c r="K25" s="11">
        <v>125.30072651403083</v>
      </c>
      <c r="L25" s="11">
        <f>124645.586348598/(10^3)</f>
        <v>124.64558634859799</v>
      </c>
      <c r="M25" s="11">
        <f>130736.55141398/(10^3)</f>
        <v>130.73655141398001</v>
      </c>
      <c r="N25" s="11">
        <f>142512.367486372/(10^3)</f>
        <v>142.512367486372</v>
      </c>
      <c r="O25" s="11">
        <f>148514.340806125/(10^3)</f>
        <v>148.51434080612501</v>
      </c>
      <c r="P25" s="11">
        <f>150502.49822287/(10^3)</f>
        <v>150.50249822287</v>
      </c>
      <c r="Q25" s="11">
        <v>156.32702715925026</v>
      </c>
      <c r="R25" s="11">
        <f>159399.350158431/(10^3)</f>
        <v>159.39935015843102</v>
      </c>
      <c r="S25" s="11">
        <f>151873.132198806/(10^3)</f>
        <v>151.87313219880602</v>
      </c>
      <c r="T25" s="11">
        <f>147418.031907588/(10^3)</f>
        <v>147.41803190758802</v>
      </c>
      <c r="U25" s="11">
        <f>147010.345947773/(10^3)</f>
        <v>147.010345947773</v>
      </c>
      <c r="V25" s="11">
        <f>153561.971147117/(10^3)</f>
        <v>153.56197114711699</v>
      </c>
      <c r="W25" s="11">
        <v>150.22193795873929</v>
      </c>
      <c r="X25" s="11">
        <f>155067.010491397/(10^3)</f>
        <v>155.06701049139699</v>
      </c>
      <c r="Y25" s="11">
        <f>154517.969654022/(10^3)</f>
        <v>154.51796965402198</v>
      </c>
      <c r="Z25" s="11">
        <f>167675.425778064/(10^3)</f>
        <v>167.67542577806401</v>
      </c>
      <c r="AA25" s="11">
        <f>170052.72776407/(10^3)</f>
        <v>170.05272776407</v>
      </c>
      <c r="AB25" s="11">
        <f>178329.69993464/(10^3)</f>
        <v>178.32969993463999</v>
      </c>
      <c r="AC25" s="11">
        <v>186.88029161468057</v>
      </c>
      <c r="AD25" s="11">
        <f>186354.260426638/(10^3)</f>
        <v>186.35426042663801</v>
      </c>
      <c r="AE25" s="11">
        <f>175682.299164217/(10^3)</f>
        <v>175.682299164217</v>
      </c>
      <c r="AF25" s="11">
        <f>171527.128208835/(10^3)</f>
        <v>171.52712820883499</v>
      </c>
      <c r="AG25" s="11">
        <f>169396.843089392/(10^3)</f>
        <v>169.39684308939201</v>
      </c>
      <c r="AH25" s="11">
        <f>168481.226640298/(10^3)</f>
        <v>168.48122664029799</v>
      </c>
      <c r="AI25" s="11">
        <v>174.38211862479406</v>
      </c>
      <c r="AJ25" s="11">
        <f>170872.126285183/(10^3)</f>
        <v>170.87212628518301</v>
      </c>
      <c r="AK25" s="11">
        <f>177014.015971292/(10^3)</f>
        <v>177.01401597129203</v>
      </c>
      <c r="AL25" s="11">
        <f>174777.824744495/(10^3)</f>
        <v>174.77782474449501</v>
      </c>
      <c r="AM25" s="11">
        <f>178759.640136524/(10^3)</f>
        <v>178.75964013652398</v>
      </c>
      <c r="AN25" s="11">
        <f>182945.663680482/(10^3)</f>
        <v>182.945663680482</v>
      </c>
      <c r="AO25" s="11">
        <v>188.7662318066437</v>
      </c>
      <c r="AP25" s="11">
        <f>186963.669127997/(10^3)</f>
        <v>186.96366912799701</v>
      </c>
      <c r="AQ25" s="11">
        <f>186184.026673984/(10^3)</f>
        <v>186.18402667398399</v>
      </c>
      <c r="AR25" s="11">
        <f>180040.771025013/(10^3)</f>
        <v>180.04077102501302</v>
      </c>
      <c r="AS25" s="11">
        <f>173142.198680391/(10^3)</f>
        <v>173.142198680391</v>
      </c>
      <c r="AT25" s="11">
        <f>167898.563481004/(10^3)</f>
        <v>167.898563481004</v>
      </c>
      <c r="AU25" s="11">
        <v>166.20136926749012</v>
      </c>
      <c r="AV25" s="11">
        <f>162029.369766872/(10^3)</f>
        <v>162.02936976687201</v>
      </c>
      <c r="AW25" s="11">
        <f>159844.314337972/(10^3)</f>
        <v>159.84431433797201</v>
      </c>
      <c r="AX25" s="11">
        <f>155579.951376179/(10^3)</f>
        <v>155.579951376179</v>
      </c>
      <c r="AY25" s="11">
        <f>155446.192388533/(10^3)</f>
        <v>155.44619238853301</v>
      </c>
      <c r="AZ25" s="11">
        <f>155246.382079482/(10^3)</f>
        <v>155.246382079482</v>
      </c>
      <c r="BA25" s="11">
        <v>152.25002203883884</v>
      </c>
      <c r="BB25" s="11">
        <f>145030.008700983/(10^3)</f>
        <v>145.03000870098299</v>
      </c>
      <c r="BC25" s="11">
        <f>139147.183183044/(10^3)</f>
        <v>139.14718318304398</v>
      </c>
      <c r="BD25" s="11">
        <f>136496.017562016/(10^3)</f>
        <v>136.49601756201599</v>
      </c>
      <c r="BE25" s="11">
        <f>132211.147182618/(10^3)</f>
        <v>132.21114718261799</v>
      </c>
      <c r="BF25" s="11">
        <f>130263.996924706/(10^3)</f>
        <v>130.26399692470602</v>
      </c>
      <c r="BG25" s="11">
        <v>126.87089770378979</v>
      </c>
      <c r="BH25" s="11">
        <f>123792.472886214/(10^3)</f>
        <v>123.792472886214</v>
      </c>
      <c r="BI25" s="11">
        <f>125484.022236511/(10^3)</f>
        <v>125.484022236511</v>
      </c>
      <c r="BJ25" s="11">
        <f>131903.979692172/(10^3)</f>
        <v>131.90397969217199</v>
      </c>
      <c r="BK25" s="11">
        <f>132060.441305418/(10^3)</f>
        <v>132.06044130541801</v>
      </c>
      <c r="BL25" s="11">
        <f>137749.461854104/(10^3)</f>
        <v>137.749461854104</v>
      </c>
      <c r="BM25" s="11">
        <v>143.21803045362637</v>
      </c>
      <c r="BN25" s="11">
        <f>149119.329738618/(10^3)</f>
        <v>149.11932973861798</v>
      </c>
      <c r="BO25" s="11">
        <f>134351.765555615/(10^3)</f>
        <v>134.351765555615</v>
      </c>
      <c r="BP25" s="11">
        <f>122008.763842949/(10^3)</f>
        <v>122.00876384294901</v>
      </c>
      <c r="BQ25" s="11">
        <f>116850.337401887/(10^3)</f>
        <v>116.85033740188699</v>
      </c>
      <c r="BR25" s="11">
        <f>107068.913108716/(10^3)</f>
        <v>107.068913108716</v>
      </c>
      <c r="BS25" s="11">
        <v>101.10290442029545</v>
      </c>
      <c r="BT25" s="11">
        <f>96302.1776806078/(10^3)</f>
        <v>96.302177680607798</v>
      </c>
      <c r="BU25" s="11">
        <f>90995.1804576695/(10^3)</f>
        <v>90.995180457669505</v>
      </c>
      <c r="BV25" s="11">
        <f>83626.4574028612/(10^3)</f>
        <v>83.626457402861192</v>
      </c>
      <c r="BW25" s="11">
        <f>83532.033585316/(10^3)</f>
        <v>83.532033585316</v>
      </c>
      <c r="BX25" s="11">
        <f>85869.5856308575/(10^3)</f>
        <v>85.8695856308575</v>
      </c>
      <c r="BY25" s="11">
        <v>88.991888104951286</v>
      </c>
      <c r="BZ25" s="11">
        <f>87764.4237380346/(10^3)</f>
        <v>87.764423738034608</v>
      </c>
      <c r="CA25" s="11">
        <f>82159.1047523157/(10^3)</f>
        <v>82.159104752315699</v>
      </c>
      <c r="CB25" s="11">
        <f>78070.8025337912/(10^3)</f>
        <v>78.070802533791195</v>
      </c>
      <c r="CC25" s="12"/>
      <c r="DD25" s="11"/>
      <c r="DE25" s="11"/>
      <c r="DF25" s="11"/>
    </row>
    <row r="26" spans="4:110" x14ac:dyDescent="0.25">
      <c r="D26" s="10" t="s">
        <v>107</v>
      </c>
      <c r="E26" s="10" t="s">
        <v>95</v>
      </c>
      <c r="F26" s="10" t="s">
        <v>149</v>
      </c>
      <c r="G26" s="10"/>
      <c r="H26" s="67" t="str">
        <f>CONCATENATE(D26," ",G26)</f>
        <v xml:space="preserve">Cincinnati </v>
      </c>
      <c r="I26" s="11">
        <f>52556/(10^3)</f>
        <v>52.555999999999997</v>
      </c>
      <c r="J26" s="11">
        <f>51778.1345949833/(10^3)</f>
        <v>51.7781345949833</v>
      </c>
      <c r="K26" s="11">
        <v>52.995135964209446</v>
      </c>
      <c r="L26" s="11">
        <f>52957.4910060777/(10^3)</f>
        <v>52.957491006077696</v>
      </c>
      <c r="M26" s="11">
        <f>53822.7164949609/(10^3)</f>
        <v>53.8227164949609</v>
      </c>
      <c r="N26" s="11">
        <f>58332.5286489891/(10^3)</f>
        <v>58.332528648989097</v>
      </c>
      <c r="O26" s="11">
        <f>60166.0577355561/(10^3)</f>
        <v>60.166057735556102</v>
      </c>
      <c r="P26" s="11">
        <f>63143.498357252/(10^3)</f>
        <v>63.143498357252</v>
      </c>
      <c r="Q26" s="11">
        <v>63.678244797687768</v>
      </c>
      <c r="R26" s="11">
        <f>63792.1039968318/(10^3)</f>
        <v>63.792103996831798</v>
      </c>
      <c r="S26" s="11">
        <f>63420.0967450875/(10^3)</f>
        <v>63.420096745087505</v>
      </c>
      <c r="T26" s="11">
        <f>61871.3521927483/(10^3)</f>
        <v>61.871352192748304</v>
      </c>
      <c r="U26" s="11">
        <f>60181.3131955647/(10^3)</f>
        <v>60.181313195564698</v>
      </c>
      <c r="V26" s="11">
        <f>59612.9514439729/(10^3)</f>
        <v>59.612951443972904</v>
      </c>
      <c r="W26" s="11">
        <v>59.13939632293495</v>
      </c>
      <c r="X26" s="11">
        <f>61170.3471045683/(10^3)</f>
        <v>61.1703471045683</v>
      </c>
      <c r="Y26" s="11">
        <f>62598.6592168439/(10^3)</f>
        <v>62.598659216843899</v>
      </c>
      <c r="Z26" s="11">
        <f>61913.4565449114/(10^3)</f>
        <v>61.913456544911405</v>
      </c>
      <c r="AA26" s="11">
        <f>64808.1602295556/(10^3)</f>
        <v>64.808160229555597</v>
      </c>
      <c r="AB26" s="11">
        <f>66908.6277250739/(10^3)</f>
        <v>66.908627725073899</v>
      </c>
      <c r="AC26" s="11">
        <v>66.30613099640189</v>
      </c>
      <c r="AD26" s="11">
        <f>66182.4231797937/(10^3)</f>
        <v>66.182423179793702</v>
      </c>
      <c r="AE26" s="11">
        <f>66105.9009586765/(10^3)</f>
        <v>66.1059009586765</v>
      </c>
      <c r="AF26" s="11">
        <f>64915.3201585615/(10^3)</f>
        <v>64.915320158561499</v>
      </c>
      <c r="AG26" s="11">
        <f>63504.4663970747/(10^3)</f>
        <v>63.504466397074701</v>
      </c>
      <c r="AH26" s="11">
        <f>63130.4632581109/(10^3)</f>
        <v>63.1304632581109</v>
      </c>
      <c r="AI26" s="11">
        <v>66.102635715512733</v>
      </c>
      <c r="AJ26" s="11">
        <f>64719.0271247904/(10^3)</f>
        <v>64.719027124790401</v>
      </c>
      <c r="AK26" s="11">
        <f>63043.7005528677/(10^3)</f>
        <v>63.043700552867698</v>
      </c>
      <c r="AL26" s="11">
        <f>64286.7940913687/(10^3)</f>
        <v>64.286794091368705</v>
      </c>
      <c r="AM26" s="11">
        <f>64491.1332026248/(10^3)</f>
        <v>64.491133202624795</v>
      </c>
      <c r="AN26" s="11">
        <f>66091.1612390729/(10^3)</f>
        <v>66.091161239072903</v>
      </c>
      <c r="AO26" s="11">
        <v>66.719699271212221</v>
      </c>
      <c r="AP26" s="11">
        <f>69250.4959530362/(10^3)</f>
        <v>69.250495953036193</v>
      </c>
      <c r="AQ26" s="11">
        <f>63250.791069798/(10^3)</f>
        <v>63.250791069797998</v>
      </c>
      <c r="AR26" s="11">
        <f>60267.900269049/(10^3)</f>
        <v>60.267900269049001</v>
      </c>
      <c r="AS26" s="11">
        <f>58117.4731586019/(10^3)</f>
        <v>58.117473158601896</v>
      </c>
      <c r="AT26" s="11">
        <f>56863.8649267969/(10^3)</f>
        <v>56.8638649267969</v>
      </c>
      <c r="AU26" s="11">
        <v>56.097694370457646</v>
      </c>
      <c r="AV26" s="11">
        <f>54648.1990965161/(10^3)</f>
        <v>54.648199096516102</v>
      </c>
      <c r="AW26" s="11">
        <f>55484.7904727116/(10^3)</f>
        <v>55.484790472711595</v>
      </c>
      <c r="AX26" s="11">
        <f>56448.6262937642/(10^3)</f>
        <v>56.4486262937642</v>
      </c>
      <c r="AY26" s="11">
        <f>57494.7637644261/(10^3)</f>
        <v>57.494763764426096</v>
      </c>
      <c r="AZ26" s="11">
        <f>59555.9910788891/(10^3)</f>
        <v>59.5559910788891</v>
      </c>
      <c r="BA26" s="11">
        <v>61.205558129598039</v>
      </c>
      <c r="BB26" s="11">
        <f>60556.0465010125/(10^3)</f>
        <v>60.556046501012496</v>
      </c>
      <c r="BC26" s="11">
        <f>54771.9391627723/(10^3)</f>
        <v>54.771939162772298</v>
      </c>
      <c r="BD26" s="11">
        <f>53869.4225505025/(10^3)</f>
        <v>53.869422550502506</v>
      </c>
      <c r="BE26" s="11">
        <f>52596.8382448182/(10^3)</f>
        <v>52.596838244818201</v>
      </c>
      <c r="BF26" s="11">
        <f>54191.6942603157/(10^3)</f>
        <v>54.1916942603157</v>
      </c>
      <c r="BG26" s="11">
        <v>55.245317911559063</v>
      </c>
      <c r="BH26" s="11">
        <f>55928.7054367688/(10^3)</f>
        <v>55.928705436768801</v>
      </c>
      <c r="BI26" s="11">
        <f>57551.1185915265/(10^3)</f>
        <v>57.551118591526503</v>
      </c>
      <c r="BJ26" s="11">
        <f>59789.4996333272/(10^3)</f>
        <v>59.789499633327196</v>
      </c>
      <c r="BK26" s="11">
        <f>60898.8403633651/(10^3)</f>
        <v>60.898840363365103</v>
      </c>
      <c r="BL26" s="11">
        <f>62512.2122945899/(10^3)</f>
        <v>62.512212294589901</v>
      </c>
      <c r="BM26" s="11">
        <v>62.613404811896793</v>
      </c>
      <c r="BN26" s="11">
        <f>63640.2882837277/(10^3)</f>
        <v>63.640288283727699</v>
      </c>
      <c r="BO26" s="11">
        <f>62603.0581337671/(10^3)</f>
        <v>62.603058133767099</v>
      </c>
      <c r="BP26" s="11">
        <f>59694.023762905/(10^3)</f>
        <v>59.694023762905005</v>
      </c>
      <c r="BQ26" s="11">
        <f>57911.4321246089/(10^3)</f>
        <v>57.911432124608901</v>
      </c>
      <c r="BR26" s="11">
        <f>57431.7789463004/(10^3)</f>
        <v>57.431778946300398</v>
      </c>
      <c r="BS26" s="11">
        <v>56.19447802887413</v>
      </c>
      <c r="BT26" s="11">
        <f>55083.8240321706/(10^3)</f>
        <v>55.083824032170604</v>
      </c>
      <c r="BU26" s="11">
        <f>54324.0026806776/(10^3)</f>
        <v>54.324002680677602</v>
      </c>
      <c r="BV26" s="11">
        <f>53861.4219176191/(10^3)</f>
        <v>53.861421917619104</v>
      </c>
      <c r="BW26" s="11">
        <f>53153.3442138324/(10^3)</f>
        <v>53.153344213832405</v>
      </c>
      <c r="BX26" s="11">
        <f>54683.7696004607/(10^3)</f>
        <v>54.6837696004607</v>
      </c>
      <c r="BY26" s="11">
        <v>56.502911113828674</v>
      </c>
      <c r="BZ26" s="11">
        <f>54843.5482188604/(10^3)</f>
        <v>54.843548218860398</v>
      </c>
      <c r="CA26" s="11">
        <f>50657.2046301332/(10^3)</f>
        <v>50.657204630133201</v>
      </c>
      <c r="CB26" s="11">
        <f>48781.3669280783/(10^3)</f>
        <v>48.781366928078299</v>
      </c>
      <c r="CC26" s="12"/>
      <c r="DD26" s="11"/>
      <c r="DE26" s="11"/>
      <c r="DF26" s="11"/>
    </row>
    <row r="27" spans="4:110" x14ac:dyDescent="0.25">
      <c r="D27" s="10" t="s">
        <v>108</v>
      </c>
      <c r="E27" s="10" t="s">
        <v>95</v>
      </c>
      <c r="F27" s="10" t="s">
        <v>149</v>
      </c>
      <c r="G27" s="10"/>
      <c r="H27" s="67" t="str">
        <f>CONCATENATE(D27," ",G27)</f>
        <v xml:space="preserve">Toledo </v>
      </c>
      <c r="I27" s="11">
        <f>48083/(10^3)</f>
        <v>48.082999999999998</v>
      </c>
      <c r="J27" s="11">
        <f>48377.1891333083/(10^3)</f>
        <v>48.377189133308299</v>
      </c>
      <c r="K27" s="11">
        <v>49.270007748853331</v>
      </c>
      <c r="L27" s="11">
        <f>49254.0666866299/(10^3)</f>
        <v>49.254066686629898</v>
      </c>
      <c r="M27" s="11">
        <f>47841.2185027104/(10^3)</f>
        <v>47.841218502710397</v>
      </c>
      <c r="N27" s="11">
        <f>51367.6410015766/(10^3)</f>
        <v>51.367641001576601</v>
      </c>
      <c r="O27" s="11">
        <f>51718.46643142/(10^3)</f>
        <v>51.718466431419998</v>
      </c>
      <c r="P27" s="11">
        <f>51737.8887482419/(10^3)</f>
        <v>51.7378887482419</v>
      </c>
      <c r="Q27" s="11">
        <v>53.838336825922205</v>
      </c>
      <c r="R27" s="11">
        <f>54458.2843174844/(10^3)</f>
        <v>54.458284317484399</v>
      </c>
      <c r="S27" s="11">
        <f>54307.4759495759/(10^3)</f>
        <v>54.307475949575903</v>
      </c>
      <c r="T27" s="11">
        <f>51602.05580607/(10^3)</f>
        <v>51.602055806069998</v>
      </c>
      <c r="U27" s="11">
        <f>50066.3746459164/(10^3)</f>
        <v>50.066374645916405</v>
      </c>
      <c r="V27" s="11">
        <f>52063.2942583333/(10^3)</f>
        <v>52.0632942583333</v>
      </c>
      <c r="W27" s="11">
        <v>52.43157167875848</v>
      </c>
      <c r="X27" s="11">
        <f>52555.8990287333/(10^3)</f>
        <v>52.5558990287333</v>
      </c>
      <c r="Y27" s="11">
        <f>52088.1360744568/(10^3)</f>
        <v>52.088136074456798</v>
      </c>
      <c r="Z27" s="11">
        <f>53589.3364505247/(10^3)</f>
        <v>53.589336450524698</v>
      </c>
      <c r="AA27" s="11">
        <f>53322.5624171651/(10^3)</f>
        <v>53.322562417165102</v>
      </c>
      <c r="AB27" s="11">
        <f>53348.5787513236/(10^3)</f>
        <v>53.3485787513236</v>
      </c>
      <c r="AC27" s="11">
        <v>52.500820446977762</v>
      </c>
      <c r="AD27" s="11">
        <f>52915.906050938/(10^3)</f>
        <v>52.915906050937998</v>
      </c>
      <c r="AE27" s="11">
        <f>49399.6556920117/(10^3)</f>
        <v>49.399655692011699</v>
      </c>
      <c r="AF27" s="11">
        <f>46570.3765843578/(10^3)</f>
        <v>46.570376584357803</v>
      </c>
      <c r="AG27" s="11">
        <f>46180.0645975468/(10^3)</f>
        <v>46.180064597546803</v>
      </c>
      <c r="AH27" s="11">
        <f>47400.3802391067/(10^3)</f>
        <v>47.400380239106703</v>
      </c>
      <c r="AI27" s="11">
        <v>46.918755899904042</v>
      </c>
      <c r="AJ27" s="11">
        <f>48327.2866951562/(10^3)</f>
        <v>48.327286695156204</v>
      </c>
      <c r="AK27" s="11">
        <f>47189.3272522884/(10^3)</f>
        <v>47.1893272522884</v>
      </c>
      <c r="AL27" s="11">
        <f>48992.4979133163/(10^3)</f>
        <v>48.992497913316299</v>
      </c>
      <c r="AM27" s="11">
        <f>50615.2161834647/(10^3)</f>
        <v>50.615216183464696</v>
      </c>
      <c r="AN27" s="11">
        <f>50712.0782077925/(10^3)</f>
        <v>50.712078207792501</v>
      </c>
      <c r="AO27" s="11">
        <v>51.103162985740411</v>
      </c>
      <c r="AP27" s="11">
        <f>50918.7637649643/(10^3)</f>
        <v>50.918763764964304</v>
      </c>
      <c r="AQ27" s="11">
        <f>49967.5768728894/(10^3)</f>
        <v>49.967576872889403</v>
      </c>
      <c r="AR27" s="11">
        <f>47868.4616592589/(10^3)</f>
        <v>47.868461659258898</v>
      </c>
      <c r="AS27" s="11">
        <f>46407.9096090283/(10^3)</f>
        <v>46.407909609028302</v>
      </c>
      <c r="AT27" s="11">
        <f>45877.4663609109/(10^3)</f>
        <v>45.877466360910894</v>
      </c>
      <c r="AU27" s="11">
        <v>44.056603557770138</v>
      </c>
      <c r="AV27" s="11">
        <f>42325.2540059839/(10^3)</f>
        <v>42.325254005983901</v>
      </c>
      <c r="AW27" s="11">
        <f>44162.0882484315/(10^3)</f>
        <v>44.162088248431502</v>
      </c>
      <c r="AX27" s="11">
        <f>44413.5227911414/(10^3)</f>
        <v>44.413522791141396</v>
      </c>
      <c r="AY27" s="11">
        <f>45884.7735588887/(10^3)</f>
        <v>45.884773558888703</v>
      </c>
      <c r="AZ27" s="11">
        <f>47727.0294189265/(10^3)</f>
        <v>47.727029418926499</v>
      </c>
      <c r="BA27" s="11">
        <v>47.913150132338046</v>
      </c>
      <c r="BB27" s="11">
        <f>46877.2241512797/(10^3)</f>
        <v>46.877224151279698</v>
      </c>
      <c r="BC27" s="11">
        <f>45301.7576940467/(10^3)</f>
        <v>45.301757694046699</v>
      </c>
      <c r="BD27" s="11">
        <f>42521.7546109051/(10^3)</f>
        <v>42.521754610905106</v>
      </c>
      <c r="BE27" s="11">
        <f>42230.6813549322/(10^3)</f>
        <v>42.230681354932202</v>
      </c>
      <c r="BF27" s="11">
        <f>42477.7566983627/(10^3)</f>
        <v>42.477756698362697</v>
      </c>
      <c r="BG27" s="11">
        <v>44.240031742230386</v>
      </c>
      <c r="BH27" s="11">
        <f>45882.4439639808/(10^3)</f>
        <v>45.882443963980798</v>
      </c>
      <c r="BI27" s="11">
        <f>45449.5447726605/(10^3)</f>
        <v>45.449544772660495</v>
      </c>
      <c r="BJ27" s="11">
        <f>49361.5236838252/(10^3)</f>
        <v>49.361523683825205</v>
      </c>
      <c r="BK27" s="11">
        <f>50866.5734451347/(10^3)</f>
        <v>50.866573445134705</v>
      </c>
      <c r="BL27" s="11">
        <f>51103.4783954877/(10^3)</f>
        <v>51.103478395487699</v>
      </c>
      <c r="BM27" s="11">
        <v>53.369144438860204</v>
      </c>
      <c r="BN27" s="11">
        <f>53174.5552810737/(10^3)</f>
        <v>53.174555281073701</v>
      </c>
      <c r="BO27" s="11">
        <f>52639.6276577049/(10^3)</f>
        <v>52.639627657704899</v>
      </c>
      <c r="BP27" s="11">
        <f>50266.1098555431/(10^3)</f>
        <v>50.2661098555431</v>
      </c>
      <c r="BQ27" s="11">
        <f>50144.5461772424/(10^3)</f>
        <v>50.144546177242404</v>
      </c>
      <c r="BR27" s="11">
        <f>48887.9790482805/(10^3)</f>
        <v>48.887979048280499</v>
      </c>
      <c r="BS27" s="11">
        <v>48.809210942238145</v>
      </c>
      <c r="BT27" s="11">
        <f>47697.8444133411/(10^3)</f>
        <v>47.697844413341102</v>
      </c>
      <c r="BU27" s="11">
        <f>47143.3240643391/(10^3)</f>
        <v>47.143324064339097</v>
      </c>
      <c r="BV27" s="11">
        <f>45772.2207676812/(10^3)</f>
        <v>45.772220767681205</v>
      </c>
      <c r="BW27" s="11">
        <f>44450.4957347454/(10^3)</f>
        <v>44.450495734745395</v>
      </c>
      <c r="BX27" s="11">
        <f>44707.5355839628/(10^3)</f>
        <v>44.707535583962802</v>
      </c>
      <c r="BY27" s="11">
        <v>45.430171974432966</v>
      </c>
      <c r="BZ27" s="11">
        <f>47358.6720999771/(10^3)</f>
        <v>47.358672099977099</v>
      </c>
      <c r="CA27" s="11">
        <f>45979.6527590229/(10^3)</f>
        <v>45.979652759022905</v>
      </c>
      <c r="CB27" s="11">
        <f>44631.8737860379/(10^3)</f>
        <v>44.6318737860379</v>
      </c>
      <c r="CC27" s="12"/>
      <c r="DD27" s="11"/>
      <c r="DE27" s="11"/>
      <c r="DF27" s="11"/>
    </row>
    <row r="28" spans="4:110" ht="15" customHeight="1" x14ac:dyDescent="0.25">
      <c r="D28" s="10" t="s">
        <v>110</v>
      </c>
      <c r="E28" s="10" t="s">
        <v>100</v>
      </c>
      <c r="F28" s="10" t="s">
        <v>180</v>
      </c>
      <c r="G28" s="10"/>
      <c r="H28" s="67" t="str">
        <f>CONCATENATE(D28," ",G28)</f>
        <v xml:space="preserve">Harrisburg </v>
      </c>
      <c r="I28" s="11">
        <f>34998/(10^3)</f>
        <v>34.997999999999998</v>
      </c>
      <c r="J28" s="11">
        <f>36712.7932700905/(10^3)</f>
        <v>36.712793270090501</v>
      </c>
      <c r="K28" s="11">
        <v>36.130416268989883</v>
      </c>
      <c r="L28" s="11">
        <f>35234.7926364037/(10^3)</f>
        <v>35.234792636403697</v>
      </c>
      <c r="M28" s="11">
        <f>34217.9204488644/(10^3)</f>
        <v>34.217920448864405</v>
      </c>
      <c r="N28" s="11">
        <f>34718.6116485946/(10^3)</f>
        <v>34.718611648594596</v>
      </c>
      <c r="O28" s="11">
        <f>36391.5242035121/(10^3)</f>
        <v>36.391524203512098</v>
      </c>
      <c r="P28" s="11">
        <f>37534.6292149241/(10^3)</f>
        <v>37.534629214924095</v>
      </c>
      <c r="Q28" s="11">
        <v>37.82661879639371</v>
      </c>
      <c r="R28" s="11">
        <f>38848.9944733776/(10^3)</f>
        <v>38.848994473377601</v>
      </c>
      <c r="S28" s="11">
        <f>38485.7902070887/(10^3)</f>
        <v>38.485790207088698</v>
      </c>
      <c r="T28" s="11">
        <f>37764.7301850049/(10^3)</f>
        <v>37.7647301850049</v>
      </c>
      <c r="U28" s="11">
        <f>36667.7808918814/(10^3)</f>
        <v>36.667780891881399</v>
      </c>
      <c r="V28" s="11">
        <f>36481.3164053559/(10^3)</f>
        <v>36.481316405355898</v>
      </c>
      <c r="W28" s="11">
        <v>37.3640994538653</v>
      </c>
      <c r="X28" s="11">
        <f>36489.3712508062/(10^3)</f>
        <v>36.489371250806201</v>
      </c>
      <c r="Y28" s="11">
        <f>38031.9733258208/(10^3)</f>
        <v>38.0319733258208</v>
      </c>
      <c r="Z28" s="11">
        <f>38289.8889541217/(10^3)</f>
        <v>38.2898889541217</v>
      </c>
      <c r="AA28" s="11">
        <f>40132.9995181035/(10^3)</f>
        <v>40.132999518103496</v>
      </c>
      <c r="AB28" s="11">
        <f>41521.3461602424/(10^3)</f>
        <v>41.521346160242402</v>
      </c>
      <c r="AC28" s="11">
        <v>42.859811002237876</v>
      </c>
      <c r="AD28" s="11">
        <f>43463.1260949702/(10^3)</f>
        <v>43.4631260949702</v>
      </c>
      <c r="AE28" s="11">
        <f>43061.5140301303/(10^3)</f>
        <v>43.061514030130304</v>
      </c>
      <c r="AF28" s="11">
        <f>42347.4572254604/(10^3)</f>
        <v>42.347457225460396</v>
      </c>
      <c r="AG28" s="11">
        <f>42166.074673829/(10^3)</f>
        <v>42.166074673829002</v>
      </c>
      <c r="AH28" s="11">
        <f>41861.4495048314/(10^3)</f>
        <v>41.861449504831398</v>
      </c>
      <c r="AI28" s="11">
        <v>43.182538095743851</v>
      </c>
      <c r="AJ28" s="11">
        <f>44328.8110379345/(10^3)</f>
        <v>44.3288110379345</v>
      </c>
      <c r="AK28" s="11">
        <f>45252.208739511/(10^3)</f>
        <v>45.252208739510998</v>
      </c>
      <c r="AL28" s="11">
        <f>46445.9095568398/(10^3)</f>
        <v>46.445909556839794</v>
      </c>
      <c r="AM28" s="11">
        <f>47544.8394176693/(10^3)</f>
        <v>47.544839417669294</v>
      </c>
      <c r="AN28" s="11">
        <f>49492.2339292381/(10^3)</f>
        <v>49.492233929238097</v>
      </c>
      <c r="AO28" s="11">
        <v>50.579233696692953</v>
      </c>
      <c r="AP28" s="11">
        <f>52614.2792756475/(10^3)</f>
        <v>52.614279275647505</v>
      </c>
      <c r="AQ28" s="11">
        <f>48215.3723083138/(10^3)</f>
        <v>48.215372308313803</v>
      </c>
      <c r="AR28" s="11">
        <f>47383.4666914527/(10^3)</f>
        <v>47.383466691452696</v>
      </c>
      <c r="AS28" s="11">
        <f>47375.3105769559/(10^3)</f>
        <v>47.375310576955897</v>
      </c>
      <c r="AT28" s="11">
        <f>45232.7854230165/(10^3)</f>
        <v>45.232785423016502</v>
      </c>
      <c r="AU28" s="11">
        <v>43.202823144616488</v>
      </c>
      <c r="AV28" s="11">
        <f>41432.3993651724/(10^3)</f>
        <v>41.432399365172401</v>
      </c>
      <c r="AW28" s="11">
        <f>43154.9403541049/(10^3)</f>
        <v>43.154940354104902</v>
      </c>
      <c r="AX28" s="11">
        <f>43711.7888574967/(10^3)</f>
        <v>43.7117888574967</v>
      </c>
      <c r="AY28" s="11">
        <f>45663.7165971851/(10^3)</f>
        <v>45.6637165971851</v>
      </c>
      <c r="AZ28" s="11">
        <f>47242.178126132/(10^3)</f>
        <v>47.242178126131996</v>
      </c>
      <c r="BA28" s="11">
        <v>47.488137748226926</v>
      </c>
      <c r="BB28" s="11">
        <f>47349.9109931049/(10^3)</f>
        <v>47.349910993104899</v>
      </c>
      <c r="BC28" s="11">
        <f>45999.1622313909/(10^3)</f>
        <v>45.999162231390905</v>
      </c>
      <c r="BD28" s="11">
        <f>43298.6082506817/(10^3)</f>
        <v>43.298608250681696</v>
      </c>
      <c r="BE28" s="11">
        <f>40367.1997781619/(10^3)</f>
        <v>40.367199778161897</v>
      </c>
      <c r="BF28" s="11">
        <f>41266.870961738/(10^3)</f>
        <v>41.266870961738</v>
      </c>
      <c r="BG28" s="11">
        <v>40.976144127766588</v>
      </c>
      <c r="BH28" s="11">
        <f>42174.4788799704/(10^3)</f>
        <v>42.174478879970394</v>
      </c>
      <c r="BI28" s="11">
        <f>43025.9285584618/(10^3)</f>
        <v>43.0259285584618</v>
      </c>
      <c r="BJ28" s="11">
        <f>45553.8726248179/(10^3)</f>
        <v>45.553872624817899</v>
      </c>
      <c r="BK28" s="11">
        <f>47117.745732151/(10^3)</f>
        <v>47.117745732151</v>
      </c>
      <c r="BL28" s="11">
        <f>48959.9625732256/(10^3)</f>
        <v>48.959962573225603</v>
      </c>
      <c r="BM28" s="11">
        <v>50.680696960298597</v>
      </c>
      <c r="BN28" s="11">
        <f>49589.7889770098/(10^3)</f>
        <v>49.589788977009796</v>
      </c>
      <c r="BO28" s="11">
        <f>44640.4166061405/(10^3)</f>
        <v>44.640416606140498</v>
      </c>
      <c r="BP28" s="11">
        <f>43049.6731347969/(10^3)</f>
        <v>43.049673134796905</v>
      </c>
      <c r="BQ28" s="11">
        <f>42754.7714258775/(10^3)</f>
        <v>42.7547714258775</v>
      </c>
      <c r="BR28" s="11">
        <f>42211.8884003164/(10^3)</f>
        <v>42.211888400316397</v>
      </c>
      <c r="BS28" s="11">
        <v>41.625901451938262</v>
      </c>
      <c r="BT28" s="11">
        <f>41134.9610984575/(10^3)</f>
        <v>41.134961098457495</v>
      </c>
      <c r="BU28" s="11">
        <f>40659.8742048154/(10^3)</f>
        <v>40.659874204815402</v>
      </c>
      <c r="BV28" s="11">
        <f>39763.3186655852/(10^3)</f>
        <v>39.763318665585196</v>
      </c>
      <c r="BW28" s="11">
        <f>39502.7638864482/(10^3)</f>
        <v>39.5027638864482</v>
      </c>
      <c r="BX28" s="11">
        <f>39678.1943327199/(10^3)</f>
        <v>39.678194332719897</v>
      </c>
      <c r="BY28" s="11">
        <v>40.000090444100699</v>
      </c>
      <c r="BZ28" s="11">
        <f>40656.4551901138/(10^3)</f>
        <v>40.656455190113796</v>
      </c>
      <c r="CA28" s="11">
        <f>38038.0164212337/(10^3)</f>
        <v>38.038016421233699</v>
      </c>
      <c r="CB28" s="11">
        <f>38002.7607591155/(10^3)</f>
        <v>38.002760759115503</v>
      </c>
      <c r="CC28" s="12"/>
      <c r="DD28" s="11"/>
      <c r="DE28" s="11"/>
      <c r="DF28" s="11"/>
    </row>
    <row r="29" spans="4:110" x14ac:dyDescent="0.25">
      <c r="D29" s="10" t="s">
        <v>112</v>
      </c>
      <c r="E29" s="10" t="s">
        <v>100</v>
      </c>
      <c r="F29" s="10" t="s">
        <v>180</v>
      </c>
      <c r="G29" s="10"/>
      <c r="H29" s="67" t="str">
        <f>CONCATENATE(D29," ",G29)</f>
        <v xml:space="preserve">Philadelphia </v>
      </c>
      <c r="I29" s="11">
        <f>111485/(10^3)</f>
        <v>111.485</v>
      </c>
      <c r="J29" s="11">
        <f>108359.29120276/(10^3)</f>
        <v>108.35929120275999</v>
      </c>
      <c r="K29" s="11">
        <v>111.6507534987108</v>
      </c>
      <c r="L29" s="11">
        <f>109871.187233353/(10^3)</f>
        <v>109.871187233353</v>
      </c>
      <c r="M29" s="11">
        <f>109421.477100448/(10^3)</f>
        <v>109.421477100448</v>
      </c>
      <c r="N29" s="11">
        <f>117958.375162572/(10^3)</f>
        <v>117.958375162572</v>
      </c>
      <c r="O29" s="11">
        <f>119512.780404337/(10^3)</f>
        <v>119.51278040433699</v>
      </c>
      <c r="P29" s="11">
        <f>125035.682591139/(10^3)</f>
        <v>125.03568259113901</v>
      </c>
      <c r="Q29" s="11">
        <v>126.55436177172844</v>
      </c>
      <c r="R29" s="11">
        <f>122977.470783421/(10^3)</f>
        <v>122.977470783421</v>
      </c>
      <c r="S29" s="11">
        <f>122725.888858983/(10^3)</f>
        <v>122.725888858983</v>
      </c>
      <c r="T29" s="11">
        <f>119627.628277001/(10^3)</f>
        <v>119.62762827700099</v>
      </c>
      <c r="U29" s="11">
        <f>119295.15821871/(10^3)</f>
        <v>119.29515821871</v>
      </c>
      <c r="V29" s="11">
        <f>115783.34367002/(10^3)</f>
        <v>115.78334367002</v>
      </c>
      <c r="W29" s="11">
        <v>121.21764709273641</v>
      </c>
      <c r="X29" s="11">
        <f>124287.207751728/(10^3)</f>
        <v>124.287207751728</v>
      </c>
      <c r="Y29" s="11">
        <f>125433.999711247/(10^3)</f>
        <v>125.433999711247</v>
      </c>
      <c r="Z29" s="11">
        <f>121817.406448494/(10^3)</f>
        <v>121.817406448494</v>
      </c>
      <c r="AA29" s="11">
        <f>125523.766292239/(10^3)</f>
        <v>125.523766292239</v>
      </c>
      <c r="AB29" s="11">
        <f>126327.110581923/(10^3)</f>
        <v>126.32711058192299</v>
      </c>
      <c r="AC29" s="11">
        <v>127.13987561127054</v>
      </c>
      <c r="AD29" s="11">
        <f>132857.419706516/(10^3)</f>
        <v>132.857419706516</v>
      </c>
      <c r="AE29" s="11">
        <f>128104.090401203/(10^3)</f>
        <v>128.104090401203</v>
      </c>
      <c r="AF29" s="11">
        <f>115840.356245018/(10^3)</f>
        <v>115.840356245018</v>
      </c>
      <c r="AG29" s="11">
        <f>114857.252567689/(10^3)</f>
        <v>114.857252567689</v>
      </c>
      <c r="AH29" s="11">
        <f>115146.000787194/(10^3)</f>
        <v>115.146000787194</v>
      </c>
      <c r="AI29" s="11">
        <v>117.88792454341744</v>
      </c>
      <c r="AJ29" s="11">
        <f>114852.096736727/(10^3)</f>
        <v>114.85209673672701</v>
      </c>
      <c r="AK29" s="11">
        <f>112641.034491363/(10^3)</f>
        <v>112.641034491363</v>
      </c>
      <c r="AL29" s="11">
        <f>112884.571112752/(10^3)</f>
        <v>112.884571112752</v>
      </c>
      <c r="AM29" s="11">
        <f>118003.636251596/(10^3)</f>
        <v>118.00363625159601</v>
      </c>
      <c r="AN29" s="11">
        <f>121862.622400922/(10^3)</f>
        <v>121.86262240092201</v>
      </c>
      <c r="AO29" s="11">
        <v>124.06798236820387</v>
      </c>
      <c r="AP29" s="11">
        <f>128570.149564014/(10^3)</f>
        <v>128.570149564014</v>
      </c>
      <c r="AQ29" s="11">
        <f>117787.333038895/(10^3)</f>
        <v>117.787333038895</v>
      </c>
      <c r="AR29" s="11">
        <f>114291.293263474/(10^3)</f>
        <v>114.291293263474</v>
      </c>
      <c r="AS29" s="11">
        <f>111393.481084783/(10^3)</f>
        <v>111.39348108478299</v>
      </c>
      <c r="AT29" s="11">
        <f>107497.102064293/(10^3)</f>
        <v>107.49710206429299</v>
      </c>
      <c r="AU29" s="11">
        <v>106.17106622711246</v>
      </c>
      <c r="AV29" s="11">
        <f>105238.052952286/(10^3)</f>
        <v>105.238052952286</v>
      </c>
      <c r="AW29" s="11">
        <f>109017.120756849/(10^3)</f>
        <v>109.01712075684901</v>
      </c>
      <c r="AX29" s="11">
        <f>113958.585040989/(10^3)</f>
        <v>113.95858504098899</v>
      </c>
      <c r="AY29" s="11">
        <f>117662.537798392/(10^3)</f>
        <v>117.66253779839201</v>
      </c>
      <c r="AZ29" s="11">
        <f>118408.792025468/(10^3)</f>
        <v>118.408792025468</v>
      </c>
      <c r="BA29" s="11">
        <v>124.31376721679612</v>
      </c>
      <c r="BB29" s="11">
        <f>124328.220865225/(10^3)</f>
        <v>124.32822086522499</v>
      </c>
      <c r="BC29" s="11">
        <f>115004.845066374/(10^3)</f>
        <v>115.00484506637399</v>
      </c>
      <c r="BD29" s="11">
        <f>114218.048261061/(10^3)</f>
        <v>114.218048261061</v>
      </c>
      <c r="BE29" s="11">
        <f>106257.187978758/(10^3)</f>
        <v>106.257187978758</v>
      </c>
      <c r="BF29" s="11">
        <f>107497.234362883/(10^3)</f>
        <v>107.49723436288299</v>
      </c>
      <c r="BG29" s="11">
        <v>112.60090219953292</v>
      </c>
      <c r="BH29" s="11">
        <f>116277.669307976/(10^3)</f>
        <v>116.277669307976</v>
      </c>
      <c r="BI29" s="11">
        <f>113197.736386115/(10^3)</f>
        <v>113.197736386115</v>
      </c>
      <c r="BJ29" s="11">
        <f>118521.328744405/(10^3)</f>
        <v>118.521328744405</v>
      </c>
      <c r="BK29" s="11">
        <f>124442.603943848/(10^3)</f>
        <v>124.442603943848</v>
      </c>
      <c r="BL29" s="11">
        <f>128725.873880989/(10^3)</f>
        <v>128.72587388098901</v>
      </c>
      <c r="BM29" s="11">
        <v>133.67697407748491</v>
      </c>
      <c r="BN29" s="11">
        <f>134219.940261858/(10^3)</f>
        <v>134.219940261858</v>
      </c>
      <c r="BO29" s="11">
        <f>129554.912033549/(10^3)</f>
        <v>129.55491203354899</v>
      </c>
      <c r="BP29" s="11">
        <f>124496.296485372/(10^3)</f>
        <v>124.496296485372</v>
      </c>
      <c r="BQ29" s="11">
        <f>123122.292919384/(10^3)</f>
        <v>123.12229291938399</v>
      </c>
      <c r="BR29" s="11">
        <f>119794.371513415/(10^3)</f>
        <v>119.794371513415</v>
      </c>
      <c r="BS29" s="11">
        <v>117.36844286267203</v>
      </c>
      <c r="BT29" s="11">
        <f>116015.561028679/(10^3)</f>
        <v>116.015561028679</v>
      </c>
      <c r="BU29" s="11">
        <f>113789.884066742/(10^3)</f>
        <v>113.789884066742</v>
      </c>
      <c r="BV29" s="11">
        <f>111050.042040625/(10^3)</f>
        <v>111.050042040625</v>
      </c>
      <c r="BW29" s="11">
        <f>110058.894787659/(10^3)</f>
        <v>110.058894787659</v>
      </c>
      <c r="BX29" s="11">
        <f>111014.324244836/(10^3)</f>
        <v>111.01432424483599</v>
      </c>
      <c r="BY29" s="11">
        <v>114.51571759905939</v>
      </c>
      <c r="BZ29" s="11">
        <f>117729.032654827/(10^3)</f>
        <v>117.72903265482699</v>
      </c>
      <c r="CA29" s="11">
        <f>108388.186085306/(10^3)</f>
        <v>108.388186085306</v>
      </c>
      <c r="CB29" s="11">
        <f>105886.715760713/(10^3)</f>
        <v>105.886715760713</v>
      </c>
      <c r="CC29" s="12"/>
      <c r="DD29" s="11"/>
      <c r="DE29" s="11"/>
      <c r="DF29" s="11"/>
    </row>
    <row r="30" spans="4:110" x14ac:dyDescent="0.25">
      <c r="D30" s="10" t="s">
        <v>114</v>
      </c>
      <c r="E30" s="10" t="s">
        <v>103</v>
      </c>
      <c r="F30" s="10" t="s">
        <v>180</v>
      </c>
      <c r="G30" s="10"/>
      <c r="H30" s="67" t="str">
        <f>CONCATENATE(D30," ",G30)</f>
        <v xml:space="preserve">Providence </v>
      </c>
      <c r="I30" s="11">
        <f>12800/(10^3)</f>
        <v>12.8</v>
      </c>
      <c r="J30" s="11">
        <f>12889.451288834/(10^3)</f>
        <v>12.889451288834</v>
      </c>
      <c r="K30" s="11">
        <v>12.640331810100731</v>
      </c>
      <c r="L30" s="11">
        <f>12362.5820716958/(10^3)</f>
        <v>12.362582071695801</v>
      </c>
      <c r="M30" s="11">
        <f>12153.8326510236/(10^3)</f>
        <v>12.153832651023601</v>
      </c>
      <c r="N30" s="11">
        <f>12458.8331762848/(10^3)</f>
        <v>12.458833176284799</v>
      </c>
      <c r="O30" s="11">
        <f>12819.437795726/(10^3)</f>
        <v>12.819437795726</v>
      </c>
      <c r="P30" s="11">
        <f>12950.9794755337/(10^3)</f>
        <v>12.950979475533702</v>
      </c>
      <c r="Q30" s="11">
        <v>13.123316078588656</v>
      </c>
      <c r="R30" s="11">
        <f>13471.5738104953/(10^3)</f>
        <v>13.4715738104953</v>
      </c>
      <c r="S30" s="11">
        <f>12400.6146638301/(10^3)</f>
        <v>12.400614663830099</v>
      </c>
      <c r="T30" s="11">
        <f>11926.4725210881/(10^3)</f>
        <v>11.926472521088101</v>
      </c>
      <c r="U30" s="11">
        <f>11635.4493697614/(10^3)</f>
        <v>11.6354493697614</v>
      </c>
      <c r="V30" s="11">
        <f>12139.0221062706/(10^3)</f>
        <v>12.1390221062706</v>
      </c>
      <c r="W30" s="11">
        <v>11.888638781530798</v>
      </c>
      <c r="X30" s="11">
        <f>11748.2947652819/(10^3)</f>
        <v>11.7482947652819</v>
      </c>
      <c r="Y30" s="11">
        <f>12282.5680888686/(10^3)</f>
        <v>12.282568088868601</v>
      </c>
      <c r="Z30" s="11">
        <f>12084.9225705803/(10^3)</f>
        <v>12.0849225705803</v>
      </c>
      <c r="AA30" s="11">
        <f>12267.9700637734/(10^3)</f>
        <v>12.267970063773401</v>
      </c>
      <c r="AB30" s="11">
        <f>12203.6548402116/(10^3)</f>
        <v>12.2036548402116</v>
      </c>
      <c r="AC30" s="11">
        <v>12.6320149157165</v>
      </c>
      <c r="AD30" s="11">
        <f>12385.9687995091/(10^3)</f>
        <v>12.385968799509101</v>
      </c>
      <c r="AE30" s="11">
        <f>11367.2088943693/(10^3)</f>
        <v>11.3672088943693</v>
      </c>
      <c r="AF30" s="11">
        <f>11157.6674095722/(10^3)</f>
        <v>11.157667409572198</v>
      </c>
      <c r="AG30" s="11">
        <f>10841.2513027927/(10^3)</f>
        <v>10.841251302792699</v>
      </c>
      <c r="AH30" s="11">
        <f>10807.0305965548/(10^3)</f>
        <v>10.807030596554799</v>
      </c>
      <c r="AI30" s="11">
        <v>11.12031589568395</v>
      </c>
      <c r="AJ30" s="11">
        <f>11366.3185356471/(10^3)</f>
        <v>11.3663185356471</v>
      </c>
      <c r="AK30" s="11">
        <f>11073.3006394809/(10^3)</f>
        <v>11.0733006394809</v>
      </c>
      <c r="AL30" s="11">
        <f>11607.2392826792/(10^3)</f>
        <v>11.607239282679201</v>
      </c>
      <c r="AM30" s="11">
        <f>11473.8643847155/(10^3)</f>
        <v>11.473864384715499</v>
      </c>
      <c r="AN30" s="11">
        <f>11298.0095320156/(10^3)</f>
        <v>11.2980095320156</v>
      </c>
      <c r="AO30" s="11">
        <v>11.265048212655046</v>
      </c>
      <c r="AP30" s="11">
        <f>11303.7780954344/(10^3)</f>
        <v>11.303778095434399</v>
      </c>
      <c r="AQ30" s="11">
        <f>11431.4786835974/(10^3)</f>
        <v>11.431478683597399</v>
      </c>
      <c r="AR30" s="11">
        <f>11938.6862962858/(10^3)</f>
        <v>11.9386862962858</v>
      </c>
      <c r="AS30" s="11">
        <f>11912.2258840349/(10^3)</f>
        <v>11.9122258840349</v>
      </c>
      <c r="AT30" s="11">
        <f>11809.4171030379/(10^3)</f>
        <v>11.8094171030379</v>
      </c>
      <c r="AU30" s="11">
        <v>11.931059515607636</v>
      </c>
      <c r="AV30" s="11">
        <f>12038.7469379353/(10^3)</f>
        <v>12.038746937935301</v>
      </c>
      <c r="AW30" s="11">
        <f>12105.5808538758/(10^3)</f>
        <v>12.1055808538758</v>
      </c>
      <c r="AX30" s="11">
        <f>13085.8710528823/(10^3)</f>
        <v>13.085871052882299</v>
      </c>
      <c r="AY30" s="11">
        <f>13725.690893642/(10^3)</f>
        <v>13.725690893642</v>
      </c>
      <c r="AZ30" s="11">
        <f>14131.1782810176/(10^3)</f>
        <v>14.131178281017599</v>
      </c>
      <c r="BA30" s="11">
        <v>14.741856891306597</v>
      </c>
      <c r="BB30" s="11">
        <f>14562.9454558783/(10^3)</f>
        <v>14.5629454558783</v>
      </c>
      <c r="BC30" s="11">
        <f>13725.3756844523/(10^3)</f>
        <v>13.725375684452299</v>
      </c>
      <c r="BD30" s="11">
        <f>13080.1255933515/(10^3)</f>
        <v>13.0801255933515</v>
      </c>
      <c r="BE30" s="11">
        <f>11833.248611113/(10^3)</f>
        <v>11.833248611113</v>
      </c>
      <c r="BF30" s="11">
        <f>11878.4907850023/(10^3)</f>
        <v>11.878490785002299</v>
      </c>
      <c r="BG30" s="11">
        <v>12.299139363986603</v>
      </c>
      <c r="BH30" s="11">
        <f>12642.4363122904/(10^3)</f>
        <v>12.6424363122904</v>
      </c>
      <c r="BI30" s="11">
        <f>13124.4783725437/(10^3)</f>
        <v>13.124478372543699</v>
      </c>
      <c r="BJ30" s="11">
        <f>13223.8038334746/(10^3)</f>
        <v>13.2238038334746</v>
      </c>
      <c r="BK30" s="11">
        <f>13534.6857709628/(10^3)</f>
        <v>13.534685770962801</v>
      </c>
      <c r="BL30" s="11">
        <f>13775.9584106299/(10^3)</f>
        <v>13.775958410629901</v>
      </c>
      <c r="BM30" s="11">
        <v>14.35631061815265</v>
      </c>
      <c r="BN30" s="11">
        <f>14232.4724512034/(10^3)</f>
        <v>14.232472451203401</v>
      </c>
      <c r="BO30" s="11">
        <f>13359.9512381631/(10^3)</f>
        <v>13.359951238163099</v>
      </c>
      <c r="BP30" s="11">
        <f>12934.0619896926/(10^3)</f>
        <v>12.9340619896926</v>
      </c>
      <c r="BQ30" s="11">
        <f>12880.0740739669/(10^3)</f>
        <v>12.880074073966901</v>
      </c>
      <c r="BR30" s="11">
        <f>12507.5682449513/(10^3)</f>
        <v>12.507568244951301</v>
      </c>
      <c r="BS30" s="11">
        <v>12.426224776005231</v>
      </c>
      <c r="BT30" s="11">
        <f>12165.4828423209/(10^3)</f>
        <v>12.1654828423209</v>
      </c>
      <c r="BU30" s="11">
        <f>11869.9001173208/(10^3)</f>
        <v>11.8699001173208</v>
      </c>
      <c r="BV30" s="11">
        <f>11515.2739034883/(10^3)</f>
        <v>11.5152739034883</v>
      </c>
      <c r="BW30" s="11">
        <f>11266.0205895186/(10^3)</f>
        <v>11.2660205895186</v>
      </c>
      <c r="BX30" s="11">
        <f>11759.0185005773/(10^3)</f>
        <v>11.7590185005773</v>
      </c>
      <c r="BY30" s="11">
        <v>11.886248974580294</v>
      </c>
      <c r="BZ30" s="11">
        <f>11753.8907576652/(10^3)</f>
        <v>11.7538907576652</v>
      </c>
      <c r="CA30" s="11">
        <f>11425.7050282503/(10^3)</f>
        <v>11.425705028250301</v>
      </c>
      <c r="CB30" s="11">
        <f>11005.7992173623/(10^3)</f>
        <v>11.0057992173623</v>
      </c>
      <c r="CC30" s="12"/>
      <c r="DD30" s="11"/>
      <c r="DE30" s="11"/>
      <c r="DF30" s="11"/>
    </row>
    <row r="31" spans="4:110" x14ac:dyDescent="0.25">
      <c r="D31" s="10" t="s">
        <v>116</v>
      </c>
      <c r="E31" s="10" t="s">
        <v>104</v>
      </c>
      <c r="F31" s="10" t="s">
        <v>150</v>
      </c>
      <c r="G31" s="10"/>
      <c r="H31" s="67" t="str">
        <f>CONCATENATE(D31," ",G31)</f>
        <v xml:space="preserve">Columbia </v>
      </c>
      <c r="I31" s="11">
        <f>9332/(10^3)</f>
        <v>9.3320000000000007</v>
      </c>
      <c r="J31" s="11">
        <f>9754.68273366962/(10^3)</f>
        <v>9.75468273366962</v>
      </c>
      <c r="K31" s="11">
        <v>10.146112713006335</v>
      </c>
      <c r="L31" s="11">
        <f>10095.8972008391/(10^3)</f>
        <v>10.095897200839099</v>
      </c>
      <c r="M31" s="11">
        <f>10393.8569579623/(10^3)</f>
        <v>10.393856957962299</v>
      </c>
      <c r="N31" s="11">
        <f>11174.990125537/(10^3)</f>
        <v>11.174990125537001</v>
      </c>
      <c r="O31" s="11">
        <f>11208.5744988071/(10^3)</f>
        <v>11.208574498807099</v>
      </c>
      <c r="P31" s="11">
        <f>11765.167602313/(10^3)</f>
        <v>11.765167602313001</v>
      </c>
      <c r="Q31" s="11">
        <v>12.302637045254569</v>
      </c>
      <c r="R31" s="11">
        <f>12052.2172845774/(10^3)</f>
        <v>12.0522172845774</v>
      </c>
      <c r="S31" s="11">
        <f>11108.9374306966/(10^3)</f>
        <v>11.108937430696599</v>
      </c>
      <c r="T31" s="11">
        <f>11092.2509917231/(10^3)</f>
        <v>11.0922509917231</v>
      </c>
      <c r="U31" s="11">
        <f>10925.814813889/(10^3)</f>
        <v>10.925814813889</v>
      </c>
      <c r="V31" s="11">
        <f>10898.6572146114/(10^3)</f>
        <v>10.898657214611399</v>
      </c>
      <c r="W31" s="11">
        <v>10.706810005970759</v>
      </c>
      <c r="X31" s="11">
        <f>11229.8736495401/(10^3)</f>
        <v>11.229873649540101</v>
      </c>
      <c r="Y31" s="11">
        <f>11036.6890536853/(10^3)</f>
        <v>11.036689053685301</v>
      </c>
      <c r="Z31" s="11">
        <f>11555.7359535133/(10^3)</f>
        <v>11.555735953513301</v>
      </c>
      <c r="AA31" s="11">
        <f>11509.8249471237/(10^3)</f>
        <v>11.5098249471237</v>
      </c>
      <c r="AB31" s="11">
        <f>11219.7341405563/(10^3)</f>
        <v>11.2197341405563</v>
      </c>
      <c r="AC31" s="11">
        <v>11.115206246719628</v>
      </c>
      <c r="AD31" s="11">
        <f>11025.4718849569/(10^3)</f>
        <v>11.0254718849569</v>
      </c>
      <c r="AE31" s="11">
        <f>10280.8288833533/(10^3)</f>
        <v>10.280828883353301</v>
      </c>
      <c r="AF31" s="11">
        <f>10089.2080441995/(10^3)</f>
        <v>10.0892080441995</v>
      </c>
      <c r="AG31" s="11">
        <f>9940.77797781178/(10^3)</f>
        <v>9.9407779778117806</v>
      </c>
      <c r="AH31" s="11">
        <f>10253.7184858599/(10^3)</f>
        <v>10.253718485859899</v>
      </c>
      <c r="AI31" s="11">
        <v>9.9514518483022893</v>
      </c>
      <c r="AJ31" s="11">
        <f>9824.13008251693/(10^3)</f>
        <v>9.8241300825169287</v>
      </c>
      <c r="AK31" s="11">
        <f>10093.7706052828/(10^3)</f>
        <v>10.093770605282799</v>
      </c>
      <c r="AL31" s="11">
        <f>10474.7524654653/(10^3)</f>
        <v>10.474752465465301</v>
      </c>
      <c r="AM31" s="11">
        <f>10708.6999946853/(10^3)</f>
        <v>10.708699994685299</v>
      </c>
      <c r="AN31" s="11">
        <f>10634.0450794755/(10^3)</f>
        <v>10.6340450794755</v>
      </c>
      <c r="AO31" s="11">
        <v>10.701046318348217</v>
      </c>
      <c r="AP31" s="11">
        <f>10547.2955643289/(10^3)</f>
        <v>10.5472955643289</v>
      </c>
      <c r="AQ31" s="11">
        <f>10974.0416036119/(10^3)</f>
        <v>10.9740416036119</v>
      </c>
      <c r="AR31" s="11">
        <f>10831.4833633512/(10^3)</f>
        <v>10.8314833633512</v>
      </c>
      <c r="AS31" s="11">
        <f>11349.2496145364/(10^3)</f>
        <v>11.349249614536401</v>
      </c>
      <c r="AT31" s="11">
        <f>11574.8691673113/(10^3)</f>
        <v>11.5748691673113</v>
      </c>
      <c r="AU31" s="11">
        <v>11.877235720058053</v>
      </c>
      <c r="AV31" s="11">
        <f>11783.8258534716/(10^3)</f>
        <v>11.783825853471601</v>
      </c>
      <c r="AW31" s="11">
        <f>12146.5331292571/(10^3)</f>
        <v>12.146533129257101</v>
      </c>
      <c r="AX31" s="11">
        <f>13337.6912782646/(10^3)</f>
        <v>13.3376912782646</v>
      </c>
      <c r="AY31" s="11">
        <f>13344.7214872884/(10^3)</f>
        <v>13.3447214872884</v>
      </c>
      <c r="AZ31" s="11">
        <f>13539.9404607366/(10^3)</f>
        <v>13.539940460736599</v>
      </c>
      <c r="BA31" s="11">
        <v>13.571854470250747</v>
      </c>
      <c r="BB31" s="11">
        <f>13596.6503796697/(10^3)</f>
        <v>13.5966503796697</v>
      </c>
      <c r="BC31" s="11">
        <f>12841.0439905876/(10^3)</f>
        <v>12.841043990587599</v>
      </c>
      <c r="BD31" s="11">
        <f>11664.3560770711/(10^3)</f>
        <v>11.664356077071099</v>
      </c>
      <c r="BE31" s="11">
        <f>10698.4905336537/(10^3)</f>
        <v>10.698490533653699</v>
      </c>
      <c r="BF31" s="11">
        <f>10642.3152520563/(10^3)</f>
        <v>10.642315252056299</v>
      </c>
      <c r="BG31" s="11">
        <v>10.674269548559421</v>
      </c>
      <c r="BH31" s="11">
        <f>10979.4854938736/(10^3)</f>
        <v>10.9794854938736</v>
      </c>
      <c r="BI31" s="11">
        <f>11380.5941130394/(10^3)</f>
        <v>11.3805941130394</v>
      </c>
      <c r="BJ31" s="11">
        <f>11515.8834750137/(10^3)</f>
        <v>11.5158834750137</v>
      </c>
      <c r="BK31" s="11">
        <f>11884.621767404/(10^3)</f>
        <v>11.884621767403999</v>
      </c>
      <c r="BL31" s="11">
        <f>12102.8416334645/(10^3)</f>
        <v>12.1028416334645</v>
      </c>
      <c r="BM31" s="11">
        <v>12.534363984351936</v>
      </c>
      <c r="BN31" s="11">
        <f>12470.0476525194/(10^3)</f>
        <v>12.470047652519401</v>
      </c>
      <c r="BO31" s="11">
        <f>12302.8237440766/(10^3)</f>
        <v>12.302823744076601</v>
      </c>
      <c r="BP31" s="11">
        <f>12254.1684695737/(10^3)</f>
        <v>12.254168469573701</v>
      </c>
      <c r="BQ31" s="11">
        <f>12037.6895677502/(10^3)</f>
        <v>12.037689567750199</v>
      </c>
      <c r="BR31" s="11">
        <f>11798.1257844612/(10^3)</f>
        <v>11.798125784461199</v>
      </c>
      <c r="BS31" s="11">
        <v>11.699406396968326</v>
      </c>
      <c r="BT31" s="11">
        <f>11407.7047358121/(10^3)</f>
        <v>11.4077047358121</v>
      </c>
      <c r="BU31" s="11">
        <f>11190.8999430016/(10^3)</f>
        <v>11.190899943001599</v>
      </c>
      <c r="BV31" s="11">
        <f>11170.4890609695/(10^3)</f>
        <v>11.1704890609695</v>
      </c>
      <c r="BW31" s="11">
        <f>11024.2533355697/(10^3)</f>
        <v>11.0242533355697</v>
      </c>
      <c r="BX31" s="11">
        <f>11139.4162477971/(10^3)</f>
        <v>11.139416247797101</v>
      </c>
      <c r="BY31" s="11">
        <v>11.345159521923302</v>
      </c>
      <c r="BZ31" s="11">
        <f>11345.1595219233/(10^3)</f>
        <v>11.3451595219233</v>
      </c>
      <c r="CA31" s="11">
        <f>10688.8089479065/(10^3)</f>
        <v>10.6888089479065</v>
      </c>
      <c r="CB31" s="11">
        <f>10409.8187204026/(10^3)</f>
        <v>10.409818720402599</v>
      </c>
      <c r="CC31" s="12"/>
      <c r="DD31" s="11"/>
      <c r="DE31" s="11"/>
      <c r="DF31" s="11"/>
    </row>
    <row r="32" spans="4:110" x14ac:dyDescent="0.25">
      <c r="D32" s="10" t="s">
        <v>117</v>
      </c>
      <c r="E32" s="10" t="s">
        <v>104</v>
      </c>
      <c r="F32" s="10" t="s">
        <v>150</v>
      </c>
      <c r="G32" s="10"/>
      <c r="H32" s="67" t="str">
        <f>CONCATENATE(D32," ",G32)</f>
        <v xml:space="preserve">Charleston </v>
      </c>
      <c r="I32" s="11">
        <f>6107/(10^3)</f>
        <v>6.1070000000000002</v>
      </c>
      <c r="J32" s="11">
        <f>5937.71639573674/(10^3)</f>
        <v>5.9377163957367403</v>
      </c>
      <c r="K32" s="11">
        <v>5.7953481661224986</v>
      </c>
      <c r="L32" s="11">
        <f>5623.07721424899/(10^3)</f>
        <v>5.6230772142489895</v>
      </c>
      <c r="M32" s="11">
        <f>5701.30958483361/(10^3)</f>
        <v>5.7013095848336102</v>
      </c>
      <c r="N32" s="11">
        <f>6139.48095688701/(10^3)</f>
        <v>6.1394809568870095</v>
      </c>
      <c r="O32" s="11">
        <f>6435.85429697286/(10^3)</f>
        <v>6.4358542969728596</v>
      </c>
      <c r="P32" s="11">
        <f>6439.62047283683/(10^3)</f>
        <v>6.4396204728368298</v>
      </c>
      <c r="Q32" s="11">
        <v>6.5639470479073596</v>
      </c>
      <c r="R32" s="11">
        <f>6834.49642336561/(10^3)</f>
        <v>6.8344964233656098</v>
      </c>
      <c r="S32" s="11">
        <f>6627.90698818141/(10^3)</f>
        <v>6.6279069881814099</v>
      </c>
      <c r="T32" s="11">
        <f>6360.34894904256/(10^3)</f>
        <v>6.3603489490425602</v>
      </c>
      <c r="U32" s="11">
        <f>6306.00900574405/(10^3)</f>
        <v>6.3060090057440501</v>
      </c>
      <c r="V32" s="11">
        <f>6462.5987720362/(10^3)</f>
        <v>6.4625987720362001</v>
      </c>
      <c r="W32" s="11">
        <v>6.4603395470333611</v>
      </c>
      <c r="X32" s="11">
        <f>6307.72904359441/(10^3)</f>
        <v>6.30772904359441</v>
      </c>
      <c r="Y32" s="11">
        <f>6311.46938967713/(10^3)</f>
        <v>6.3114693896771294</v>
      </c>
      <c r="Z32" s="11">
        <f>6587.26319478991/(10^3)</f>
        <v>6.5872631947899096</v>
      </c>
      <c r="AA32" s="11">
        <f>6850.89811450349/(10^3)</f>
        <v>6.8508981145034902</v>
      </c>
      <c r="AB32" s="11">
        <f>7053.90818099328/(10^3)</f>
        <v>7.0539081809932807</v>
      </c>
      <c r="AC32" s="11">
        <v>7.2466667643486105</v>
      </c>
      <c r="AD32" s="11">
        <f>7341.80288686917/(10^3)</f>
        <v>7.3418028868691696</v>
      </c>
      <c r="AE32" s="11">
        <f>7008.00062976361/(10^3)</f>
        <v>7.0080006297636102</v>
      </c>
      <c r="AF32" s="11">
        <f>6728.29447580309/(10^3)</f>
        <v>6.7282944758030903</v>
      </c>
      <c r="AG32" s="11">
        <f>6540.50146358051/(10^3)</f>
        <v>6.5405014635805099</v>
      </c>
      <c r="AH32" s="11">
        <f>6515.59408953635/(10^3)</f>
        <v>6.51559408953635</v>
      </c>
      <c r="AI32" s="11">
        <v>6.5317728567518589</v>
      </c>
      <c r="AJ32" s="11">
        <f>6474.24932820479/(10^3)</f>
        <v>6.4742493282047899</v>
      </c>
      <c r="AK32" s="11">
        <f>6395.31510393904/(10^3)</f>
        <v>6.3953151039390397</v>
      </c>
      <c r="AL32" s="11">
        <f>6424.89295984933/(10^3)</f>
        <v>6.4248929598493296</v>
      </c>
      <c r="AM32" s="11">
        <f>6592.18160313878/(10^3)</f>
        <v>6.5921816031387799</v>
      </c>
      <c r="AN32" s="11">
        <f>6727.42291234509/(10^3)</f>
        <v>6.7274229123450899</v>
      </c>
      <c r="AO32" s="11">
        <v>6.8841421285922717</v>
      </c>
      <c r="AP32" s="11">
        <f>6976.79031759844/(10^3)</f>
        <v>6.9767903175984403</v>
      </c>
      <c r="AQ32" s="11">
        <f>6789.62402477834/(10^3)</f>
        <v>6.7896240247783402</v>
      </c>
      <c r="AR32" s="11">
        <f>6935.51613244059/(10^3)</f>
        <v>6.9355161324405898</v>
      </c>
      <c r="AS32" s="11">
        <f>7018.55658782548/(10^3)</f>
        <v>7.0185565878254801</v>
      </c>
      <c r="AT32" s="11">
        <f>6977.29281647041/(10^3)</f>
        <v>6.9772928164704098</v>
      </c>
      <c r="AU32" s="11">
        <v>6.7865374892043002</v>
      </c>
      <c r="AV32" s="11">
        <f>6777.62081172812/(10^3)</f>
        <v>6.77762081172812</v>
      </c>
      <c r="AW32" s="11">
        <f>6929.54983053126/(10^3)</f>
        <v>6.9295498305312604</v>
      </c>
      <c r="AX32" s="11">
        <f>7030.66451475057/(10^3)</f>
        <v>7.03066451475057</v>
      </c>
      <c r="AY32" s="11">
        <f>7048.13386725568/(10^3)</f>
        <v>7.0481338672556806</v>
      </c>
      <c r="AZ32" s="11">
        <f>7105.9722142286/(10^3)</f>
        <v>7.1059722142285997</v>
      </c>
      <c r="BA32" s="11">
        <v>7.252759909813884</v>
      </c>
      <c r="BB32" s="11">
        <f>7224.04038036142/(10^3)</f>
        <v>7.2240403803614202</v>
      </c>
      <c r="BC32" s="11">
        <f>6917.70985860864/(10^3)</f>
        <v>6.9177098586086405</v>
      </c>
      <c r="BD32" s="11">
        <f>6852.39122752878/(10^3)</f>
        <v>6.8523912275287806</v>
      </c>
      <c r="BE32" s="11">
        <f>6719.50181059994/(10^3)</f>
        <v>6.7195018105999393</v>
      </c>
      <c r="BF32" s="11">
        <f>6695.9905939719/(10^3)</f>
        <v>6.6959905939719002</v>
      </c>
      <c r="BG32" s="11">
        <v>6.7792936242752555</v>
      </c>
      <c r="BH32" s="11">
        <f>6883.85033965515/(10^3)</f>
        <v>6.8838503396551491</v>
      </c>
      <c r="BI32" s="11">
        <f>6983.5006792561/(10^3)</f>
        <v>6.9835006792560996</v>
      </c>
      <c r="BJ32" s="11">
        <f>7525.81938106624/(10^3)</f>
        <v>7.5258193810662393</v>
      </c>
      <c r="BK32" s="11">
        <f>7610.0247485434/(10^3)</f>
        <v>7.6100247485433998</v>
      </c>
      <c r="BL32" s="11">
        <f>7758.97010570828/(10^3)</f>
        <v>7.7589701057082801</v>
      </c>
      <c r="BM32" s="11">
        <v>8.0970852726384166</v>
      </c>
      <c r="BN32" s="11">
        <f>8433.86980844381/(10^3)</f>
        <v>8.4338698084438093</v>
      </c>
      <c r="BO32" s="11">
        <f>8058.4318114448/(10^3)</f>
        <v>8.0584318114447999</v>
      </c>
      <c r="BP32" s="11">
        <f>7825.18158392241/(10^3)</f>
        <v>7.8251815839224097</v>
      </c>
      <c r="BQ32" s="11">
        <f>7773.99296231328/(10^3)</f>
        <v>7.7739929623132804</v>
      </c>
      <c r="BR32" s="11">
        <f>7601.98227501972/(10^3)</f>
        <v>7.6019822750197203</v>
      </c>
      <c r="BS32" s="11">
        <v>7.413066741758918</v>
      </c>
      <c r="BT32" s="11">
        <f>7327.62840272286/(10^3)</f>
        <v>7.3276284027228602</v>
      </c>
      <c r="BU32" s="11">
        <f>7259.58181276133/(10^3)</f>
        <v>7.2595818127613301</v>
      </c>
      <c r="BV32" s="11">
        <f>7067.42225359593/(10^3)</f>
        <v>7.0674222535959297</v>
      </c>
      <c r="BW32" s="11">
        <f>6908.37428173285/(10^3)</f>
        <v>6.9083742817328506</v>
      </c>
      <c r="BX32" s="11">
        <f>6916.21727670297/(10^3)</f>
        <v>6.9162172767029695</v>
      </c>
      <c r="BY32" s="11">
        <v>7.1543806193755319</v>
      </c>
      <c r="BZ32" s="11">
        <f>7154.38061937553/(10^3)</f>
        <v>7.1543806193755302</v>
      </c>
      <c r="CA32" s="11">
        <f>6718.19701866869/(10^3)</f>
        <v>6.7181970186686906</v>
      </c>
      <c r="CB32" s="11">
        <f>6680.86856168989/(10^3)</f>
        <v>6.6808685616898904</v>
      </c>
      <c r="CC32" s="12"/>
      <c r="DD32" s="11"/>
      <c r="DE32" s="11"/>
      <c r="DF32" s="11"/>
    </row>
    <row r="33" spans="4:110" x14ac:dyDescent="0.25">
      <c r="D33" s="10" t="s">
        <v>118</v>
      </c>
      <c r="E33" s="10" t="s">
        <v>111</v>
      </c>
      <c r="F33" s="10" t="s">
        <v>150</v>
      </c>
      <c r="G33" s="10"/>
      <c r="H33" s="67" t="str">
        <f>CONCATENATE(D33," ",G33)</f>
        <v xml:space="preserve">Richmond </v>
      </c>
      <c r="I33" s="11">
        <f>12693/(10^3)</f>
        <v>12.693</v>
      </c>
      <c r="J33" s="11">
        <f>13286.2834427689/(10^3)</f>
        <v>13.2862834427689</v>
      </c>
      <c r="K33" s="11">
        <v>13.000763729479607</v>
      </c>
      <c r="L33" s="11">
        <f>13385.9695591017/(10^3)</f>
        <v>13.385969559101701</v>
      </c>
      <c r="M33" s="11">
        <f>13376.2476745593/(10^3)</f>
        <v>13.3762476745593</v>
      </c>
      <c r="N33" s="11">
        <f>14327.0588894691/(10^3)</f>
        <v>14.3270588894691</v>
      </c>
      <c r="O33" s="11">
        <f>14438.8865482832/(10^3)</f>
        <v>14.4388865482832</v>
      </c>
      <c r="P33" s="11">
        <f>14949.472721407/(10^3)</f>
        <v>14.949472721407</v>
      </c>
      <c r="Q33" s="11">
        <v>15.667067480199192</v>
      </c>
      <c r="R33" s="11">
        <f>16191.1646939267/(10^3)</f>
        <v>16.191164693926698</v>
      </c>
      <c r="S33" s="11">
        <f>15465.3920815646/(10^3)</f>
        <v>15.4653920815646</v>
      </c>
      <c r="T33" s="11">
        <f>15296.5441095872/(10^3)</f>
        <v>15.296544109587199</v>
      </c>
      <c r="U33" s="11">
        <f>15256.4895103631/(10^3)</f>
        <v>15.256489510363101</v>
      </c>
      <c r="V33" s="11">
        <f>15769.7336515988/(10^3)</f>
        <v>15.7697336515988</v>
      </c>
      <c r="W33" s="11">
        <v>15.849409283713644</v>
      </c>
      <c r="X33" s="11">
        <f>16156.5161568564/(10^3)</f>
        <v>16.156516156856402</v>
      </c>
      <c r="Y33" s="11">
        <f>16083.4917798644/(10^3)</f>
        <v>16.083491779864399</v>
      </c>
      <c r="Z33" s="11">
        <f>16645.3763941232/(10^3)</f>
        <v>16.6453763941232</v>
      </c>
      <c r="AA33" s="11">
        <f>17440.3342179415/(10^3)</f>
        <v>17.440334217941501</v>
      </c>
      <c r="AB33" s="11">
        <f>17752.7249937701/(10^3)</f>
        <v>17.752724993770101</v>
      </c>
      <c r="AC33" s="11">
        <v>17.823924659901383</v>
      </c>
      <c r="AD33" s="11">
        <f>17344.5950901851/(10^3)</f>
        <v>17.344595090185098</v>
      </c>
      <c r="AE33" s="11">
        <f>16138.0959121689/(10^3)</f>
        <v>16.1380959121689</v>
      </c>
      <c r="AF33" s="11">
        <f>15621.5383721426/(10^3)</f>
        <v>15.6215383721426</v>
      </c>
      <c r="AG33" s="11">
        <f>15237.8646376606/(10^3)</f>
        <v>15.2378646376606</v>
      </c>
      <c r="AH33" s="11">
        <f>15900.0374704338/(10^3)</f>
        <v>15.9000374704338</v>
      </c>
      <c r="AI33" s="11">
        <v>16.496053242366894</v>
      </c>
      <c r="AJ33" s="11">
        <f>16750.4598866972/(10^3)</f>
        <v>16.7504598866972</v>
      </c>
      <c r="AK33" s="11">
        <f>16853.847695548/(10^3)</f>
        <v>16.853847695548001</v>
      </c>
      <c r="AL33" s="11">
        <f>17628.0750721125/(10^3)</f>
        <v>17.628075072112502</v>
      </c>
      <c r="AM33" s="11">
        <f>17884.6900848356/(10^3)</f>
        <v>17.884690084835601</v>
      </c>
      <c r="AN33" s="11">
        <f>18496.0668291423/(10^3)</f>
        <v>18.4960668291423</v>
      </c>
      <c r="AO33" s="11">
        <v>18.333212988743412</v>
      </c>
      <c r="AP33" s="11">
        <f>17942.0199957407/(10^3)</f>
        <v>17.942019995740697</v>
      </c>
      <c r="AQ33" s="11">
        <f>18788.4377692722/(10^3)</f>
        <v>18.7884377692722</v>
      </c>
      <c r="AR33" s="11">
        <f>19475.3715214098/(10^3)</f>
        <v>19.475371521409802</v>
      </c>
      <c r="AS33" s="11">
        <f>19208.2806367148/(10^3)</f>
        <v>19.2082806367148</v>
      </c>
      <c r="AT33" s="11">
        <f>19968.9163101855/(10^3)</f>
        <v>19.968916310185502</v>
      </c>
      <c r="AU33" s="11">
        <v>19.870330992148041</v>
      </c>
      <c r="AV33" s="11">
        <f>20614.2037387555/(10^3)</f>
        <v>20.614203738755499</v>
      </c>
      <c r="AW33" s="11">
        <f>20097.9974549529/(10^3)</f>
        <v>20.0979974549529</v>
      </c>
      <c r="AX33" s="11">
        <f>21650.617211781/(10^3)</f>
        <v>21.650617211780997</v>
      </c>
      <c r="AY33" s="11">
        <f>22429.1669144178/(10^3)</f>
        <v>22.429166914417802</v>
      </c>
      <c r="AZ33" s="11">
        <f>22536.1109029653/(10^3)</f>
        <v>22.536110902965302</v>
      </c>
      <c r="BA33" s="11">
        <v>22.834201110468278</v>
      </c>
      <c r="BB33" s="11">
        <f>23415.6120513444/(10^3)</f>
        <v>23.4156120513444</v>
      </c>
      <c r="BC33" s="11">
        <f>22321.452561705/(10^3)</f>
        <v>22.321452561704998</v>
      </c>
      <c r="BD33" s="11">
        <f>20747.3933813751/(10^3)</f>
        <v>20.747393381375097</v>
      </c>
      <c r="BE33" s="11">
        <f>18994.7961947837/(10^3)</f>
        <v>18.994796194783699</v>
      </c>
      <c r="BF33" s="11">
        <f>18571.2767434627/(10^3)</f>
        <v>18.571276743462697</v>
      </c>
      <c r="BG33" s="11">
        <v>19.142263829693995</v>
      </c>
      <c r="BH33" s="11">
        <f>18929.3010306762/(10^3)</f>
        <v>18.9293010306762</v>
      </c>
      <c r="BI33" s="11">
        <f>19468.1040931939/(10^3)</f>
        <v>19.468104093193897</v>
      </c>
      <c r="BJ33" s="11">
        <f>20358.8666058381/(10^3)</f>
        <v>20.358866605838099</v>
      </c>
      <c r="BK33" s="11">
        <f>21117.5306635947/(10^3)</f>
        <v>21.117530663594703</v>
      </c>
      <c r="BL33" s="11">
        <f>21758.4847226219/(10^3)</f>
        <v>21.758484722621898</v>
      </c>
      <c r="BM33" s="11">
        <v>21.784797049306103</v>
      </c>
      <c r="BN33" s="11">
        <f>22117.5317977872/(10^3)</f>
        <v>22.117531797787201</v>
      </c>
      <c r="BO33" s="11">
        <f>20308.7528389698/(10^3)</f>
        <v>20.308752838969802</v>
      </c>
      <c r="BP33" s="11">
        <f>19990.0695364551/(10^3)</f>
        <v>19.990069536455099</v>
      </c>
      <c r="BQ33" s="11">
        <f>19836.222032377/(10^3)</f>
        <v>19.836222032377002</v>
      </c>
      <c r="BR33" s="11">
        <f>20263.826642674/(10^3)</f>
        <v>20.263826642674001</v>
      </c>
      <c r="BS33" s="11">
        <v>20.352772211534603</v>
      </c>
      <c r="BT33" s="11">
        <f>21248.5467439805/(10^3)</f>
        <v>21.248546743980501</v>
      </c>
      <c r="BU33" s="11">
        <f>22122.6620145106/(10^3)</f>
        <v>22.122662014510599</v>
      </c>
      <c r="BV33" s="11">
        <f>23184.8813716606/(10^3)</f>
        <v>23.184881371660598</v>
      </c>
      <c r="BW33" s="11">
        <f>24043.9910993219/(10^3)</f>
        <v>24.043991099321897</v>
      </c>
      <c r="BX33" s="11">
        <f>25231.9685542603/(10^3)</f>
        <v>25.231968554260302</v>
      </c>
      <c r="BY33" s="11">
        <v>25.408914976257563</v>
      </c>
      <c r="BZ33" s="11">
        <f>25408.9149762576/(10^3)</f>
        <v>25.408914976257602</v>
      </c>
      <c r="CA33" s="11">
        <f>22943.6521024269/(10^3)</f>
        <v>22.943652102426899</v>
      </c>
      <c r="CB33" s="11">
        <f>22246.9974691101/(10^3)</f>
        <v>22.246997469110102</v>
      </c>
      <c r="CC33" s="12"/>
      <c r="DD33" s="11"/>
      <c r="DE33" s="11"/>
      <c r="DF33" s="11"/>
    </row>
    <row r="34" spans="4:110" x14ac:dyDescent="0.25">
      <c r="D34" s="10" t="s">
        <v>119</v>
      </c>
      <c r="E34" s="10" t="s">
        <v>111</v>
      </c>
      <c r="F34" s="10" t="s">
        <v>150</v>
      </c>
      <c r="G34" s="10"/>
      <c r="H34" s="67" t="str">
        <f>CONCATENATE(D34," ",G34)</f>
        <v xml:space="preserve">Virginia Beach </v>
      </c>
      <c r="I34" s="11">
        <f>6501/(10^3)</f>
        <v>6.5010000000000003</v>
      </c>
      <c r="J34" s="11">
        <f>6712.47315490541/(10^3)</f>
        <v>6.7124731549054104</v>
      </c>
      <c r="K34" s="11">
        <v>6.6389217804936269</v>
      </c>
      <c r="L34" s="11">
        <f>6746.26772444023/(10^3)</f>
        <v>6.74626772444023</v>
      </c>
      <c r="M34" s="11">
        <f>6757.36735824865/(10^3)</f>
        <v>6.7573673582486498</v>
      </c>
      <c r="N34" s="11">
        <f>7191.47301427632/(10^3)</f>
        <v>7.1914730142763199</v>
      </c>
      <c r="O34" s="11">
        <f>7436.96241849238/(10^3)</f>
        <v>7.4369624184923797</v>
      </c>
      <c r="P34" s="11">
        <f>7742.26177214575/(10^3)</f>
        <v>7.7422617721457501</v>
      </c>
      <c r="Q34" s="11">
        <v>7.9491406279798076</v>
      </c>
      <c r="R34" s="11">
        <f>8088.190946777/(10^3)</f>
        <v>8.0881909467770008</v>
      </c>
      <c r="S34" s="11">
        <f>7527.64218714063/(10^3)</f>
        <v>7.5276421871406303</v>
      </c>
      <c r="T34" s="11">
        <f>7278.62379411656/(10^3)</f>
        <v>7.2786237941165597</v>
      </c>
      <c r="U34" s="11">
        <f>7195.24771525471/(10^3)</f>
        <v>7.1952477152547099</v>
      </c>
      <c r="V34" s="11">
        <f>7187.49292778478/(10^3)</f>
        <v>7.1874929277847794</v>
      </c>
      <c r="W34" s="11">
        <v>7.3101705521994917</v>
      </c>
      <c r="X34" s="11">
        <f>7293.13621595451/(10^3)</f>
        <v>7.2931362159545099</v>
      </c>
      <c r="Y34" s="11">
        <f>7234.64799689552/(10^3)</f>
        <v>7.2346479968955197</v>
      </c>
      <c r="Z34" s="11">
        <f>7268.13058955287/(10^3)</f>
        <v>7.2681305895528707</v>
      </c>
      <c r="AA34" s="11">
        <f>7496.97354192085/(10^3)</f>
        <v>7.4969735419208501</v>
      </c>
      <c r="AB34" s="11">
        <f>7850.23831897317/(10^3)</f>
        <v>7.8502383189731697</v>
      </c>
      <c r="AC34" s="11">
        <v>8.0128139431839962</v>
      </c>
      <c r="AD34" s="11">
        <f>8174.12171986811/(10^3)</f>
        <v>8.1741217198681095</v>
      </c>
      <c r="AE34" s="11">
        <f>7628.40871425727/(10^3)</f>
        <v>7.6284087142572696</v>
      </c>
      <c r="AF34" s="11">
        <f>7430.95571672789/(10^3)</f>
        <v>7.4309557167278903</v>
      </c>
      <c r="AG34" s="11">
        <f>7414.58430986166/(10^3)</f>
        <v>7.4145843098616595</v>
      </c>
      <c r="AH34" s="11">
        <f>7698.37788799133/(10^3)</f>
        <v>7.69837788799133</v>
      </c>
      <c r="AI34" s="11">
        <v>7.9218205616635808</v>
      </c>
      <c r="AJ34" s="11">
        <f>8143.25526760108/(10^3)</f>
        <v>8.1432552676010808</v>
      </c>
      <c r="AK34" s="11">
        <f>7940.7266376815/(10^3)</f>
        <v>7.9407266376814993</v>
      </c>
      <c r="AL34" s="11">
        <f>8066.82284631149/(10^3)</f>
        <v>8.0668228463114904</v>
      </c>
      <c r="AM34" s="11">
        <f>7895.46723492378/(10^3)</f>
        <v>7.89546723492378</v>
      </c>
      <c r="AN34" s="11">
        <f>8011.3616224388/(10^3)</f>
        <v>8.0113616224388</v>
      </c>
      <c r="AO34" s="11">
        <v>8.3326212968647262</v>
      </c>
      <c r="AP34" s="11">
        <f>8334.43678021459/(10^3)</f>
        <v>8.33443678021459</v>
      </c>
      <c r="AQ34" s="11">
        <f>8619.01946081097/(10^3)</f>
        <v>8.6190194608109714</v>
      </c>
      <c r="AR34" s="11">
        <f>8392.67429928904/(10^3)</f>
        <v>8.3926742992890393</v>
      </c>
      <c r="AS34" s="11">
        <f>8412.40513749983/(10^3)</f>
        <v>8.4124051374998299</v>
      </c>
      <c r="AT34" s="11">
        <f>8561.37815743527/(10^3)</f>
        <v>8.5613781574352714</v>
      </c>
      <c r="AU34" s="11">
        <v>8.9317842185208569</v>
      </c>
      <c r="AV34" s="11">
        <f>9231.08110261878/(10^3)</f>
        <v>9.2310811026187807</v>
      </c>
      <c r="AW34" s="11">
        <f>9093.72087492515/(10^3)</f>
        <v>9.0937208749251504</v>
      </c>
      <c r="AX34" s="11">
        <f>9221.2078056002/(10^3)</f>
        <v>9.2212078056001996</v>
      </c>
      <c r="AY34" s="11">
        <f>9648.76906699693/(10^3)</f>
        <v>9.6487690669969304</v>
      </c>
      <c r="AZ34" s="11">
        <f>9998.16780631151/(10^3)</f>
        <v>9.9981678063115105</v>
      </c>
      <c r="BA34" s="11">
        <v>10.457939469408835</v>
      </c>
      <c r="BB34" s="11">
        <f>10620.9547239115/(10^3)</f>
        <v>10.620954723911501</v>
      </c>
      <c r="BC34" s="11">
        <f>9717.59560319615/(10^3)</f>
        <v>9.7175956031961501</v>
      </c>
      <c r="BD34" s="11">
        <f>8784.82507023696/(10^3)</f>
        <v>8.7848250702369608</v>
      </c>
      <c r="BE34" s="11">
        <f>8164.14837258842/(10^3)</f>
        <v>8.1641483725884196</v>
      </c>
      <c r="BF34" s="11">
        <f>8133.68136752695/(10^3)</f>
        <v>8.1336813675269504</v>
      </c>
      <c r="BG34" s="11">
        <v>8.4655246972806175</v>
      </c>
      <c r="BH34" s="11">
        <f>8549.79001021951/(10^3)</f>
        <v>8.5497900102195103</v>
      </c>
      <c r="BI34" s="11">
        <f>8692.55211587666/(10^3)</f>
        <v>8.6925521158766603</v>
      </c>
      <c r="BJ34" s="11">
        <f>8812.70128984902/(10^3)</f>
        <v>8.81270128984902</v>
      </c>
      <c r="BK34" s="11">
        <f>9234.06680045301/(10^3)</f>
        <v>9.2340668004530109</v>
      </c>
      <c r="BL34" s="11">
        <f>9427.94743113966/(10^3)</f>
        <v>9.4279474311396605</v>
      </c>
      <c r="BM34" s="11">
        <v>9.5298986076905958</v>
      </c>
      <c r="BN34" s="11">
        <f>9908.14119900017/(10^3)</f>
        <v>9.9081411990001715</v>
      </c>
      <c r="BO34" s="11">
        <f>9721.43716957288/(10^3)</f>
        <v>9.7214371695728801</v>
      </c>
      <c r="BP34" s="11">
        <f>9706.55988170131/(10^3)</f>
        <v>9.7065598817013115</v>
      </c>
      <c r="BQ34" s="11">
        <f>9510.72291741531/(10^3)</f>
        <v>9.5107229174153112</v>
      </c>
      <c r="BR34" s="11">
        <f>9979.69419265708/(10^3)</f>
        <v>9.9796941926570799</v>
      </c>
      <c r="BS34" s="11">
        <v>10.298763558254128</v>
      </c>
      <c r="BT34" s="11">
        <f>10669.0263275431/(10^3)</f>
        <v>10.669026327543101</v>
      </c>
      <c r="BU34" s="11">
        <f>11156.2688505196/(10^3)</f>
        <v>11.1562688505196</v>
      </c>
      <c r="BV34" s="11">
        <f>11559.5791279623/(10^3)</f>
        <v>11.559579127962301</v>
      </c>
      <c r="BW34" s="11">
        <f>12013.79333124/(10^3)</f>
        <v>12.01379333124</v>
      </c>
      <c r="BX34" s="11">
        <f>12559.52316508/(10^3)</f>
        <v>12.55952316508</v>
      </c>
      <c r="BY34" s="11">
        <v>13.132163414228931</v>
      </c>
      <c r="BZ34" s="11">
        <f>13132.1634142289/(10^3)</f>
        <v>13.1321634142289</v>
      </c>
      <c r="CA34" s="11">
        <f>13017.7632087658/(10^3)</f>
        <v>13.0177632087658</v>
      </c>
      <c r="CB34" s="11">
        <f>12968.1630523395/(10^3)</f>
        <v>12.9681630523395</v>
      </c>
      <c r="CC34" s="12"/>
      <c r="DD34" s="11"/>
      <c r="DE34" s="11"/>
      <c r="DF34" s="11"/>
    </row>
    <row r="35" spans="4:110" x14ac:dyDescent="0.25">
      <c r="D35" s="10" t="s">
        <v>120</v>
      </c>
      <c r="E35" s="10" t="s">
        <v>113</v>
      </c>
      <c r="F35" s="10" t="s">
        <v>180</v>
      </c>
      <c r="G35" s="10"/>
      <c r="H35" s="67" t="str">
        <f>CONCATENATE(D35," ",G35)</f>
        <v xml:space="preserve">Montpelier </v>
      </c>
      <c r="I35" s="11">
        <f>14952/(10^3)</f>
        <v>14.952</v>
      </c>
      <c r="J35" s="11">
        <f>15578.8707246729/(10^3)</f>
        <v>15.578870724672901</v>
      </c>
      <c r="K35" s="11">
        <v>15.567457881486835</v>
      </c>
      <c r="L35" s="11">
        <f>15877.8440663853/(10^3)</f>
        <v>15.8778440663853</v>
      </c>
      <c r="M35" s="11">
        <f>16298.9916117507/(10^3)</f>
        <v>16.298991611750701</v>
      </c>
      <c r="N35" s="11">
        <f>17097.1434682253/(10^3)</f>
        <v>17.097143468225298</v>
      </c>
      <c r="O35" s="11">
        <f>17453.9679783488/(10^3)</f>
        <v>17.4539679783488</v>
      </c>
      <c r="P35" s="11">
        <f>18301.5013824977/(10^3)</f>
        <v>18.301501382497701</v>
      </c>
      <c r="Q35" s="11">
        <v>18.557935111428399</v>
      </c>
      <c r="R35" s="11">
        <f>19010.8192762126/(10^3)</f>
        <v>19.010819276212597</v>
      </c>
      <c r="S35" s="11">
        <f>18633.425172978/(10^3)</f>
        <v>18.633425172978001</v>
      </c>
      <c r="T35" s="11">
        <f>18440.1737100203/(10^3)</f>
        <v>18.4401737100203</v>
      </c>
      <c r="U35" s="11">
        <f>17962.3243033739/(10^3)</f>
        <v>17.962324303373901</v>
      </c>
      <c r="V35" s="11">
        <f>18364.0990532548/(10^3)</f>
        <v>18.364099053254797</v>
      </c>
      <c r="W35" s="11">
        <v>18.872800360368299</v>
      </c>
      <c r="X35" s="11">
        <f>18728.3781906178/(10^3)</f>
        <v>18.7283781906178</v>
      </c>
      <c r="Y35" s="11">
        <f>18904.8447336362/(10^3)</f>
        <v>18.9048447336362</v>
      </c>
      <c r="Z35" s="11">
        <f>19149.5088916928/(10^3)</f>
        <v>19.1495088916928</v>
      </c>
      <c r="AA35" s="11">
        <f>19877.8748704957/(10^3)</f>
        <v>19.877874870495699</v>
      </c>
      <c r="AB35" s="11">
        <f>20236.7269327106/(10^3)</f>
        <v>20.236726932710599</v>
      </c>
      <c r="AC35" s="11">
        <v>20.957818766665596</v>
      </c>
      <c r="AD35" s="11">
        <f>21445.6733955066/(10^3)</f>
        <v>21.445673395506603</v>
      </c>
      <c r="AE35" s="11">
        <f>20884.9303892026/(10^3)</f>
        <v>20.884930389202601</v>
      </c>
      <c r="AF35" s="11">
        <f>20512.2174900077/(10^3)</f>
        <v>20.5122174900077</v>
      </c>
      <c r="AG35" s="11">
        <f>19917.865307476/(10^3)</f>
        <v>19.917865307475999</v>
      </c>
      <c r="AH35" s="11">
        <f>20559.4395325624/(10^3)</f>
        <v>20.559439532562401</v>
      </c>
      <c r="AI35" s="11">
        <v>20.732256801954197</v>
      </c>
      <c r="AJ35" s="11">
        <f>21743.5616761771/(10^3)</f>
        <v>21.743561676177102</v>
      </c>
      <c r="AK35" s="11">
        <f>21847.2843117775/(10^3)</f>
        <v>21.8472843117775</v>
      </c>
      <c r="AL35" s="11">
        <f>22268.6578775721/(10^3)</f>
        <v>22.2686578775721</v>
      </c>
      <c r="AM35" s="11">
        <f>23213.2825341642/(10^3)</f>
        <v>23.213282534164197</v>
      </c>
      <c r="AN35" s="11">
        <f>23853.6931018152/(10^3)</f>
        <v>23.8536931018152</v>
      </c>
      <c r="AO35" s="11">
        <v>23.972496025370649</v>
      </c>
      <c r="AP35" s="11">
        <f>23726.7649321276/(10^3)</f>
        <v>23.726764932127601</v>
      </c>
      <c r="AQ35" s="11">
        <f>23038.4676085562/(10^3)</f>
        <v>23.0384676085562</v>
      </c>
      <c r="AR35" s="11">
        <f>23687.0014726015/(10^3)</f>
        <v>23.687001472601501</v>
      </c>
      <c r="AS35" s="11">
        <f>23203.0531292431/(10^3)</f>
        <v>23.203053129243102</v>
      </c>
      <c r="AT35" s="11">
        <f>23908.2255292106/(10^3)</f>
        <v>23.908225529210597</v>
      </c>
      <c r="AU35" s="11">
        <v>23.783341216702439</v>
      </c>
      <c r="AV35" s="11">
        <f>23097.3598358726/(10^3)</f>
        <v>23.097359835872602</v>
      </c>
      <c r="AW35" s="11">
        <f>23753.2554143175/(10^3)</f>
        <v>23.753255414317501</v>
      </c>
      <c r="AX35" s="11">
        <f>23774.09501805/(10^3)</f>
        <v>23.774095018050001</v>
      </c>
      <c r="AY35" s="11">
        <f>23856.5282175523/(10^3)</f>
        <v>23.856528217552299</v>
      </c>
      <c r="AZ35" s="11">
        <f>24413.3612739656/(10^3)</f>
        <v>24.413361273965599</v>
      </c>
      <c r="BA35" s="11">
        <v>25.338067038319728</v>
      </c>
      <c r="BB35" s="11">
        <f>25849.6943094845/(10^3)</f>
        <v>25.849694309484502</v>
      </c>
      <c r="BC35" s="11">
        <f>24821.4295091343/(10^3)</f>
        <v>24.821429509134301</v>
      </c>
      <c r="BD35" s="11">
        <f>24301.3124275141/(10^3)</f>
        <v>24.301312427514102</v>
      </c>
      <c r="BE35" s="11">
        <f>23806.6780683292/(10^3)</f>
        <v>23.806678068329202</v>
      </c>
      <c r="BF35" s="11">
        <f>23252.3520559057/(10^3)</f>
        <v>23.2523520559057</v>
      </c>
      <c r="BG35" s="11">
        <v>22.689957721946804</v>
      </c>
      <c r="BH35" s="11">
        <f>23427.4203309154/(10^3)</f>
        <v>23.4274203309154</v>
      </c>
      <c r="BI35" s="11">
        <f>24125.1043009716/(10^3)</f>
        <v>24.1251043009716</v>
      </c>
      <c r="BJ35" s="11">
        <f>24919.716707298/(10^3)</f>
        <v>24.919716707298001</v>
      </c>
      <c r="BK35" s="11">
        <f>25538.0183416475/(10^3)</f>
        <v>25.538018341647501</v>
      </c>
      <c r="BL35" s="11">
        <f>26148.5139279485/(10^3)</f>
        <v>26.1485139279485</v>
      </c>
      <c r="BM35" s="11">
        <v>26.392230125034491</v>
      </c>
      <c r="BN35" s="11">
        <f>27494.9990050424/(10^3)</f>
        <v>27.494999005042398</v>
      </c>
      <c r="BO35" s="11">
        <f>24746.2157260477/(10^3)</f>
        <v>24.746215726047701</v>
      </c>
      <c r="BP35" s="11">
        <f>23534.1143797672/(10^3)</f>
        <v>23.5341143797672</v>
      </c>
      <c r="BQ35" s="11">
        <f>23405.8986230334/(10^3)</f>
        <v>23.405898623033401</v>
      </c>
      <c r="BR35" s="11">
        <f>23974.5075935096/(10^3)</f>
        <v>23.9745075935096</v>
      </c>
      <c r="BS35" s="11">
        <v>24.075408811481296</v>
      </c>
      <c r="BT35" s="11">
        <f>24471.1066530877/(10^3)</f>
        <v>24.471106653087698</v>
      </c>
      <c r="BU35" s="11">
        <f>24981.3018326329/(10^3)</f>
        <v>24.981301832632901</v>
      </c>
      <c r="BV35" s="11">
        <f>26117.4819188365/(10^3)</f>
        <v>26.1174819188365</v>
      </c>
      <c r="BW35" s="11">
        <f>26473.0033606087/(10^3)</f>
        <v>26.473003360608701</v>
      </c>
      <c r="BX35" s="11">
        <f>27262.6023420015/(10^3)</f>
        <v>27.2626023420015</v>
      </c>
      <c r="BY35" s="11">
        <v>28.19883913981208</v>
      </c>
      <c r="BZ35" s="11">
        <f>28198.8391398121/(10^3)</f>
        <v>28.198839139812097</v>
      </c>
      <c r="CA35" s="11">
        <f>27794.6030117088/(10^3)</f>
        <v>27.794603011708801</v>
      </c>
      <c r="CB35" s="11">
        <f>26552.5772588742/(10^3)</f>
        <v>26.552577258874202</v>
      </c>
      <c r="CC35" s="12"/>
      <c r="DD35" s="11"/>
      <c r="DE35" s="11"/>
      <c r="DF35" s="11"/>
    </row>
    <row r="36" spans="4:110" x14ac:dyDescent="0.25">
      <c r="D36" s="10" t="s">
        <v>121</v>
      </c>
      <c r="E36" s="10" t="s">
        <v>113</v>
      </c>
      <c r="F36" s="10" t="s">
        <v>180</v>
      </c>
      <c r="G36" s="10"/>
      <c r="H36" s="67" t="str">
        <f>CONCATENATE(D36," ",G36)</f>
        <v xml:space="preserve">Burlington </v>
      </c>
      <c r="I36" s="11">
        <f>8872/(10^3)</f>
        <v>8.8719999999999999</v>
      </c>
      <c r="J36" s="11">
        <f>8952.16861472733/(10^3)</f>
        <v>8.9521686147273307</v>
      </c>
      <c r="K36" s="11">
        <v>9.1306268637162376</v>
      </c>
      <c r="L36" s="11">
        <f>9404.1124643866/(10^3)</f>
        <v>9.4041124643865999</v>
      </c>
      <c r="M36" s="11">
        <f>9300.49955510591/(10^3)</f>
        <v>9.30049955510591</v>
      </c>
      <c r="N36" s="11">
        <f>10050.2220833843/(10^3)</f>
        <v>10.0502220833843</v>
      </c>
      <c r="O36" s="11">
        <f>10441.0961647761/(10^3)</f>
        <v>10.4410961647761</v>
      </c>
      <c r="P36" s="11">
        <f>10624.4948525202/(10^3)</f>
        <v>10.624494852520201</v>
      </c>
      <c r="Q36" s="11">
        <v>10.70644810810859</v>
      </c>
      <c r="R36" s="11">
        <f>10827.1268395036/(10^3)</f>
        <v>10.827126839503601</v>
      </c>
      <c r="S36" s="11">
        <f>10700.2116301044/(10^3)</f>
        <v>10.7002116301044</v>
      </c>
      <c r="T36" s="11">
        <f>10195.6660641482/(10^3)</f>
        <v>10.195666064148199</v>
      </c>
      <c r="U36" s="11">
        <f>10182.1293166847/(10^3)</f>
        <v>10.182129316684701</v>
      </c>
      <c r="V36" s="11">
        <f>10263.7437097648/(10^3)</f>
        <v>10.2637437097648</v>
      </c>
      <c r="W36" s="11">
        <v>10.314592202162531</v>
      </c>
      <c r="X36" s="11">
        <f>10372.1923997238/(10^3)</f>
        <v>10.372192399723799</v>
      </c>
      <c r="Y36" s="11">
        <f>10350.2505507202/(10^3)</f>
        <v>10.350250550720201</v>
      </c>
      <c r="Z36" s="11">
        <f>10763.603852911/(10^3)</f>
        <v>10.763603852910999</v>
      </c>
      <c r="AA36" s="11">
        <f>11291.9746261298/(10^3)</f>
        <v>11.2919746261298</v>
      </c>
      <c r="AB36" s="11">
        <f>11558.5120812683/(10^3)</f>
        <v>11.558512081268299</v>
      </c>
      <c r="AC36" s="11">
        <v>12.100535186006299</v>
      </c>
      <c r="AD36" s="11">
        <f>12634.410717452/(10^3)</f>
        <v>12.634410717451999</v>
      </c>
      <c r="AE36" s="11">
        <f>11982.5729424662/(10^3)</f>
        <v>11.9825729424662</v>
      </c>
      <c r="AF36" s="11">
        <f>11878.9547457585/(10^3)</f>
        <v>11.878954745758499</v>
      </c>
      <c r="AG36" s="11">
        <f>11647.3977565999/(10^3)</f>
        <v>11.647397756599899</v>
      </c>
      <c r="AH36" s="11">
        <f>11504.8393008451/(10^3)</f>
        <v>11.5048393008451</v>
      </c>
      <c r="AI36" s="11">
        <v>11.493045578117441</v>
      </c>
      <c r="AJ36" s="11">
        <f>11589.6776860026/(10^3)</f>
        <v>11.589677686002601</v>
      </c>
      <c r="AK36" s="11">
        <f>11586.321771853/(10^3)</f>
        <v>11.586321771852999</v>
      </c>
      <c r="AL36" s="11">
        <f>11559.7378230782/(10^3)</f>
        <v>11.5597378230782</v>
      </c>
      <c r="AM36" s="11">
        <f>11379.5540022232/(10^3)</f>
        <v>11.3795540022232</v>
      </c>
      <c r="AN36" s="11">
        <f>11881.3627101434/(10^3)</f>
        <v>11.881362710143399</v>
      </c>
      <c r="AO36" s="11">
        <v>12.258807843592585</v>
      </c>
      <c r="AP36" s="11">
        <f>12264.8312914399/(10^3)</f>
        <v>12.264831291439899</v>
      </c>
      <c r="AQ36" s="11">
        <f>12490.2541911596/(10^3)</f>
        <v>12.4902541911596</v>
      </c>
      <c r="AR36" s="11">
        <f>12222.9934558093/(10^3)</f>
        <v>12.222993455809299</v>
      </c>
      <c r="AS36" s="11">
        <f>12360.3338898866/(10^3)</f>
        <v>12.360333889886601</v>
      </c>
      <c r="AT36" s="11">
        <f>12374.7494124096/(10^3)</f>
        <v>12.374749412409599</v>
      </c>
      <c r="AU36" s="11">
        <v>12.56399263229831</v>
      </c>
      <c r="AV36" s="11">
        <f>13088.2165848701/(10^3)</f>
        <v>13.0882165848701</v>
      </c>
      <c r="AW36" s="11">
        <f>13367.8803082709/(10^3)</f>
        <v>13.3678803082709</v>
      </c>
      <c r="AX36" s="11">
        <f>14066.7309529591/(10^3)</f>
        <v>14.0667309529591</v>
      </c>
      <c r="AY36" s="11">
        <f>14578.4366737625/(10^3)</f>
        <v>14.5784366737625</v>
      </c>
      <c r="AZ36" s="11">
        <f>14851.1264746203/(10^3)</f>
        <v>14.851126474620299</v>
      </c>
      <c r="BA36" s="11">
        <v>15.56527475220815</v>
      </c>
      <c r="BB36" s="11">
        <f>15997.8112577974/(10^3)</f>
        <v>15.9978112577974</v>
      </c>
      <c r="BC36" s="11">
        <f>14680.1861141656/(10^3)</f>
        <v>14.6801861141656</v>
      </c>
      <c r="BD36" s="11">
        <f>14479.7185429878/(10^3)</f>
        <v>14.479718542987801</v>
      </c>
      <c r="BE36" s="11">
        <f>14313.9615843481/(10^3)</f>
        <v>14.313961584348101</v>
      </c>
      <c r="BF36" s="11">
        <f>13949.8506667425/(10^3)</f>
        <v>13.949850666742501</v>
      </c>
      <c r="BG36" s="11">
        <v>14.57102088931166</v>
      </c>
      <c r="BH36" s="11">
        <f>14996.9569518386/(10^3)</f>
        <v>14.9969569518386</v>
      </c>
      <c r="BI36" s="11">
        <f>15079.8979512595/(10^3)</f>
        <v>15.0798979512595</v>
      </c>
      <c r="BJ36" s="11">
        <f>15368.7085128379/(10^3)</f>
        <v>15.3687085128379</v>
      </c>
      <c r="BK36" s="11">
        <f>16055.8568816148/(10^3)</f>
        <v>16.055856881614801</v>
      </c>
      <c r="BL36" s="11">
        <f>16160.3442404275/(10^3)</f>
        <v>16.160344240427499</v>
      </c>
      <c r="BM36" s="11">
        <v>16.285472542709005</v>
      </c>
      <c r="BN36" s="11">
        <f>16797.5363534263/(10^3)</f>
        <v>16.797536353426302</v>
      </c>
      <c r="BO36" s="11">
        <f>15718.1481321809/(10^3)</f>
        <v>15.7181481321809</v>
      </c>
      <c r="BP36" s="11">
        <f>15657.1237273499/(10^3)</f>
        <v>15.6571237273499</v>
      </c>
      <c r="BQ36" s="11">
        <f>15464.1332275272/(10^3)</f>
        <v>15.464133227527199</v>
      </c>
      <c r="BR36" s="11">
        <f>15047.7001744606/(10^3)</f>
        <v>15.0477001744606</v>
      </c>
      <c r="BS36" s="11">
        <v>15.284803303995588</v>
      </c>
      <c r="BT36" s="11">
        <f>15071.8438603484/(10^3)</f>
        <v>15.0718438603484</v>
      </c>
      <c r="BU36" s="11">
        <f>15668.7447285348/(10^3)</f>
        <v>15.668744728534801</v>
      </c>
      <c r="BV36" s="11">
        <f>15950.8915583788/(10^3)</f>
        <v>15.9508915583788</v>
      </c>
      <c r="BW36" s="11">
        <f>16682.6513849429/(10^3)</f>
        <v>16.682651384942901</v>
      </c>
      <c r="BX36" s="11">
        <f>17226.4700971059/(10^3)</f>
        <v>17.226470097105899</v>
      </c>
      <c r="BY36" s="11">
        <v>16.948593251681107</v>
      </c>
      <c r="BZ36" s="11">
        <f>16948.5932516811/(10^3)</f>
        <v>16.9485932516811</v>
      </c>
      <c r="CA36" s="11">
        <f>15584.2886683498/(10^3)</f>
        <v>15.584288668349799</v>
      </c>
      <c r="CB36" s="11">
        <f>15069.8165241859/(10^3)</f>
        <v>15.069816524185901</v>
      </c>
      <c r="CC36" s="12"/>
      <c r="DD36" s="11"/>
      <c r="DE36" s="11"/>
      <c r="DF36" s="11"/>
    </row>
    <row r="37" spans="4:110" x14ac:dyDescent="0.25">
      <c r="D37" s="13" t="s">
        <v>9</v>
      </c>
      <c r="E37" s="13" t="s">
        <v>8</v>
      </c>
      <c r="F37" s="10" t="s">
        <v>151</v>
      </c>
      <c r="G37" s="13"/>
      <c r="H37" s="67" t="str">
        <f>CONCATENATE(D37," ",G37)</f>
        <v xml:space="preserve">Albuquerque </v>
      </c>
      <c r="I37" s="11">
        <f>63104/(10^3)</f>
        <v>63.103999999999999</v>
      </c>
      <c r="J37" s="11">
        <f>65605.1398349723/(10^3)</f>
        <v>65.605139834972306</v>
      </c>
      <c r="K37" s="11">
        <v>64.300813896251157</v>
      </c>
      <c r="L37" s="11">
        <f>65404.1998863303/(10^3)</f>
        <v>65.404199886330304</v>
      </c>
      <c r="M37" s="11">
        <f>67868.1593902997/(10^3)</f>
        <v>67.868159390299695</v>
      </c>
      <c r="N37" s="11">
        <f>69341.7597231713/(10^3)</f>
        <v>69.341759723171307</v>
      </c>
      <c r="O37" s="11">
        <f>71038.7316654056/(10^3)</f>
        <v>71.038731665405606</v>
      </c>
      <c r="P37" s="11">
        <f>72285.7766508243/(10^3)</f>
        <v>72.285776650824289</v>
      </c>
      <c r="Q37" s="11">
        <v>74.156889527149204</v>
      </c>
      <c r="R37" s="11">
        <f>77101.3803007807/(10^3)</f>
        <v>77.101380300780704</v>
      </c>
      <c r="S37" s="11">
        <f>74679.4802105745/(10^3)</f>
        <v>74.679480210574511</v>
      </c>
      <c r="T37" s="11">
        <f>74593.5491147882/(10^3)</f>
        <v>74.593549114788203</v>
      </c>
      <c r="U37" s="11">
        <f>74265.636225569/(10^3)</f>
        <v>74.265636225568997</v>
      </c>
      <c r="V37" s="11">
        <f>73424.5318805175/(10^3)</f>
        <v>73.424531880517506</v>
      </c>
      <c r="W37" s="11">
        <v>71.263766021023926</v>
      </c>
      <c r="X37" s="11">
        <f>73154.5462151192/(10^3)</f>
        <v>73.154546215119211</v>
      </c>
      <c r="Y37" s="11">
        <f>72228.3067328807/(10^3)</f>
        <v>72.228306732880696</v>
      </c>
      <c r="Z37" s="11">
        <f>76672.5273439875/(10^3)</f>
        <v>76.672527343987497</v>
      </c>
      <c r="AA37" s="11">
        <f>77353.0832922467/(10^3)</f>
        <v>77.353083292246694</v>
      </c>
      <c r="AB37" s="11">
        <f>80040.1436953949/(10^3)</f>
        <v>80.040143695394903</v>
      </c>
      <c r="AC37" s="11">
        <v>83.072521004014519</v>
      </c>
      <c r="AD37" s="11">
        <f>80703.7305077965/(10^3)</f>
        <v>80.703730507796493</v>
      </c>
      <c r="AE37" s="11">
        <f>73053.5921313235/(10^3)</f>
        <v>73.053592131323498</v>
      </c>
      <c r="AF37" s="11">
        <f>69785.6595576919/(10^3)</f>
        <v>69.785659557691901</v>
      </c>
      <c r="AG37" s="11">
        <f>69148.7432412624/(10^3)</f>
        <v>69.148743241262409</v>
      </c>
      <c r="AH37" s="11">
        <f>68202.9711637505/(10^3)</f>
        <v>68.20297116375049</v>
      </c>
      <c r="AI37" s="11">
        <v>71.144012394709321</v>
      </c>
      <c r="AJ37" s="11">
        <f>69337.3232728393/(10^3)</f>
        <v>69.337323272839299</v>
      </c>
      <c r="AK37" s="11">
        <f>68981.086182302/(10^3)</f>
        <v>68.981086182301993</v>
      </c>
      <c r="AL37" s="11">
        <f>68533.7186369472/(10^3)</f>
        <v>68.533718636947199</v>
      </c>
      <c r="AM37" s="11">
        <f>66526.453548611/(10^3)</f>
        <v>66.526453548611002</v>
      </c>
      <c r="AN37" s="11">
        <f>69052.3000714065/(10^3)</f>
        <v>69.052300071406492</v>
      </c>
      <c r="AO37" s="11">
        <v>72.230923699764489</v>
      </c>
      <c r="AP37" s="11">
        <f>74594.5412008476/(10^3)</f>
        <v>74.594541200847601</v>
      </c>
      <c r="AQ37" s="11">
        <f>73180.0981191716/(10^3)</f>
        <v>73.180098119171603</v>
      </c>
      <c r="AR37" s="11">
        <f>73815.3879346618/(10^3)</f>
        <v>73.8153879346618</v>
      </c>
      <c r="AS37" s="11">
        <f>74914.5569086159/(10^3)</f>
        <v>74.914556908615893</v>
      </c>
      <c r="AT37" s="11">
        <f>73927.4789295763/(10^3)</f>
        <v>73.92747892957631</v>
      </c>
      <c r="AU37" s="11">
        <v>76.265619731842548</v>
      </c>
      <c r="AV37" s="11">
        <f>76890.3471080579/(10^3)</f>
        <v>76.89034710805791</v>
      </c>
      <c r="AW37" s="11">
        <f>75518.0249154689/(10^3)</f>
        <v>75.518024915468899</v>
      </c>
      <c r="AX37" s="11">
        <f>76528.214354526/(10^3)</f>
        <v>76.528214354526</v>
      </c>
      <c r="AY37" s="11">
        <f>79491.5630536914/(10^3)</f>
        <v>79.491563053691394</v>
      </c>
      <c r="AZ37" s="11">
        <f>82413.4458156803/(10^3)</f>
        <v>82.413445815680305</v>
      </c>
      <c r="BA37" s="11">
        <v>85.800025972131124</v>
      </c>
      <c r="BB37" s="11">
        <f>83370.8545842302/(10^3)</f>
        <v>83.370854584230202</v>
      </c>
      <c r="BC37" s="11">
        <f>82916.0705904455/(10^3)</f>
        <v>82.9160705904455</v>
      </c>
      <c r="BD37" s="11">
        <f>82224.7047405898/(10^3)</f>
        <v>82.2247047405898</v>
      </c>
      <c r="BE37" s="11">
        <f>80737.8685572709/(10^3)</f>
        <v>80.737868557270886</v>
      </c>
      <c r="BF37" s="11">
        <f>81571.3902782246/(10^3)</f>
        <v>81.571390278224598</v>
      </c>
      <c r="BG37" s="11">
        <v>83.942855773241092</v>
      </c>
      <c r="BH37" s="11">
        <f>85190.1205387324/(10^3)</f>
        <v>85.190120538732401</v>
      </c>
      <c r="BI37" s="11">
        <f>82902.9300962141/(10^3)</f>
        <v>82.902930096214092</v>
      </c>
      <c r="BJ37" s="11">
        <f>84431.9646153946/(10^3)</f>
        <v>84.431964615394591</v>
      </c>
      <c r="BK37" s="11">
        <f>86581.2431080423/(10^3)</f>
        <v>86.581243108042301</v>
      </c>
      <c r="BL37" s="11">
        <f>87443.0495710327/(10^3)</f>
        <v>87.443049571032688</v>
      </c>
      <c r="BM37" s="11">
        <v>88.054325283677017</v>
      </c>
      <c r="BN37" s="11">
        <f>88717.2872089323/(10^3)</f>
        <v>88.717287208932305</v>
      </c>
      <c r="BO37" s="11">
        <f>80567.3147074128/(10^3)</f>
        <v>80.567314707412805</v>
      </c>
      <c r="BP37" s="11">
        <f>76738.1480398967/(10^3)</f>
        <v>76.7381480398967</v>
      </c>
      <c r="BQ37" s="11">
        <f>75890.3112492439/(10^3)</f>
        <v>75.890311249243894</v>
      </c>
      <c r="BR37" s="11">
        <f>76267.0617987491/(10^3)</f>
        <v>76.267061798749097</v>
      </c>
      <c r="BS37" s="11">
        <v>79.804038836659899</v>
      </c>
      <c r="BT37" s="11">
        <f>83665.7585233667/(10^3)</f>
        <v>83.665758523366705</v>
      </c>
      <c r="BU37" s="11">
        <f>84837.1400395327/(10^3)</f>
        <v>84.837140039532699</v>
      </c>
      <c r="BV37" s="11">
        <f>91187.0052321787/(10^3)</f>
        <v>91.187005232178691</v>
      </c>
      <c r="BW37" s="11">
        <f>94116.1293785766/(10^3)</f>
        <v>94.116129378576602</v>
      </c>
      <c r="BX37" s="11">
        <f>97974.7649637518/(10^3)</f>
        <v>97.974764963751809</v>
      </c>
      <c r="BY37" s="11">
        <v>100.45145768336063</v>
      </c>
      <c r="BZ37" s="11">
        <f>100451.457683361/(10^3)</f>
        <v>100.451457683361</v>
      </c>
      <c r="CA37" s="11">
        <f>93179.5302769627/(10^3)</f>
        <v>93.179530276962709</v>
      </c>
      <c r="CB37" s="11">
        <f>89468.4195596795/(10^3)</f>
        <v>89.468419559679504</v>
      </c>
      <c r="CC37" s="12"/>
      <c r="DD37" s="11"/>
      <c r="DE37" s="11"/>
      <c r="DF37" s="11"/>
    </row>
    <row r="38" spans="4:110" x14ac:dyDescent="0.25">
      <c r="D38" s="13" t="s">
        <v>11</v>
      </c>
      <c r="E38" s="13" t="s">
        <v>10</v>
      </c>
      <c r="F38" s="10" t="s">
        <v>150</v>
      </c>
      <c r="G38" s="13"/>
      <c r="H38" s="67" t="str">
        <f>CONCATENATE(D38," ",G38)</f>
        <v xml:space="preserve">Atlanta </v>
      </c>
      <c r="I38" s="11">
        <f>38142/(10^3)</f>
        <v>38.142000000000003</v>
      </c>
      <c r="J38" s="11">
        <f>38892.5481398175/(10^3)</f>
        <v>38.892548139817507</v>
      </c>
      <c r="K38" s="11">
        <v>38.085813168562311</v>
      </c>
      <c r="L38" s="11">
        <f>38271.565122024/(10^3)</f>
        <v>38.271565122024001</v>
      </c>
      <c r="M38" s="11">
        <f>37757.5580136799/(10^3)</f>
        <v>37.757558013679905</v>
      </c>
      <c r="N38" s="11">
        <f>38666.3526309472/(10^3)</f>
        <v>38.666352630947202</v>
      </c>
      <c r="O38" s="11">
        <f>39494.9762354244/(10^3)</f>
        <v>39.494976235424403</v>
      </c>
      <c r="P38" s="11">
        <f>40817.4503503987/(10^3)</f>
        <v>40.817450350398701</v>
      </c>
      <c r="Q38" s="11">
        <v>41.252585140429744</v>
      </c>
      <c r="R38" s="11">
        <f>41333.0063279498/(10^3)</f>
        <v>41.333006327949796</v>
      </c>
      <c r="S38" s="11">
        <f>37469.3819962292/(10^3)</f>
        <v>37.469381996229195</v>
      </c>
      <c r="T38" s="11">
        <f>35649.0474827618/(10^3)</f>
        <v>35.649047482761802</v>
      </c>
      <c r="U38" s="11">
        <f>35357.3155487254/(10^3)</f>
        <v>35.357315548725396</v>
      </c>
      <c r="V38" s="11">
        <f>36315.0568273889/(10^3)</f>
        <v>36.315056827388901</v>
      </c>
      <c r="W38" s="11">
        <v>35.96014111401297</v>
      </c>
      <c r="X38" s="11">
        <f>36677.5829043238/(10^3)</f>
        <v>36.677582904323799</v>
      </c>
      <c r="Y38" s="11">
        <f>38062.3335896609/(10^3)</f>
        <v>38.062333589660902</v>
      </c>
      <c r="Z38" s="11">
        <f>38545.112786829/(10^3)</f>
        <v>38.545112786829002</v>
      </c>
      <c r="AA38" s="11">
        <f>39282.7358593561/(10^3)</f>
        <v>39.282735859356102</v>
      </c>
      <c r="AB38" s="11">
        <f>41098.7314516279/(10^3)</f>
        <v>41.098731451627899</v>
      </c>
      <c r="AC38" s="11">
        <v>41.626154429704044</v>
      </c>
      <c r="AD38" s="11">
        <f>41691.8240071977/(10^3)</f>
        <v>41.691824007197695</v>
      </c>
      <c r="AE38" s="11">
        <f>39479.4418329442/(10^3)</f>
        <v>39.479441832944197</v>
      </c>
      <c r="AF38" s="11">
        <f>37968.5648867825/(10^3)</f>
        <v>37.968564886782502</v>
      </c>
      <c r="AG38" s="11">
        <f>37650.2700554181/(10^3)</f>
        <v>37.650270055418098</v>
      </c>
      <c r="AH38" s="11">
        <f>39007.0099059161/(10^3)</f>
        <v>39.0070099059161</v>
      </c>
      <c r="AI38" s="11">
        <v>38.496230228370955</v>
      </c>
      <c r="AJ38" s="11">
        <f>40023.8743736104/(10^3)</f>
        <v>40.023874373610404</v>
      </c>
      <c r="AK38" s="11">
        <f>41781.2596158716/(10^3)</f>
        <v>41.781259615871598</v>
      </c>
      <c r="AL38" s="11">
        <f>42784.0411809511/(10^3)</f>
        <v>42.7840411809511</v>
      </c>
      <c r="AM38" s="11">
        <f>44695.1807518515/(10^3)</f>
        <v>44.695180751851495</v>
      </c>
      <c r="AN38" s="11">
        <f>45135.0066234473/(10^3)</f>
        <v>45.135006623447296</v>
      </c>
      <c r="AO38" s="11">
        <v>45.461060825433677</v>
      </c>
      <c r="AP38" s="11">
        <f>45010.7162080144/(10^3)</f>
        <v>45.010716208014394</v>
      </c>
      <c r="AQ38" s="11">
        <f>46265.73069215/(10^3)</f>
        <v>46.265730692150001</v>
      </c>
      <c r="AR38" s="11">
        <f>45251.7598339667/(10^3)</f>
        <v>45.251759833966702</v>
      </c>
      <c r="AS38" s="11">
        <f>46691.8398286813/(10^3)</f>
        <v>46.691839828681303</v>
      </c>
      <c r="AT38" s="11">
        <f>47187.778437021/(10^3)</f>
        <v>47.187778437021002</v>
      </c>
      <c r="AU38" s="11">
        <v>48.941538272110549</v>
      </c>
      <c r="AV38" s="11">
        <f>48221.1946435861/(10^3)</f>
        <v>48.221194643586102</v>
      </c>
      <c r="AW38" s="11">
        <f>50022.6963729276/(10^3)</f>
        <v>50.022696372927605</v>
      </c>
      <c r="AX38" s="11">
        <f>54284.0969721515/(10^3)</f>
        <v>54.284096972151502</v>
      </c>
      <c r="AY38" s="11">
        <f>54734.9265919819/(10^3)</f>
        <v>54.734926591981903</v>
      </c>
      <c r="AZ38" s="11">
        <f>56674.3785570311/(10^3)</f>
        <v>56.674378557031098</v>
      </c>
      <c r="BA38" s="11">
        <v>59.267145520511988</v>
      </c>
      <c r="BB38" s="11">
        <f>60110.5729398711/(10^3)</f>
        <v>60.110572939871098</v>
      </c>
      <c r="BC38" s="11">
        <f>58817.0253593997/(10^3)</f>
        <v>58.817025359399693</v>
      </c>
      <c r="BD38" s="11">
        <f>56256.0019811324/(10^3)</f>
        <v>56.2560019811324</v>
      </c>
      <c r="BE38" s="11">
        <f>55552.5039563918/(10^3)</f>
        <v>55.552503956391803</v>
      </c>
      <c r="BF38" s="11">
        <f>56621.4614735834/(10^3)</f>
        <v>56.621461473583395</v>
      </c>
      <c r="BG38" s="11">
        <v>58.124491004354212</v>
      </c>
      <c r="BH38" s="11">
        <f>60199.2260921485/(10^3)</f>
        <v>60.1992260921485</v>
      </c>
      <c r="BI38" s="11">
        <f>60314.3971943562/(10^3)</f>
        <v>60.314397194356197</v>
      </c>
      <c r="BJ38" s="11">
        <f>61862.7837189443/(10^3)</f>
        <v>61.8627837189443</v>
      </c>
      <c r="BK38" s="11">
        <f>64164.7338920824/(10^3)</f>
        <v>64.164733892082396</v>
      </c>
      <c r="BL38" s="11">
        <f>65222.407074446/(10^3)</f>
        <v>65.222407074445996</v>
      </c>
      <c r="BM38" s="11">
        <v>67.170766001394512</v>
      </c>
      <c r="BN38" s="11">
        <f>67527.3224640118/(10^3)</f>
        <v>67.527322464011803</v>
      </c>
      <c r="BO38" s="11">
        <f>63221.8560560613/(10^3)</f>
        <v>63.221856056061299</v>
      </c>
      <c r="BP38" s="11">
        <f>60921.7453546655/(10^3)</f>
        <v>60.921745354665504</v>
      </c>
      <c r="BQ38" s="11">
        <f>59617.0136185391/(10^3)</f>
        <v>59.617013618539104</v>
      </c>
      <c r="BR38" s="11">
        <f>59077.1199269699/(10^3)</f>
        <v>59.0771199269699</v>
      </c>
      <c r="BS38" s="11">
        <v>61.609783710975904</v>
      </c>
      <c r="BT38" s="11">
        <f>59950.3616551457/(10^3)</f>
        <v>59.950361655145699</v>
      </c>
      <c r="BU38" s="11">
        <f>58958.021416017/(10^3)</f>
        <v>58.958021416016997</v>
      </c>
      <c r="BV38" s="11">
        <f>63532.8141948907/(10^3)</f>
        <v>63.532814194890697</v>
      </c>
      <c r="BW38" s="11">
        <f>65229.5029261748/(10^3)</f>
        <v>65.229502926174803</v>
      </c>
      <c r="BX38" s="11">
        <f>68464.9222719638/(10^3)</f>
        <v>68.4649222719638</v>
      </c>
      <c r="BY38" s="11">
        <v>69.178209359588877</v>
      </c>
      <c r="BZ38" s="11">
        <f>69178.2093595889/(10^3)</f>
        <v>69.178209359588905</v>
      </c>
      <c r="CA38" s="11">
        <f>68130.098062898/(10^3)</f>
        <v>68.130098062898</v>
      </c>
      <c r="CB38" s="11">
        <f>66640.4262046421/(10^3)</f>
        <v>66.640426204642111</v>
      </c>
      <c r="CC38" s="12"/>
      <c r="DD38" s="11"/>
      <c r="DE38" s="11"/>
      <c r="DF38" s="11"/>
    </row>
    <row r="39" spans="4:110" x14ac:dyDescent="0.25">
      <c r="D39" s="13" t="s">
        <v>13</v>
      </c>
      <c r="E39" s="13" t="s">
        <v>12</v>
      </c>
      <c r="F39" s="10" t="s">
        <v>150</v>
      </c>
      <c r="G39" s="13"/>
      <c r="H39" s="67" t="str">
        <f>CONCATENATE(D39," ",G39)</f>
        <v xml:space="preserve">Austin </v>
      </c>
      <c r="I39" s="11">
        <f>126472/(10^3)</f>
        <v>126.47199999999999</v>
      </c>
      <c r="J39" s="11">
        <f>128106.04712471/(10^3)</f>
        <v>128.10604712471002</v>
      </c>
      <c r="K39" s="11">
        <v>126.77645231172143</v>
      </c>
      <c r="L39" s="11">
        <f>126159.128993255/(10^3)</f>
        <v>126.159128993255</v>
      </c>
      <c r="M39" s="11">
        <f>131283.925121373/(10^3)</f>
        <v>131.28392512137299</v>
      </c>
      <c r="N39" s="11">
        <f>143142.772042024/(10^3)</f>
        <v>143.14277204202401</v>
      </c>
      <c r="O39" s="11">
        <f>147166.636897429/(10^3)</f>
        <v>147.16663689742902</v>
      </c>
      <c r="P39" s="11">
        <f>150954.431614354/(10^3)</f>
        <v>150.95443161435398</v>
      </c>
      <c r="Q39" s="11">
        <v>151.93934708309186</v>
      </c>
      <c r="R39" s="11">
        <f>151661.44648974/(10^3)</f>
        <v>151.66144648974</v>
      </c>
      <c r="S39" s="11">
        <f>137395.559714776/(10^3)</f>
        <v>137.395559714776</v>
      </c>
      <c r="T39" s="11">
        <f>131417.239286944/(10^3)</f>
        <v>131.41723928694401</v>
      </c>
      <c r="U39" s="11">
        <f>127997.334134965/(10^3)</f>
        <v>127.997334134965</v>
      </c>
      <c r="V39" s="11">
        <f>128460.627267732/(10^3)</f>
        <v>128.46062726773201</v>
      </c>
      <c r="W39" s="11">
        <v>125.22389014785375</v>
      </c>
      <c r="X39" s="11">
        <f>123011.585899631/(10^3)</f>
        <v>123.011585899631</v>
      </c>
      <c r="Y39" s="11">
        <f>121765.794586905/(10^3)</f>
        <v>121.765794586905</v>
      </c>
      <c r="Z39" s="11">
        <f>128128.526492379/(10^3)</f>
        <v>128.128526492379</v>
      </c>
      <c r="AA39" s="11">
        <f>129363.300784319/(10^3)</f>
        <v>129.36330078431899</v>
      </c>
      <c r="AB39" s="11">
        <f>132990.452823356/(10^3)</f>
        <v>132.99045282335601</v>
      </c>
      <c r="AC39" s="11">
        <v>136.92369020173638</v>
      </c>
      <c r="AD39" s="11">
        <f>138042.97921302/(10^3)</f>
        <v>138.04297921302</v>
      </c>
      <c r="AE39" s="11">
        <f>124863.471160153/(10^3)</f>
        <v>124.863471160153</v>
      </c>
      <c r="AF39" s="11">
        <f>121661.046858642/(10^3)</f>
        <v>121.66104685864201</v>
      </c>
      <c r="AG39" s="11">
        <f>118302.482616434/(10^3)</f>
        <v>118.30248261643401</v>
      </c>
      <c r="AH39" s="11">
        <f>122806.952806665/(10^3)</f>
        <v>122.806952806665</v>
      </c>
      <c r="AI39" s="11">
        <v>127.39086881675699</v>
      </c>
      <c r="AJ39" s="11">
        <f>133449.294948196/(10^3)</f>
        <v>133.44929494819601</v>
      </c>
      <c r="AK39" s="11">
        <f>136877.844775387/(10^3)</f>
        <v>136.87784477538699</v>
      </c>
      <c r="AL39" s="11">
        <f>137868.338764914/(10^3)</f>
        <v>137.868338764914</v>
      </c>
      <c r="AM39" s="11">
        <f>141434.792238152/(10^3)</f>
        <v>141.434792238152</v>
      </c>
      <c r="AN39" s="11">
        <f>137986.203769516/(10^3)</f>
        <v>137.98620376951601</v>
      </c>
      <c r="AO39" s="11">
        <v>134.63967907600889</v>
      </c>
      <c r="AP39" s="11">
        <f>138173.765522083/(10^3)</f>
        <v>138.17376552208302</v>
      </c>
      <c r="AQ39" s="11">
        <f>139202.963569826/(10^3)</f>
        <v>139.20296356982601</v>
      </c>
      <c r="AR39" s="11">
        <f>135457.934567108/(10^3)</f>
        <v>135.457934567108</v>
      </c>
      <c r="AS39" s="11">
        <f>136839.76590062/(10^3)</f>
        <v>136.83976590061999</v>
      </c>
      <c r="AT39" s="11">
        <f>135379.840095604/(10^3)</f>
        <v>135.37984009560401</v>
      </c>
      <c r="AU39" s="11">
        <v>141.15205323881003</v>
      </c>
      <c r="AV39" s="11">
        <f>144066.261960922/(10^3)</f>
        <v>144.06626196092202</v>
      </c>
      <c r="AW39" s="11">
        <f>140122.586423444/(10^3)</f>
        <v>140.12258642344401</v>
      </c>
      <c r="AX39" s="11">
        <f>148418.31886543/(10^3)</f>
        <v>148.41831886543</v>
      </c>
      <c r="AY39" s="11">
        <f>153088.595187611/(10^3)</f>
        <v>153.08859518761099</v>
      </c>
      <c r="AZ39" s="11">
        <f>153818.267603984/(10^3)</f>
        <v>153.818267603984</v>
      </c>
      <c r="BA39" s="11">
        <v>154.3566098473805</v>
      </c>
      <c r="BB39" s="11">
        <f>154640.325002838/(10^3)</f>
        <v>154.64032500283801</v>
      </c>
      <c r="BC39" s="11">
        <f>148828.7672547/(10^3)</f>
        <v>148.82876725470001</v>
      </c>
      <c r="BD39" s="11">
        <f>145321.91461415/(10^3)</f>
        <v>145.32191461415002</v>
      </c>
      <c r="BE39" s="11">
        <f>142272.585290225/(10^3)</f>
        <v>142.27258529022498</v>
      </c>
      <c r="BF39" s="11">
        <f>145684.220418905/(10^3)</f>
        <v>145.684220418905</v>
      </c>
      <c r="BG39" s="11">
        <v>143.98685068535073</v>
      </c>
      <c r="BH39" s="11">
        <f>150199.284849786/(10^3)</f>
        <v>150.19928484978598</v>
      </c>
      <c r="BI39" s="11">
        <f>155891.042181344/(10^3)</f>
        <v>155.89104218134401</v>
      </c>
      <c r="BJ39" s="11">
        <f>159048.866141629/(10^3)</f>
        <v>159.04886614162899</v>
      </c>
      <c r="BK39" s="11">
        <f>163665.307005514/(10^3)</f>
        <v>163.66530700551402</v>
      </c>
      <c r="BL39" s="11">
        <f>166871.85594038/(10^3)</f>
        <v>166.87185594037999</v>
      </c>
      <c r="BM39" s="11">
        <v>175.06309734612807</v>
      </c>
      <c r="BN39" s="11">
        <f>180278.061486219/(10^3)</f>
        <v>180.278061486219</v>
      </c>
      <c r="BO39" s="11">
        <f>169031.111508709/(10^3)</f>
        <v>169.03111150870899</v>
      </c>
      <c r="BP39" s="11">
        <f>168158.530146537/(10^3)</f>
        <v>168.158530146537</v>
      </c>
      <c r="BQ39" s="11">
        <f>167037.11729434/(10^3)</f>
        <v>167.03711729433999</v>
      </c>
      <c r="BR39" s="11">
        <f>164758.971861359/(10^3)</f>
        <v>164.75897186135899</v>
      </c>
      <c r="BS39" s="11">
        <v>165.23883864358282</v>
      </c>
      <c r="BT39" s="11">
        <f>169749.086205414/(10^3)</f>
        <v>169.74908620541399</v>
      </c>
      <c r="BU39" s="11">
        <f>175497.864608372/(10^3)</f>
        <v>175.497864608372</v>
      </c>
      <c r="BV39" s="11">
        <f>181447.191138818/(10^3)</f>
        <v>181.447191138818</v>
      </c>
      <c r="BW39" s="11">
        <f>181506.811626995/(10^3)</f>
        <v>181.50681162699502</v>
      </c>
      <c r="BX39" s="11">
        <f>181654.568289271/(10^3)</f>
        <v>181.654568289271</v>
      </c>
      <c r="BY39" s="11">
        <v>192.3297632207844</v>
      </c>
      <c r="BZ39" s="11">
        <f>192329.763220784/(10^3)</f>
        <v>192.329763220784</v>
      </c>
      <c r="CA39" s="11">
        <f>178036.670249133/(10^3)</f>
        <v>178.03667024913298</v>
      </c>
      <c r="CB39" s="11">
        <f>175763.793498087/(10^3)</f>
        <v>175.76379349808701</v>
      </c>
      <c r="CC39" s="12"/>
      <c r="DD39" s="11"/>
      <c r="DE39" s="11"/>
      <c r="DF39" s="11"/>
    </row>
    <row r="40" spans="4:110" x14ac:dyDescent="0.25">
      <c r="D40" s="13" t="s">
        <v>15</v>
      </c>
      <c r="E40" s="13" t="s">
        <v>14</v>
      </c>
      <c r="F40" s="10" t="s">
        <v>150</v>
      </c>
      <c r="G40" s="13"/>
      <c r="H40" s="67" t="str">
        <f>CONCATENATE(D40," ",G40)</f>
        <v xml:space="preserve">Baton Rouge </v>
      </c>
      <c r="I40" s="11">
        <f>38874/(10^3)</f>
        <v>38.874000000000002</v>
      </c>
      <c r="J40" s="11">
        <f>37813.44164729/(10^3)</f>
        <v>37.813441647289999</v>
      </c>
      <c r="K40" s="11">
        <v>36.73689799804891</v>
      </c>
      <c r="L40" s="11">
        <f>38543.7013142863/(10^3)</f>
        <v>38.543701314286302</v>
      </c>
      <c r="M40" s="11">
        <f>39129.6088233113/(10^3)</f>
        <v>39.129608823311294</v>
      </c>
      <c r="N40" s="11">
        <f>41210.4167271136/(10^3)</f>
        <v>41.210416727113603</v>
      </c>
      <c r="O40" s="11">
        <f>43202.4912643806/(10^3)</f>
        <v>43.202491264380605</v>
      </c>
      <c r="P40" s="11">
        <f>43381.9310619937/(10^3)</f>
        <v>43.381931061993704</v>
      </c>
      <c r="Q40" s="11">
        <v>45.144743813098323</v>
      </c>
      <c r="R40" s="11">
        <f>45667.7654735913/(10^3)</f>
        <v>45.667765473591302</v>
      </c>
      <c r="S40" s="11">
        <f>45249.2580137482/(10^3)</f>
        <v>45.249258013748197</v>
      </c>
      <c r="T40" s="11">
        <f>44658.130470762/(10^3)</f>
        <v>44.658130470762003</v>
      </c>
      <c r="U40" s="11">
        <f>44483.2213434538/(10^3)</f>
        <v>44.483221343453799</v>
      </c>
      <c r="V40" s="11">
        <f>46415.2804865878/(10^3)</f>
        <v>46.415280486587797</v>
      </c>
      <c r="W40" s="11">
        <v>46.564346820747694</v>
      </c>
      <c r="X40" s="11">
        <f>45422.8640176478/(10^3)</f>
        <v>45.422864017647797</v>
      </c>
      <c r="Y40" s="11">
        <f>47673.7759352419/(10^3)</f>
        <v>47.673775935241899</v>
      </c>
      <c r="Z40" s="11">
        <f>50669.4642459807/(10^3)</f>
        <v>50.669464245980699</v>
      </c>
      <c r="AA40" s="11">
        <f>51336.0237916087/(10^3)</f>
        <v>51.336023791608696</v>
      </c>
      <c r="AB40" s="11">
        <f>53139.0719188361/(10^3)</f>
        <v>53.139071918836102</v>
      </c>
      <c r="AC40" s="11">
        <v>53.202590790315249</v>
      </c>
      <c r="AD40" s="11">
        <f>52239.798093391/(10^3)</f>
        <v>52.239798093391002</v>
      </c>
      <c r="AE40" s="11">
        <f>49789.9412016892/(10^3)</f>
        <v>49.789941201689203</v>
      </c>
      <c r="AF40" s="11">
        <f>48676.8930826984/(10^3)</f>
        <v>48.676893082698399</v>
      </c>
      <c r="AG40" s="11">
        <f>47721.9709055198/(10^3)</f>
        <v>47.721970905519804</v>
      </c>
      <c r="AH40" s="11">
        <f>49852.3388413727/(10^3)</f>
        <v>49.852338841372699</v>
      </c>
      <c r="AI40" s="11">
        <v>52.251299324862117</v>
      </c>
      <c r="AJ40" s="11">
        <f>53638.9946363062/(10^3)</f>
        <v>53.638994636306194</v>
      </c>
      <c r="AK40" s="11">
        <f>54292.3425999143/(10^3)</f>
        <v>54.292342599914299</v>
      </c>
      <c r="AL40" s="11">
        <f>59670.0240899006/(10^3)</f>
        <v>59.6700240899006</v>
      </c>
      <c r="AM40" s="11">
        <f>61033.8309970469/(10^3)</f>
        <v>61.033830997046898</v>
      </c>
      <c r="AN40" s="11">
        <f>61823.5080702741/(10^3)</f>
        <v>61.823508070274102</v>
      </c>
      <c r="AO40" s="11">
        <v>62.894552668355082</v>
      </c>
      <c r="AP40" s="11">
        <f>65574.2848419895/(10^3)</f>
        <v>65.574284841989495</v>
      </c>
      <c r="AQ40" s="11">
        <f>66329.6036374335/(10^3)</f>
        <v>66.329603637433493</v>
      </c>
      <c r="AR40" s="11">
        <f>66150.5456207479/(10^3)</f>
        <v>66.150545620747906</v>
      </c>
      <c r="AS40" s="11">
        <f>66170.4840147716/(10^3)</f>
        <v>66.170484014771603</v>
      </c>
      <c r="AT40" s="11">
        <f>64925.5199173308/(10^3)</f>
        <v>64.925519917330803</v>
      </c>
      <c r="AU40" s="11">
        <v>66.618219030774412</v>
      </c>
      <c r="AV40" s="11">
        <f>68167.5582041392/(10^3)</f>
        <v>68.167558204139198</v>
      </c>
      <c r="AW40" s="11">
        <f>71441.8321319687/(10^3)</f>
        <v>71.441832131968695</v>
      </c>
      <c r="AX40" s="11">
        <f>74801.5075482862/(10^3)</f>
        <v>74.801507548286196</v>
      </c>
      <c r="AY40" s="11">
        <f>76303.0801101217/(10^3)</f>
        <v>76.303080110121698</v>
      </c>
      <c r="AZ40" s="11">
        <f>78154.9440644816/(10^3)</f>
        <v>78.154944064481612</v>
      </c>
      <c r="BA40" s="11">
        <v>79.017974962753584</v>
      </c>
      <c r="BB40" s="11">
        <f>81261.9981879186/(10^3)</f>
        <v>81.261998187918593</v>
      </c>
      <c r="BC40" s="11">
        <f>74321.5702941135/(10^3)</f>
        <v>74.321570294113499</v>
      </c>
      <c r="BD40" s="11">
        <f>71558.4207757749/(10^3)</f>
        <v>71.558420775774891</v>
      </c>
      <c r="BE40" s="11">
        <f>70049.3278451351/(10^3)</f>
        <v>70.04932784513511</v>
      </c>
      <c r="BF40" s="11">
        <f>70940.83967467/(10^3)</f>
        <v>70.940839674670002</v>
      </c>
      <c r="BG40" s="11">
        <v>72.132052362187636</v>
      </c>
      <c r="BH40" s="11">
        <f>71028.2018296098/(10^3)</f>
        <v>71.028201829609799</v>
      </c>
      <c r="BI40" s="11">
        <f>72861.0480495141/(10^3)</f>
        <v>72.861048049514096</v>
      </c>
      <c r="BJ40" s="11">
        <f>77960.2543382527/(10^3)</f>
        <v>77.960254338252696</v>
      </c>
      <c r="BK40" s="11">
        <f>78148.7100649807/(10^3)</f>
        <v>78.148710064980691</v>
      </c>
      <c r="BL40" s="11">
        <f>81930.5398997057/(10^3)</f>
        <v>81.930539899705707</v>
      </c>
      <c r="BM40" s="11">
        <v>85.315159899367941</v>
      </c>
      <c r="BN40" s="11">
        <f>82896.0143050266/(10^3)</f>
        <v>82.896014305026611</v>
      </c>
      <c r="BO40" s="11">
        <f>74906.4283359434/(10^3)</f>
        <v>74.906428335943403</v>
      </c>
      <c r="BP40" s="11">
        <f>71915.3013189097/(10^3)</f>
        <v>71.915301318909698</v>
      </c>
      <c r="BQ40" s="11">
        <f>70523.2797327144/(10^3)</f>
        <v>70.523279732714414</v>
      </c>
      <c r="BR40" s="11">
        <f>72092.5396350147/(10^3)</f>
        <v>72.092539635014703</v>
      </c>
      <c r="BS40" s="11">
        <v>70.293080813910066</v>
      </c>
      <c r="BT40" s="11">
        <f>69870.4374609791/(10^3)</f>
        <v>69.870437460979105</v>
      </c>
      <c r="BU40" s="11">
        <f>73032.7712593489/(10^3)</f>
        <v>73.032771259348891</v>
      </c>
      <c r="BV40" s="11">
        <f>77892.1370375246/(10^3)</f>
        <v>77.892137037524606</v>
      </c>
      <c r="BW40" s="11">
        <f>81460.8364328175/(10^3)</f>
        <v>81.460836432817487</v>
      </c>
      <c r="BX40" s="11">
        <f>85293.6732215835/(10^3)</f>
        <v>85.293673221583504</v>
      </c>
      <c r="BY40" s="11">
        <v>91.577213639731625</v>
      </c>
      <c r="BZ40" s="11">
        <f>91577.2136397316/(10^3)</f>
        <v>91.57721363973161</v>
      </c>
      <c r="CA40" s="11">
        <f>86134.0059118/(10^3)</f>
        <v>86.134005911800003</v>
      </c>
      <c r="CB40" s="11">
        <f>84369.1356663449/(10^3)</f>
        <v>84.369135666344903</v>
      </c>
      <c r="CC40" s="12"/>
      <c r="DD40" s="11"/>
      <c r="DE40" s="11"/>
      <c r="DF40" s="11"/>
    </row>
    <row r="41" spans="4:110" x14ac:dyDescent="0.25">
      <c r="D41" s="13" t="s">
        <v>16</v>
      </c>
      <c r="E41" s="13" t="s">
        <v>2</v>
      </c>
      <c r="F41" s="10" t="s">
        <v>150</v>
      </c>
      <c r="G41" s="13"/>
      <c r="H41" s="67" t="str">
        <f>CONCATENATE(D41," ",G41)</f>
        <v xml:space="preserve">Birmingham </v>
      </c>
      <c r="I41" s="11">
        <f>88935/(10^3)</f>
        <v>88.935000000000002</v>
      </c>
      <c r="J41" s="11">
        <f>87688.4725757636/(10^3)</f>
        <v>87.688472575763598</v>
      </c>
      <c r="K41" s="11">
        <v>87.799980793790596</v>
      </c>
      <c r="L41" s="11">
        <f>86961.2776914815/(10^3)</f>
        <v>86.961277691481499</v>
      </c>
      <c r="M41" s="11">
        <f>89362.6622452874/(10^3)</f>
        <v>89.362662245287396</v>
      </c>
      <c r="N41" s="11">
        <f>91160.1325877952/(10^3)</f>
        <v>91.160132587795204</v>
      </c>
      <c r="O41" s="11">
        <f>93852.4440780111/(10^3)</f>
        <v>93.852444078011104</v>
      </c>
      <c r="P41" s="11">
        <f>96211.4410105154/(10^3)</f>
        <v>96.211441010515401</v>
      </c>
      <c r="Q41" s="11">
        <v>97.166948221590005</v>
      </c>
      <c r="R41" s="11">
        <f>96688.1002182402/(10^3)</f>
        <v>96.688100218240194</v>
      </c>
      <c r="S41" s="11">
        <f>92496.8344928984/(10^3)</f>
        <v>92.496834492898401</v>
      </c>
      <c r="T41" s="11">
        <f>90994.2447736934/(10^3)</f>
        <v>90.994244773693396</v>
      </c>
      <c r="U41" s="11">
        <f>88412.1357611804/(10^3)</f>
        <v>88.412135761180394</v>
      </c>
      <c r="V41" s="11">
        <f>86894.7012940859/(10^3)</f>
        <v>86.894701294085905</v>
      </c>
      <c r="W41" s="11">
        <v>88.153443027906889</v>
      </c>
      <c r="X41" s="11">
        <f>89473.9224826788/(10^3)</f>
        <v>89.473922482678802</v>
      </c>
      <c r="Y41" s="11">
        <f>91084.9824775743/(10^3)</f>
        <v>91.0849824775743</v>
      </c>
      <c r="Z41" s="11">
        <f>97026.3248636258/(10^3)</f>
        <v>97.026324863625803</v>
      </c>
      <c r="AA41" s="11">
        <f>100343.625998503/(10^3)</f>
        <v>100.343625998503</v>
      </c>
      <c r="AB41" s="11">
        <f>102246.546759224/(10^3)</f>
        <v>102.246546759224</v>
      </c>
      <c r="AC41" s="11">
        <v>106.1914374046758</v>
      </c>
      <c r="AD41" s="11">
        <f>109687.60150418/(10^3)</f>
        <v>109.68760150417999</v>
      </c>
      <c r="AE41" s="11">
        <f>106539.761758062/(10^3)</f>
        <v>106.539761758062</v>
      </c>
      <c r="AF41" s="11">
        <f>106762.849857524/(10^3)</f>
        <v>106.76284985752399</v>
      </c>
      <c r="AG41" s="11">
        <f>111198.106826341/(10^3)</f>
        <v>111.198106826341</v>
      </c>
      <c r="AH41" s="11">
        <f>113956.100204511/(10^3)</f>
        <v>113.956100204511</v>
      </c>
      <c r="AI41" s="11">
        <v>119.22852859264819</v>
      </c>
      <c r="AJ41" s="11">
        <f>123107.329477423/(10^3)</f>
        <v>123.10732947742301</v>
      </c>
      <c r="AK41" s="11">
        <f>122753.648641526/(10^3)</f>
        <v>122.753648641526</v>
      </c>
      <c r="AL41" s="11">
        <f>120707.312562122/(10^3)</f>
        <v>120.707312562122</v>
      </c>
      <c r="AM41" s="11">
        <f>121117.014898863/(10^3)</f>
        <v>121.11701489886299</v>
      </c>
      <c r="AN41" s="11">
        <f>123347.577844852/(10^3)</f>
        <v>123.347577844852</v>
      </c>
      <c r="AO41" s="11">
        <v>124.1639360965022</v>
      </c>
      <c r="AP41" s="11">
        <f>128020.443916564/(10^3)</f>
        <v>128.02044391656401</v>
      </c>
      <c r="AQ41" s="11">
        <f>126138.442073942/(10^3)</f>
        <v>126.138442073942</v>
      </c>
      <c r="AR41" s="11">
        <f>127580.324793295/(10^3)</f>
        <v>127.58032479329501</v>
      </c>
      <c r="AS41" s="11">
        <f>126769.578215841/(10^3)</f>
        <v>126.76957821584099</v>
      </c>
      <c r="AT41" s="11">
        <f>123932.987503175/(10^3)</f>
        <v>123.932987503175</v>
      </c>
      <c r="AU41" s="11">
        <v>126.74737125573937</v>
      </c>
      <c r="AV41" s="11">
        <f>132239.117475861/(10^3)</f>
        <v>132.23911747586101</v>
      </c>
      <c r="AW41" s="11">
        <f>133571.824187416/(10^3)</f>
        <v>133.57182418741601</v>
      </c>
      <c r="AX41" s="11">
        <f>140647.115176937/(10^3)</f>
        <v>140.64711517693698</v>
      </c>
      <c r="AY41" s="11">
        <f>146707.653967245/(10^3)</f>
        <v>146.70765396724499</v>
      </c>
      <c r="AZ41" s="11">
        <f>153590.065833406/(10^3)</f>
        <v>153.59006583340599</v>
      </c>
      <c r="BA41" s="11">
        <v>155.99784141108486</v>
      </c>
      <c r="BB41" s="11">
        <f>162117.74674821/(10^3)</f>
        <v>162.11774674820998</v>
      </c>
      <c r="BC41" s="11">
        <f>148094.495045918/(10^3)</f>
        <v>148.09449504591802</v>
      </c>
      <c r="BD41" s="11">
        <f>142639.797034499/(10^3)</f>
        <v>142.639797034499</v>
      </c>
      <c r="BE41" s="11">
        <f>141088.538859705/(10^3)</f>
        <v>141.08853885970501</v>
      </c>
      <c r="BF41" s="11">
        <f>137086.425256107/(10^3)</f>
        <v>137.08642525610699</v>
      </c>
      <c r="BG41" s="11">
        <v>139.3182406636476</v>
      </c>
      <c r="BH41" s="11">
        <f>142944.11013656/(10^3)</f>
        <v>142.94411013656</v>
      </c>
      <c r="BI41" s="11">
        <f>148360.115951976/(10^3)</f>
        <v>148.36011595197601</v>
      </c>
      <c r="BJ41" s="11">
        <f>156751.605925693/(10^3)</f>
        <v>156.75160592569301</v>
      </c>
      <c r="BK41" s="11">
        <f>159028.454375074/(10^3)</f>
        <v>159.02845437507401</v>
      </c>
      <c r="BL41" s="11">
        <f>165476.695343963/(10^3)</f>
        <v>165.47669534396297</v>
      </c>
      <c r="BM41" s="11">
        <v>172.51334866784859</v>
      </c>
      <c r="BN41" s="11">
        <f>174523.481100395/(10^3)</f>
        <v>174.523481100395</v>
      </c>
      <c r="BO41" s="11">
        <f>157192.517883409/(10^3)</f>
        <v>157.19251788340898</v>
      </c>
      <c r="BP41" s="11">
        <f>154694.824740205/(10^3)</f>
        <v>154.69482474020498</v>
      </c>
      <c r="BQ41" s="11">
        <f>152606.706752922/(10^3)</f>
        <v>152.60670675292201</v>
      </c>
      <c r="BR41" s="11">
        <f>159027.743197733/(10^3)</f>
        <v>159.027743197733</v>
      </c>
      <c r="BS41" s="11">
        <v>160.63385045485609</v>
      </c>
      <c r="BT41" s="11">
        <f>162707.018729019/(10^3)</f>
        <v>162.70701872901901</v>
      </c>
      <c r="BU41" s="11">
        <f>164985.844970546/(10^3)</f>
        <v>164.985844970546</v>
      </c>
      <c r="BV41" s="11">
        <f>165205.873458109/(10^3)</f>
        <v>165.20587345810901</v>
      </c>
      <c r="BW41" s="11">
        <f>173359.682998199/(10^3)</f>
        <v>173.35968299819899</v>
      </c>
      <c r="BX41" s="11">
        <f>173434.831433948/(10^3)</f>
        <v>173.43483143394801</v>
      </c>
      <c r="BY41" s="11">
        <v>185.47922872191393</v>
      </c>
      <c r="BZ41" s="11">
        <f>185479.228721914/(10^3)</f>
        <v>185.47922872191401</v>
      </c>
      <c r="CA41" s="11">
        <f>184813.765910902/(10^3)</f>
        <v>184.81376591090199</v>
      </c>
      <c r="CB41" s="11">
        <f>177961.161178807/(10^3)</f>
        <v>177.961161178807</v>
      </c>
      <c r="CC41" s="12"/>
      <c r="DD41" s="11"/>
      <c r="DE41" s="11"/>
      <c r="DF41" s="11"/>
    </row>
    <row r="42" spans="4:110" x14ac:dyDescent="0.25">
      <c r="D42" s="13" t="s">
        <v>18</v>
      </c>
      <c r="E42" s="13" t="s">
        <v>17</v>
      </c>
      <c r="F42" s="10" t="s">
        <v>149</v>
      </c>
      <c r="G42" s="13"/>
      <c r="H42" s="67" t="str">
        <f>CONCATENATE(D42," ",G42)</f>
        <v xml:space="preserve">Chicago </v>
      </c>
      <c r="I42" s="11">
        <f>11631/(10^3)</f>
        <v>11.631</v>
      </c>
      <c r="J42" s="11">
        <f>12120.8203566045/(10^3)</f>
        <v>12.120820356604499</v>
      </c>
      <c r="K42" s="11">
        <v>12.022662612610333</v>
      </c>
      <c r="L42" s="11">
        <f>12229.9076991998/(10^3)</f>
        <v>12.229907699199801</v>
      </c>
      <c r="M42" s="11">
        <f>12073.1364384403/(10^3)</f>
        <v>12.073136438440301</v>
      </c>
      <c r="N42" s="11">
        <f>12575.7608525854/(10^3)</f>
        <v>12.575760852585399</v>
      </c>
      <c r="O42" s="11">
        <f>12672.93684505/(10^3)</f>
        <v>12.67293684505</v>
      </c>
      <c r="P42" s="11">
        <f>12885.7882068291/(10^3)</f>
        <v>12.885788206829099</v>
      </c>
      <c r="Q42" s="11">
        <v>13.24904267748947</v>
      </c>
      <c r="R42" s="11">
        <f>13716.1447679003/(10^3)</f>
        <v>13.7161447679003</v>
      </c>
      <c r="S42" s="11">
        <f>13501.8049606608/(10^3)</f>
        <v>13.501804960660801</v>
      </c>
      <c r="T42" s="11">
        <f>13224.3788616208/(10^3)</f>
        <v>13.224378861620801</v>
      </c>
      <c r="U42" s="11">
        <f>12906.7465383413/(10^3)</f>
        <v>12.9067465383413</v>
      </c>
      <c r="V42" s="11">
        <f>12717.971933682/(10^3)</f>
        <v>12.717971933682</v>
      </c>
      <c r="W42" s="11">
        <v>12.773017371422057</v>
      </c>
      <c r="X42" s="11">
        <f>13155.8956218657/(10^3)</f>
        <v>13.155895621865699</v>
      </c>
      <c r="Y42" s="11">
        <f>12778.2230524348/(10^3)</f>
        <v>12.7782230524348</v>
      </c>
      <c r="Z42" s="11">
        <f>13795.5769642426/(10^3)</f>
        <v>13.795576964242601</v>
      </c>
      <c r="AA42" s="11">
        <f>14341.3349577174/(10^3)</f>
        <v>14.3413349577174</v>
      </c>
      <c r="AB42" s="11">
        <f>14671.334931465/(10^3)</f>
        <v>14.671334931465001</v>
      </c>
      <c r="AC42" s="11">
        <v>15.226423611264563</v>
      </c>
      <c r="AD42" s="11">
        <f>15979.5916624139/(10^3)</f>
        <v>15.979591662413901</v>
      </c>
      <c r="AE42" s="11">
        <f>16454.908301937/(10^3)</f>
        <v>16.454908301936999</v>
      </c>
      <c r="AF42" s="11">
        <f>16543.1097843946/(10^3)</f>
        <v>16.543109784394602</v>
      </c>
      <c r="AG42" s="11">
        <f>17113.6709994397/(10^3)</f>
        <v>17.113670999439698</v>
      </c>
      <c r="AH42" s="11">
        <f>16881.9560901755/(10^3)</f>
        <v>16.8819560901755</v>
      </c>
      <c r="AI42" s="11">
        <v>17.299314057167201</v>
      </c>
      <c r="AJ42" s="11">
        <f>17079.788645972/(10^3)</f>
        <v>17.079788645971998</v>
      </c>
      <c r="AK42" s="11">
        <f>17246.9645905954/(10^3)</f>
        <v>17.246964590595397</v>
      </c>
      <c r="AL42" s="11">
        <f>17120.0146102444/(10^3)</f>
        <v>17.1200146102444</v>
      </c>
      <c r="AM42" s="11">
        <f>17490.3196722364/(10^3)</f>
        <v>17.490319672236399</v>
      </c>
      <c r="AN42" s="11">
        <f>17637.8753930688/(10^3)</f>
        <v>17.6378753930688</v>
      </c>
      <c r="AO42" s="11">
        <v>17.859650668998558</v>
      </c>
      <c r="AP42" s="11">
        <f>18343.2937382085/(10^3)</f>
        <v>18.343293738208502</v>
      </c>
      <c r="AQ42" s="11">
        <f>18287.7682233629/(10^3)</f>
        <v>18.2877682233629</v>
      </c>
      <c r="AR42" s="11">
        <f>18127.4467025736/(10^3)</f>
        <v>18.1274467025736</v>
      </c>
      <c r="AS42" s="11">
        <f>18167.0051639398/(10^3)</f>
        <v>18.167005163939802</v>
      </c>
      <c r="AT42" s="11">
        <f>18635.8922584558/(10^3)</f>
        <v>18.635892258455797</v>
      </c>
      <c r="AU42" s="11">
        <v>19.430420498930225</v>
      </c>
      <c r="AV42" s="11">
        <f>19458.7490727988/(10^3)</f>
        <v>19.458749072798799</v>
      </c>
      <c r="AW42" s="11">
        <f>20349.7244474612/(10^3)</f>
        <v>20.349724447461202</v>
      </c>
      <c r="AX42" s="11">
        <f>20391.0487485264/(10^3)</f>
        <v>20.391048748526398</v>
      </c>
      <c r="AY42" s="11">
        <f>20462.0151510581/(10^3)</f>
        <v>20.4620151510581</v>
      </c>
      <c r="AZ42" s="11">
        <f>21312.9100858535/(10^3)</f>
        <v>21.312910085853499</v>
      </c>
      <c r="BA42" s="11">
        <v>22.062186764257042</v>
      </c>
      <c r="BB42" s="11">
        <f>21411.0579843501/(10^3)</f>
        <v>21.411057984350101</v>
      </c>
      <c r="BC42" s="11">
        <f>21179.037934341/(10^3)</f>
        <v>21.179037934341</v>
      </c>
      <c r="BD42" s="11">
        <f>21125.3587722527/(10^3)</f>
        <v>21.125358772252699</v>
      </c>
      <c r="BE42" s="11">
        <f>20926.5173910887/(10^3)</f>
        <v>20.926517391088698</v>
      </c>
      <c r="BF42" s="11">
        <f>21768.1444482788/(10^3)</f>
        <v>21.7681444482788</v>
      </c>
      <c r="BG42" s="11">
        <v>22.770471736620848</v>
      </c>
      <c r="BH42" s="11">
        <f>22089.6927952496/(10^3)</f>
        <v>22.089692795249601</v>
      </c>
      <c r="BI42" s="11">
        <f>22907.8075054544/(10^3)</f>
        <v>22.9078075054544</v>
      </c>
      <c r="BJ42" s="11">
        <f>24742.4331553762/(10^3)</f>
        <v>24.742433155376197</v>
      </c>
      <c r="BK42" s="11">
        <f>25029.5307534825/(10^3)</f>
        <v>25.029530753482501</v>
      </c>
      <c r="BL42" s="11">
        <f>25387.211380925/(10^3)</f>
        <v>25.387211380924999</v>
      </c>
      <c r="BM42" s="11">
        <v>25.986220446618471</v>
      </c>
      <c r="BN42" s="11">
        <f>26369.6961865225/(10^3)</f>
        <v>26.3696961865225</v>
      </c>
      <c r="BO42" s="11">
        <f>24962.8738929226/(10^3)</f>
        <v>24.962873892922598</v>
      </c>
      <c r="BP42" s="11">
        <f>24048.803861191/(10^3)</f>
        <v>24.048803861191001</v>
      </c>
      <c r="BQ42" s="11">
        <f>23761.0131571059/(10^3)</f>
        <v>23.7610131571059</v>
      </c>
      <c r="BR42" s="11">
        <f>24402.1705262003/(10^3)</f>
        <v>24.402170526200301</v>
      </c>
      <c r="BS42" s="11">
        <v>24.34700985461248</v>
      </c>
      <c r="BT42" s="11">
        <f>23924.3728692607/(10^3)</f>
        <v>23.924372869260701</v>
      </c>
      <c r="BU42" s="11">
        <f>23667.4112473039/(10^3)</f>
        <v>23.6674112473039</v>
      </c>
      <c r="BV42" s="11">
        <f>24391.1442828795/(10^3)</f>
        <v>24.391144282879502</v>
      </c>
      <c r="BW42" s="11">
        <f>24774.6692504385/(10^3)</f>
        <v>24.7746692504385</v>
      </c>
      <c r="BX42" s="11">
        <f>25116.1186208653/(10^3)</f>
        <v>25.116118620865301</v>
      </c>
      <c r="BY42" s="11">
        <v>25.996603741728009</v>
      </c>
      <c r="BZ42" s="11">
        <f>25996.603741728/(10^3)</f>
        <v>25.996603741727998</v>
      </c>
      <c r="CA42" s="11">
        <f>24682.9368685891/(10^3)</f>
        <v>24.682936868589099</v>
      </c>
      <c r="CB42" s="11">
        <f>23707.0234124652/(10^3)</f>
        <v>23.707023412465201</v>
      </c>
      <c r="CC42" s="12"/>
      <c r="DD42" s="11"/>
      <c r="DE42" s="11"/>
      <c r="DF42" s="11"/>
    </row>
    <row r="43" spans="4:110" x14ac:dyDescent="0.25">
      <c r="D43" s="13" t="s">
        <v>20</v>
      </c>
      <c r="E43" s="13" t="s">
        <v>19</v>
      </c>
      <c r="F43" s="10" t="s">
        <v>151</v>
      </c>
      <c r="G43" s="13"/>
      <c r="H43" s="67" t="str">
        <f>CONCATENATE(D43," ",G43)</f>
        <v xml:space="preserve">Colorado Springs </v>
      </c>
      <c r="I43" s="11">
        <f>8547/(10^3)</f>
        <v>8.5470000000000006</v>
      </c>
      <c r="J43" s="11">
        <f>8597.2885937607/(10^3)</f>
        <v>8.5972885937607</v>
      </c>
      <c r="K43" s="11">
        <v>8.4224822616066621</v>
      </c>
      <c r="L43" s="11">
        <f>8428.01169210842/(10^3)</f>
        <v>8.42801169210842</v>
      </c>
      <c r="M43" s="11">
        <f>8743.20308851128/(10^3)</f>
        <v>8.7432030885112795</v>
      </c>
      <c r="N43" s="11">
        <f>8870.29055296078/(10^3)</f>
        <v>8.8702905529607801</v>
      </c>
      <c r="O43" s="11">
        <f>8898.46646629166/(10^3)</f>
        <v>8.8984664662916604</v>
      </c>
      <c r="P43" s="11">
        <f>9059.15041252801/(10^3)</f>
        <v>9.0591504125280107</v>
      </c>
      <c r="Q43" s="11">
        <v>9.222379624672838</v>
      </c>
      <c r="R43" s="11">
        <f>9138.46936878571/(10^3)</f>
        <v>9.1384693687857101</v>
      </c>
      <c r="S43" s="11">
        <f>8650.23334127357/(10^3)</f>
        <v>8.6502333412735695</v>
      </c>
      <c r="T43" s="11">
        <f>8325.10389466203/(10^3)</f>
        <v>8.3251038946620302</v>
      </c>
      <c r="U43" s="11">
        <f>8177.6422473621/(10^3)</f>
        <v>8.1776422473620993</v>
      </c>
      <c r="V43" s="11">
        <f>8357.03357755834/(10^3)</f>
        <v>8.3570335775583402</v>
      </c>
      <c r="W43" s="11">
        <v>8.1760729276816591</v>
      </c>
      <c r="X43" s="11">
        <f>8388.57255393894/(10^3)</f>
        <v>8.3885725539389409</v>
      </c>
      <c r="Y43" s="11">
        <f>8558.26300795657/(10^3)</f>
        <v>8.5582630079565689</v>
      </c>
      <c r="Z43" s="11">
        <f>8800.55454637144/(10^3)</f>
        <v>8.8005545463714405</v>
      </c>
      <c r="AA43" s="11">
        <f>9055.42585012218/(10^3)</f>
        <v>9.0554258501221785</v>
      </c>
      <c r="AB43" s="11">
        <f>9162.09372993139/(10^3)</f>
        <v>9.1620937299313905</v>
      </c>
      <c r="AC43" s="11">
        <v>9.4691371327575737</v>
      </c>
      <c r="AD43" s="11">
        <f>9317.79943096405/(10^3)</f>
        <v>9.3177994309640511</v>
      </c>
      <c r="AE43" s="11">
        <f>9345.90247253024/(10^3)</f>
        <v>9.3459024725302413</v>
      </c>
      <c r="AF43" s="11">
        <f>9689.47130932641/(10^3)</f>
        <v>9.6894713093264109</v>
      </c>
      <c r="AG43" s="11">
        <f>9715.42925552592/(10^3)</f>
        <v>9.7154292555259207</v>
      </c>
      <c r="AH43" s="11">
        <f>9764.49216142547/(10^3)</f>
        <v>9.7644921614254709</v>
      </c>
      <c r="AI43" s="11">
        <v>9.7874419370510601</v>
      </c>
      <c r="AJ43" s="11">
        <f>9838.58645516705/(10^3)</f>
        <v>9.8385864551670501</v>
      </c>
      <c r="AK43" s="11">
        <f>10179.5016275912/(10^3)</f>
        <v>10.1795016275912</v>
      </c>
      <c r="AL43" s="11">
        <f>10176.4856171577/(10^3)</f>
        <v>10.176485617157699</v>
      </c>
      <c r="AM43" s="11">
        <f>10360.6802389283/(10^3)</f>
        <v>10.3606802389283</v>
      </c>
      <c r="AN43" s="11">
        <f>10865.6815255803/(10^3)</f>
        <v>10.8656815255803</v>
      </c>
      <c r="AO43" s="11">
        <v>10.879454009039458</v>
      </c>
      <c r="AP43" s="11">
        <f>10970.2669549689/(10^3)</f>
        <v>10.970266954968899</v>
      </c>
      <c r="AQ43" s="11">
        <f>10883.0882194166/(10^3)</f>
        <v>10.883088219416601</v>
      </c>
      <c r="AR43" s="11">
        <f>10672.4857972262/(10^3)</f>
        <v>10.6724857972262</v>
      </c>
      <c r="AS43" s="11">
        <f>10997.9438116307/(10^3)</f>
        <v>10.9979438116307</v>
      </c>
      <c r="AT43" s="11">
        <f>11098.1765334924/(10^3)</f>
        <v>11.098176533492401</v>
      </c>
      <c r="AU43" s="11">
        <v>11.0266012124945</v>
      </c>
      <c r="AV43" s="11">
        <f>11375.6447373498/(10^3)</f>
        <v>11.3756447373498</v>
      </c>
      <c r="AW43" s="11">
        <f>11357.9541118684/(10^3)</f>
        <v>11.357954111868398</v>
      </c>
      <c r="AX43" s="11">
        <f>11871.8345168153/(10^3)</f>
        <v>11.8718345168153</v>
      </c>
      <c r="AY43" s="11">
        <f>12352.7958579171/(10^3)</f>
        <v>12.352795857917101</v>
      </c>
      <c r="AZ43" s="11">
        <f>12426.7467653446/(10^3)</f>
        <v>12.4267467653446</v>
      </c>
      <c r="BA43" s="11">
        <v>12.625290125604733</v>
      </c>
      <c r="BB43" s="11">
        <f>12649.9578909341/(10^3)</f>
        <v>12.6499578909341</v>
      </c>
      <c r="BC43" s="11">
        <f>11928.7091828105/(10^3)</f>
        <v>11.928709182810501</v>
      </c>
      <c r="BD43" s="11">
        <f>11670.6279498118/(10^3)</f>
        <v>11.6706279498118</v>
      </c>
      <c r="BE43" s="11">
        <f>11573.1928756998/(10^3)</f>
        <v>11.573192875699801</v>
      </c>
      <c r="BF43" s="11">
        <f>11721.660842824/(10^3)</f>
        <v>11.721660842823999</v>
      </c>
      <c r="BG43" s="11">
        <v>12.264089697644778</v>
      </c>
      <c r="BH43" s="11">
        <f>12813.9386412034/(10^3)</f>
        <v>12.8139386412034</v>
      </c>
      <c r="BI43" s="11">
        <f>12536.9700506686/(10^3)</f>
        <v>12.5369700506686</v>
      </c>
      <c r="BJ43" s="11">
        <f>13620.6236018014/(10^3)</f>
        <v>13.6206236018014</v>
      </c>
      <c r="BK43" s="11">
        <f>14051.701421508/(10^3)</f>
        <v>14.051701421508</v>
      </c>
      <c r="BL43" s="11">
        <f>14290.1225836565/(10^3)</f>
        <v>14.290122583656501</v>
      </c>
      <c r="BM43" s="11">
        <v>14.969889202508455</v>
      </c>
      <c r="BN43" s="11">
        <f>15627.4448631303/(10^3)</f>
        <v>15.6274448631303</v>
      </c>
      <c r="BO43" s="11">
        <f>14846.5336706321/(10^3)</f>
        <v>14.8465336706321</v>
      </c>
      <c r="BP43" s="11">
        <f>14190.825992231/(10^3)</f>
        <v>14.190825992231002</v>
      </c>
      <c r="BQ43" s="11">
        <f>13886.0284041918/(10^3)</f>
        <v>13.8860284041918</v>
      </c>
      <c r="BR43" s="11">
        <f>14060.984368616/(10^3)</f>
        <v>14.060984368615999</v>
      </c>
      <c r="BS43" s="11">
        <v>14.161853159348567</v>
      </c>
      <c r="BT43" s="11">
        <f>14594.6270143547/(10^3)</f>
        <v>14.594627014354701</v>
      </c>
      <c r="BU43" s="11">
        <f>14799.0385958509/(10^3)</f>
        <v>14.799038595850899</v>
      </c>
      <c r="BV43" s="11">
        <f>15132.6589689621/(10^3)</f>
        <v>15.132658968962099</v>
      </c>
      <c r="BW43" s="11">
        <f>15419.6472725879/(10^3)</f>
        <v>15.4196472725879</v>
      </c>
      <c r="BX43" s="11">
        <f>15913.9278225137/(10^3)</f>
        <v>15.913927822513701</v>
      </c>
      <c r="BY43" s="11">
        <v>15.765869048528394</v>
      </c>
      <c r="BZ43" s="11">
        <f>15765.8690485284/(10^3)</f>
        <v>15.765869048528401</v>
      </c>
      <c r="CA43" s="11">
        <f>15988.3136249901/(10^3)</f>
        <v>15.9883136249901</v>
      </c>
      <c r="CB43" s="11">
        <f>16669.7212649389/(10^3)</f>
        <v>16.6697212649389</v>
      </c>
      <c r="CC43" s="12"/>
      <c r="DD43" s="11"/>
      <c r="DE43" s="11"/>
      <c r="DF43" s="11"/>
    </row>
    <row r="44" spans="4:110" x14ac:dyDescent="0.25">
      <c r="D44" s="13" t="s">
        <v>21</v>
      </c>
      <c r="E44" s="13" t="s">
        <v>12</v>
      </c>
      <c r="F44" s="10" t="s">
        <v>150</v>
      </c>
      <c r="G44" s="13"/>
      <c r="H44" s="67" t="str">
        <f>CONCATENATE(D44," ",G44)</f>
        <v xml:space="preserve">Dallas </v>
      </c>
      <c r="I44" s="11">
        <f>3873/(10^3)</f>
        <v>3.8730000000000002</v>
      </c>
      <c r="J44" s="11">
        <f>3963.58476468704/(10^3)</f>
        <v>3.9635847646870404</v>
      </c>
      <c r="K44" s="11">
        <v>4.1042266927630573</v>
      </c>
      <c r="L44" s="11">
        <f>4186.86352790048/(10^3)</f>
        <v>4.1868635279004804</v>
      </c>
      <c r="M44" s="11">
        <f>4282.41329021539/(10^3)</f>
        <v>4.2824132902153895</v>
      </c>
      <c r="N44" s="11">
        <f>4399.35584976757/(10^3)</f>
        <v>4.39935584976757</v>
      </c>
      <c r="O44" s="11">
        <f>4511.269580497/(10^3)</f>
        <v>4.5112695804970002</v>
      </c>
      <c r="P44" s="11">
        <f>4631.65923109303/(10^3)</f>
        <v>4.63165923109303</v>
      </c>
      <c r="Q44" s="11">
        <v>4.8203497501767449</v>
      </c>
      <c r="R44" s="11">
        <f>5053.32926822926/(10^3)</f>
        <v>5.0533292682292608</v>
      </c>
      <c r="S44" s="11">
        <f>4806.69206896633/(10^3)</f>
        <v>4.8066920689663304</v>
      </c>
      <c r="T44" s="11">
        <f>4743.5855694347/(10^3)</f>
        <v>4.7435855694346998</v>
      </c>
      <c r="U44" s="11">
        <f>4629.22151786515/(10^3)</f>
        <v>4.6292215178651501</v>
      </c>
      <c r="V44" s="11">
        <f>4787.84419462789/(10^3)</f>
        <v>4.7878441946278896</v>
      </c>
      <c r="W44" s="11">
        <v>4.771016443717671</v>
      </c>
      <c r="X44" s="11">
        <f>4853.65676024913/(10^3)</f>
        <v>4.8536567602491294</v>
      </c>
      <c r="Y44" s="11">
        <f>4737.12052476524/(10^3)</f>
        <v>4.7371205247652393</v>
      </c>
      <c r="Z44" s="11">
        <f>4911.63699938157/(10^3)</f>
        <v>4.9116369993815701</v>
      </c>
      <c r="AA44" s="11">
        <f>5004.29534325295/(10^3)</f>
        <v>5.0042953432529504</v>
      </c>
      <c r="AB44" s="11">
        <f>5250.9433743542/(10^3)</f>
        <v>5.2509433743542004</v>
      </c>
      <c r="AC44" s="11">
        <v>5.4374925962707072</v>
      </c>
      <c r="AD44" s="11">
        <f>5483.63623168444/(10^3)</f>
        <v>5.4836362316844394</v>
      </c>
      <c r="AE44" s="11">
        <f>5471.9880562171/(10^3)</f>
        <v>5.4719880562170999</v>
      </c>
      <c r="AF44" s="11">
        <f>5625.08168351704/(10^3)</f>
        <v>5.6250816835170401</v>
      </c>
      <c r="AG44" s="11">
        <f>5504.74025727876/(10^3)</f>
        <v>5.50474025727876</v>
      </c>
      <c r="AH44" s="11">
        <f>5432.26645545027/(10^3)</f>
        <v>5.4322664554502698</v>
      </c>
      <c r="AI44" s="11">
        <v>5.5788913770498869</v>
      </c>
      <c r="AJ44" s="11">
        <f>5486.44399524804/(10^3)</f>
        <v>5.4864439952480399</v>
      </c>
      <c r="AK44" s="11">
        <f>5402.65329259303/(10^3)</f>
        <v>5.4026532925930297</v>
      </c>
      <c r="AL44" s="11">
        <f>5308.6556115556/(10^3)</f>
        <v>5.3086556115556007</v>
      </c>
      <c r="AM44" s="11">
        <f>5433.85253240215/(10^3)</f>
        <v>5.4338525324021498</v>
      </c>
      <c r="AN44" s="11">
        <f>5642.81205536485/(10^3)</f>
        <v>5.6428120553648498</v>
      </c>
      <c r="AO44" s="11">
        <v>5.6838047047069615</v>
      </c>
      <c r="AP44" s="11">
        <f>5530.02919799945/(10^3)</f>
        <v>5.5300291979994496</v>
      </c>
      <c r="AQ44" s="11">
        <f>5555.57235831307/(10^3)</f>
        <v>5.5555723583130705</v>
      </c>
      <c r="AR44" s="11">
        <f>5553.62637896259/(10^3)</f>
        <v>5.5536263789625897</v>
      </c>
      <c r="AS44" s="11">
        <f>5413.80079023428/(10^3)</f>
        <v>5.41380079023428</v>
      </c>
      <c r="AT44" s="11">
        <f>5622.45761859631/(10^3)</f>
        <v>5.62245761859631</v>
      </c>
      <c r="AU44" s="11">
        <v>5.7220569113953426</v>
      </c>
      <c r="AV44" s="11">
        <f>5808.06091113603/(10^3)</f>
        <v>5.80806091113603</v>
      </c>
      <c r="AW44" s="11">
        <f>5909.82335549362/(10^3)</f>
        <v>5.9098233554936197</v>
      </c>
      <c r="AX44" s="11">
        <f>5998.94289727161/(10^3)</f>
        <v>5.9989428972716095</v>
      </c>
      <c r="AY44" s="11">
        <f>6198.46256911315/(10^3)</f>
        <v>6.1984625691131496</v>
      </c>
      <c r="AZ44" s="11">
        <f>6298.04018042657/(10^3)</f>
        <v>6.29804018042657</v>
      </c>
      <c r="BA44" s="11">
        <v>6.3910459279009935</v>
      </c>
      <c r="BB44" s="11">
        <f>6289.57925079665/(10^3)</f>
        <v>6.2895792507966499</v>
      </c>
      <c r="BC44" s="11">
        <f>6210.80461367511/(10^3)</f>
        <v>6.2108046136751103</v>
      </c>
      <c r="BD44" s="11">
        <f>6160.32011886565/(10^3)</f>
        <v>6.1603201188656502</v>
      </c>
      <c r="BE44" s="11">
        <f>6006.2088884359/(10^3)</f>
        <v>6.0062088884359</v>
      </c>
      <c r="BF44" s="11">
        <f>6139.51359133242/(10^3)</f>
        <v>6.1395135913324204</v>
      </c>
      <c r="BG44" s="11">
        <v>6.4018906137623617</v>
      </c>
      <c r="BH44" s="11">
        <f>6576.57208497151/(10^3)</f>
        <v>6.5765720849715095</v>
      </c>
      <c r="BI44" s="11">
        <f>6650.4187306148/(10^3)</f>
        <v>6.6504187306147999</v>
      </c>
      <c r="BJ44" s="11">
        <f>7286.93103848622/(10^3)</f>
        <v>7.2869310384862205</v>
      </c>
      <c r="BK44" s="11">
        <f>7367.75414347517/(10^3)</f>
        <v>7.3677541434751701</v>
      </c>
      <c r="BL44" s="11">
        <f>7727.17414308627/(10^3)</f>
        <v>7.7271741430862706</v>
      </c>
      <c r="BM44" s="11">
        <v>7.9461740512439203</v>
      </c>
      <c r="BN44" s="11">
        <f>8088.71228568146/(10^3)</f>
        <v>8.0887122856814599</v>
      </c>
      <c r="BO44" s="11">
        <f>8067.97205314992/(10^3)</f>
        <v>8.0679720531499193</v>
      </c>
      <c r="BP44" s="11">
        <f>7972.31796726496/(10^3)</f>
        <v>7.97231796726496</v>
      </c>
      <c r="BQ44" s="11">
        <f>7928.57282777924/(10^3)</f>
        <v>7.9285728277792398</v>
      </c>
      <c r="BR44" s="11">
        <f>8177.68829091873/(10^3)</f>
        <v>8.177688290918729</v>
      </c>
      <c r="BS44" s="11">
        <v>8.482061192217472</v>
      </c>
      <c r="BT44" s="11">
        <f>8442.25309376845/(10^3)</f>
        <v>8.4422530937684499</v>
      </c>
      <c r="BU44" s="11">
        <f>8390.29644615297/(10^3)</f>
        <v>8.3902964461529699</v>
      </c>
      <c r="BV44" s="11">
        <f>9135.80996846024/(10^3)</f>
        <v>9.1358099684602401</v>
      </c>
      <c r="BW44" s="11">
        <f>9258.32982990473/(10^3)</f>
        <v>9.2583298299047296</v>
      </c>
      <c r="BX44" s="11">
        <f>9617.29685389422/(10^3)</f>
        <v>9.6172968538942207</v>
      </c>
      <c r="BY44" s="11">
        <v>9.6978844294490436</v>
      </c>
      <c r="BZ44" s="11">
        <f>9697.88442944904/(10^3)</f>
        <v>9.6978844294490401</v>
      </c>
      <c r="CA44" s="11">
        <f>9730.14600268273/(10^3)</f>
        <v>9.73014600268273</v>
      </c>
      <c r="CB44" s="11">
        <f>9715.57932732975/(10^3)</f>
        <v>9.715579327329749</v>
      </c>
      <c r="CC44" s="12"/>
      <c r="DD44" s="11"/>
      <c r="DE44" s="11"/>
      <c r="DF44" s="11"/>
    </row>
    <row r="45" spans="4:110" x14ac:dyDescent="0.25">
      <c r="D45" s="13" t="s">
        <v>22</v>
      </c>
      <c r="E45" s="13" t="s">
        <v>19</v>
      </c>
      <c r="F45" s="10" t="s">
        <v>151</v>
      </c>
      <c r="G45" s="13"/>
      <c r="H45" s="67" t="str">
        <f>CONCATENATE(D45," ",G45)</f>
        <v xml:space="preserve">Denver </v>
      </c>
      <c r="I45" s="11">
        <f>14129/(10^3)</f>
        <v>14.129</v>
      </c>
      <c r="J45" s="11">
        <f>14191.1480210142/(10^3)</f>
        <v>14.1911480210142</v>
      </c>
      <c r="K45" s="11">
        <v>14.525315023539045</v>
      </c>
      <c r="L45" s="11">
        <f>14253.2037834054/(10^3)</f>
        <v>14.2532037834054</v>
      </c>
      <c r="M45" s="11">
        <f>14674.9477379626/(10^3)</f>
        <v>14.674947737962601</v>
      </c>
      <c r="N45" s="11">
        <f>14755.7781853296/(10^3)</f>
        <v>14.7557781853296</v>
      </c>
      <c r="O45" s="11">
        <f>15408.1108136368/(10^3)</f>
        <v>15.408110813636799</v>
      </c>
      <c r="P45" s="11">
        <f>15829.8352639023/(10^3)</f>
        <v>15.8298352639023</v>
      </c>
      <c r="Q45" s="11">
        <v>15.986365318809591</v>
      </c>
      <c r="R45" s="11">
        <f>15882.4627185683/(10^3)</f>
        <v>15.8824627185683</v>
      </c>
      <c r="S45" s="11">
        <f>16250.2222029375/(10^3)</f>
        <v>16.250222202937501</v>
      </c>
      <c r="T45" s="11">
        <f>15976.9182376558/(10^3)</f>
        <v>15.9769182376558</v>
      </c>
      <c r="U45" s="11">
        <f>16493.5921627798/(10^3)</f>
        <v>16.493592162779802</v>
      </c>
      <c r="V45" s="11">
        <f>16334.7017748978/(10^3)</f>
        <v>16.334701774897798</v>
      </c>
      <c r="W45" s="11">
        <v>16.737834055883585</v>
      </c>
      <c r="X45" s="11">
        <f>16700.6890218766/(10^3)</f>
        <v>16.700689021876599</v>
      </c>
      <c r="Y45" s="11">
        <f>16444.1683349813/(10^3)</f>
        <v>16.444168334981299</v>
      </c>
      <c r="Z45" s="11">
        <f>17724.7732773834/(10^3)</f>
        <v>17.724773277383399</v>
      </c>
      <c r="AA45" s="11">
        <f>17765.7507174199/(10^3)</f>
        <v>17.765750717419902</v>
      </c>
      <c r="AB45" s="11">
        <f>18254.8303272338/(10^3)</f>
        <v>18.254830327233801</v>
      </c>
      <c r="AC45" s="11">
        <v>18.267955000865875</v>
      </c>
      <c r="AD45" s="11">
        <f>18632.5133172658/(10^3)</f>
        <v>18.632513317265797</v>
      </c>
      <c r="AE45" s="11">
        <f>18376.9087193529/(10^3)</f>
        <v>18.376908719352901</v>
      </c>
      <c r="AF45" s="11">
        <f>18241.2681641965/(10^3)</f>
        <v>18.241268164196498</v>
      </c>
      <c r="AG45" s="11">
        <f>17853.061129953/(10^3)</f>
        <v>17.853061129952998</v>
      </c>
      <c r="AH45" s="11">
        <f>18715.1939595466/(10^3)</f>
        <v>18.7151939595466</v>
      </c>
      <c r="AI45" s="11">
        <v>18.29045961889577</v>
      </c>
      <c r="AJ45" s="11">
        <f>18138.6046061475/(10^3)</f>
        <v>18.138604606147499</v>
      </c>
      <c r="AK45" s="11">
        <f>18757.5661113576/(10^3)</f>
        <v>18.757566111357598</v>
      </c>
      <c r="AL45" s="11">
        <f>19297.5443969771/(10^3)</f>
        <v>19.297544396977102</v>
      </c>
      <c r="AM45" s="11">
        <f>19743.8183483142/(10^3)</f>
        <v>19.7438183483142</v>
      </c>
      <c r="AN45" s="11">
        <f>20714.417320581/(10^3)</f>
        <v>20.714417320580999</v>
      </c>
      <c r="AO45" s="11">
        <v>21.639262425473998</v>
      </c>
      <c r="AP45" s="11">
        <f>22707.9576780142/(10^3)</f>
        <v>22.7079576780142</v>
      </c>
      <c r="AQ45" s="11">
        <f>23824.7277722045/(10^3)</f>
        <v>23.824727772204501</v>
      </c>
      <c r="AR45" s="11">
        <f>24283.2573670238/(10^3)</f>
        <v>24.283257367023801</v>
      </c>
      <c r="AS45" s="11">
        <f>25457.949467027/(10^3)</f>
        <v>25.457949467026999</v>
      </c>
      <c r="AT45" s="11">
        <f>25749.4893299829/(10^3)</f>
        <v>25.749489329982897</v>
      </c>
      <c r="AU45" s="11">
        <v>26.919617653210437</v>
      </c>
      <c r="AV45" s="11">
        <f>26735.7802362933/(10^3)</f>
        <v>26.735780236293301</v>
      </c>
      <c r="AW45" s="11">
        <f>26420.0788428245/(10^3)</f>
        <v>26.420078842824498</v>
      </c>
      <c r="AX45" s="11">
        <f>28679.9252109185/(10^3)</f>
        <v>28.679925210918501</v>
      </c>
      <c r="AY45" s="11">
        <f>30045.5703930142/(10^3)</f>
        <v>30.045570393014202</v>
      </c>
      <c r="AZ45" s="11">
        <f>30265.0473589915/(10^3)</f>
        <v>30.265047358991499</v>
      </c>
      <c r="BA45" s="11">
        <v>31.093174406958216</v>
      </c>
      <c r="BB45" s="11">
        <f>30351.8264114562/(10^3)</f>
        <v>30.351826411456202</v>
      </c>
      <c r="BC45" s="11">
        <f>28914.7224836339/(10^3)</f>
        <v>28.914722483633902</v>
      </c>
      <c r="BD45" s="11">
        <f>28715.2946462719/(10^3)</f>
        <v>28.7152946462719</v>
      </c>
      <c r="BE45" s="11">
        <f>27925.9099595052/(10^3)</f>
        <v>27.925909959505198</v>
      </c>
      <c r="BF45" s="11">
        <f>29178.9793801007/(10^3)</f>
        <v>29.178979380100699</v>
      </c>
      <c r="BG45" s="11">
        <v>29.936317870963407</v>
      </c>
      <c r="BH45" s="11">
        <f>29810.1177786952/(10^3)</f>
        <v>29.810117778695201</v>
      </c>
      <c r="BI45" s="11">
        <f>30877.7158723322/(10^3)</f>
        <v>30.8777158723322</v>
      </c>
      <c r="BJ45" s="11">
        <f>31480.2906993496/(10^3)</f>
        <v>31.480290699349599</v>
      </c>
      <c r="BK45" s="11">
        <f>32662.7533174864/(10^3)</f>
        <v>32.662753317486398</v>
      </c>
      <c r="BL45" s="11">
        <f>33335.9005850788/(10^3)</f>
        <v>33.335900585078804</v>
      </c>
      <c r="BM45" s="11">
        <v>33.514843402289358</v>
      </c>
      <c r="BN45" s="11">
        <f>33736.9758222224/(10^3)</f>
        <v>33.736975822222398</v>
      </c>
      <c r="BO45" s="11">
        <f>30593.6409333999/(10^3)</f>
        <v>30.5936409333999</v>
      </c>
      <c r="BP45" s="11">
        <f>29884.5069096256/(10^3)</f>
        <v>29.8845069096256</v>
      </c>
      <c r="BQ45" s="11">
        <f>29558.7432222461/(10^3)</f>
        <v>29.5587432222461</v>
      </c>
      <c r="BR45" s="11">
        <f>30755.0754357338/(10^3)</f>
        <v>30.755075435733801</v>
      </c>
      <c r="BS45" s="11">
        <v>30.3400678267265</v>
      </c>
      <c r="BT45" s="11">
        <f>30324.1071843544/(10^3)</f>
        <v>30.3241071843544</v>
      </c>
      <c r="BU45" s="11">
        <f>29868.7942958273/(10^3)</f>
        <v>29.8687942958273</v>
      </c>
      <c r="BV45" s="11">
        <f>32759.3375869957/(10^3)</f>
        <v>32.759337586995699</v>
      </c>
      <c r="BW45" s="11">
        <f>33823.7422094179/(10^3)</f>
        <v>33.823742209417901</v>
      </c>
      <c r="BX45" s="11">
        <f>34230.2312895643/(10^3)</f>
        <v>34.230231289564294</v>
      </c>
      <c r="BY45" s="11">
        <v>34.165262455548671</v>
      </c>
      <c r="BZ45" s="11">
        <f>34165.2624555487/(10^3)</f>
        <v>34.165262455548699</v>
      </c>
      <c r="CA45" s="11">
        <f>35192.6194380747/(10^3)</f>
        <v>35.192619438074694</v>
      </c>
      <c r="CB45" s="11">
        <f>35363.9195660963/(10^3)</f>
        <v>35.3639195660963</v>
      </c>
      <c r="CC45" s="12"/>
      <c r="DD45" s="11"/>
      <c r="DE45" s="11"/>
      <c r="DF45" s="11"/>
    </row>
    <row r="46" spans="4:110" x14ac:dyDescent="0.25">
      <c r="D46" s="13" t="s">
        <v>24</v>
      </c>
      <c r="E46" s="13" t="s">
        <v>23</v>
      </c>
      <c r="F46" s="10" t="s">
        <v>149</v>
      </c>
      <c r="G46" s="13"/>
      <c r="H46" s="67" t="str">
        <f>CONCATENATE(D46," ",G46)</f>
        <v xml:space="preserve">Des Moines </v>
      </c>
      <c r="I46" s="11">
        <f>9021/(10^3)</f>
        <v>9.0210000000000008</v>
      </c>
      <c r="J46" s="11">
        <f>8829.82505395545/(10^3)</f>
        <v>8.8298250539554495</v>
      </c>
      <c r="K46" s="11">
        <v>8.7125711053176964</v>
      </c>
      <c r="L46" s="11">
        <f>8962.96449948715/(10^3)</f>
        <v>8.9629644994871498</v>
      </c>
      <c r="M46" s="11">
        <f>8842.6135225878/(10^3)</f>
        <v>8.8426135225878006</v>
      </c>
      <c r="N46" s="11">
        <f>9020.70303499169/(10^3)</f>
        <v>9.0207030349916888</v>
      </c>
      <c r="O46" s="11">
        <f>8790.37380968185/(10^3)</f>
        <v>8.7903738096818511</v>
      </c>
      <c r="P46" s="11">
        <f>8550.33954547081/(10^3)</f>
        <v>8.5503395454708091</v>
      </c>
      <c r="Q46" s="11">
        <v>8.8928446782127271</v>
      </c>
      <c r="R46" s="11">
        <f>8746.54582217501/(10^3)</f>
        <v>8.7465458221750101</v>
      </c>
      <c r="S46" s="11">
        <f>8722.88451627276/(10^3)</f>
        <v>8.7228845162727602</v>
      </c>
      <c r="T46" s="11">
        <f>9050.48667788886/(10^3)</f>
        <v>9.0504866778888609</v>
      </c>
      <c r="U46" s="11">
        <f>8794.18776435603/(10^3)</f>
        <v>8.79418776435603</v>
      </c>
      <c r="V46" s="11">
        <f>8537.18304952614/(10^3)</f>
        <v>8.5371830495261403</v>
      </c>
      <c r="W46" s="11">
        <v>8.7754307259603355</v>
      </c>
      <c r="X46" s="11">
        <f>9210.35654310906/(10^3)</f>
        <v>9.210356543109059</v>
      </c>
      <c r="Y46" s="11">
        <f>9017.97035589993/(10^3)</f>
        <v>9.01797035589993</v>
      </c>
      <c r="Z46" s="11">
        <f>9259.71525131342/(10^3)</f>
        <v>9.2597152513134198</v>
      </c>
      <c r="AA46" s="11">
        <f>9615.15522968383/(10^3)</f>
        <v>9.6151552296838307</v>
      </c>
      <c r="AB46" s="11">
        <f>9784.56608194809/(10^3)</f>
        <v>9.7845660819480909</v>
      </c>
      <c r="AC46" s="11">
        <v>9.926121652906815</v>
      </c>
      <c r="AD46" s="11">
        <f>9757.50075783411/(10^3)</f>
        <v>9.7575007578341104</v>
      </c>
      <c r="AE46" s="11">
        <f>9856.35681145216/(10^3)</f>
        <v>9.8563568114521605</v>
      </c>
      <c r="AF46" s="11">
        <f>10272.1452015297/(10^3)</f>
        <v>10.2721452015297</v>
      </c>
      <c r="AG46" s="11">
        <f>10399.6004413374/(10^3)</f>
        <v>10.3996004413374</v>
      </c>
      <c r="AH46" s="11">
        <f>10542.0623408278/(10^3)</f>
        <v>10.542062340827801</v>
      </c>
      <c r="AI46" s="11">
        <v>10.326498423003533</v>
      </c>
      <c r="AJ46" s="11">
        <f>10496.6966595583/(10^3)</f>
        <v>10.4966966595583</v>
      </c>
      <c r="AK46" s="11">
        <f>10570.7721095656/(10^3)</f>
        <v>10.570772109565599</v>
      </c>
      <c r="AL46" s="11">
        <f>11014.9651348723/(10^3)</f>
        <v>11.0149651348723</v>
      </c>
      <c r="AM46" s="11">
        <f>11203.7057422483/(10^3)</f>
        <v>11.2037057422483</v>
      </c>
      <c r="AN46" s="11">
        <f>11282.841170604/(10^3)</f>
        <v>11.282841170604</v>
      </c>
      <c r="AO46" s="11">
        <v>11.673849951023596</v>
      </c>
      <c r="AP46" s="11">
        <f>11471.0616823973/(10^3)</f>
        <v>11.4710616823973</v>
      </c>
      <c r="AQ46" s="11">
        <f>11966.7525786447/(10^3)</f>
        <v>11.9667525786447</v>
      </c>
      <c r="AR46" s="11">
        <f>11838.7158099876/(10^3)</f>
        <v>11.838715809987599</v>
      </c>
      <c r="AS46" s="11">
        <f>11878.6939215423/(10^3)</f>
        <v>11.8786939215423</v>
      </c>
      <c r="AT46" s="11">
        <f>11647.7620379498/(10^3)</f>
        <v>11.6477620379498</v>
      </c>
      <c r="AU46" s="11">
        <v>11.509288633757722</v>
      </c>
      <c r="AV46" s="11">
        <f>11362.2603630724/(10^3)</f>
        <v>11.362260363072402</v>
      </c>
      <c r="AW46" s="11">
        <f>11812.0904327962/(10^3)</f>
        <v>11.8120904327962</v>
      </c>
      <c r="AX46" s="11">
        <f>12656.365495854/(10^3)</f>
        <v>12.656365495853999</v>
      </c>
      <c r="AY46" s="11">
        <f>13094.2538935757/(10^3)</f>
        <v>13.094253893575701</v>
      </c>
      <c r="AZ46" s="11">
        <f>13722.2793516132/(10^3)</f>
        <v>13.722279351613201</v>
      </c>
      <c r="BA46" s="11">
        <v>13.775852954350661</v>
      </c>
      <c r="BB46" s="11">
        <f>14214.9548851356/(10^3)</f>
        <v>14.214954885135599</v>
      </c>
      <c r="BC46" s="11">
        <f>13969.2791564937/(10^3)</f>
        <v>13.9692791564937</v>
      </c>
      <c r="BD46" s="11">
        <f>13858.8411039557/(10^3)</f>
        <v>13.858841103955699</v>
      </c>
      <c r="BE46" s="11">
        <f>13540.3734407338/(10^3)</f>
        <v>13.5403734407338</v>
      </c>
      <c r="BF46" s="11">
        <f>14033.5824395778/(10^3)</f>
        <v>14.033582439577801</v>
      </c>
      <c r="BG46" s="11">
        <v>14.72725900183203</v>
      </c>
      <c r="BH46" s="11">
        <f>14714.4883143668/(10^3)</f>
        <v>14.714488314366799</v>
      </c>
      <c r="BI46" s="11">
        <f>14405.8336655321/(10^3)</f>
        <v>14.4058336655321</v>
      </c>
      <c r="BJ46" s="11">
        <f>15280.9564973177/(10^3)</f>
        <v>15.2809564973177</v>
      </c>
      <c r="BK46" s="11">
        <f>16003.1269524402/(10^3)</f>
        <v>16.003126952440201</v>
      </c>
      <c r="BL46" s="11">
        <f>16359.075433477/(10^3)</f>
        <v>16.359075433477003</v>
      </c>
      <c r="BM46" s="11">
        <v>16.62239069056006</v>
      </c>
      <c r="BN46" s="11">
        <f>16676.416976618/(10^3)</f>
        <v>16.676416976617997</v>
      </c>
      <c r="BO46" s="11">
        <f>15442.454506307/(10^3)</f>
        <v>15.442454506307</v>
      </c>
      <c r="BP46" s="11">
        <f>14967.4246897544/(10^3)</f>
        <v>14.967424689754401</v>
      </c>
      <c r="BQ46" s="11">
        <f>14692.8921302041/(10^3)</f>
        <v>14.6928921302041</v>
      </c>
      <c r="BR46" s="11">
        <f>14304.6881403372/(10^3)</f>
        <v>14.3046881403372</v>
      </c>
      <c r="BS46" s="11">
        <v>14.216189219970737</v>
      </c>
      <c r="BT46" s="11">
        <f>13992.7225965133/(10^3)</f>
        <v>13.9927225965133</v>
      </c>
      <c r="BU46" s="11">
        <f>13696.7723497219/(10^3)</f>
        <v>13.696772349721899</v>
      </c>
      <c r="BV46" s="11">
        <f>14427.8754069393/(10^3)</f>
        <v>14.4278754069393</v>
      </c>
      <c r="BW46" s="11">
        <f>15030.8841402792/(10^3)</f>
        <v>15.0308841402792</v>
      </c>
      <c r="BX46" s="11">
        <f>15555.2330716273/(10^3)</f>
        <v>15.555233071627301</v>
      </c>
      <c r="BY46" s="11">
        <v>16.531013846190451</v>
      </c>
      <c r="BZ46" s="11">
        <f>16531.0138461904/(10^3)</f>
        <v>16.531013846190397</v>
      </c>
      <c r="CA46" s="11">
        <f>17248.1973022764/(10^3)</f>
        <v>17.248197302276399</v>
      </c>
      <c r="CB46" s="11">
        <f>17526.1065168317/(10^3)</f>
        <v>17.5261065168317</v>
      </c>
      <c r="CC46" s="12"/>
      <c r="DD46" s="11"/>
      <c r="DE46" s="11"/>
      <c r="DF46" s="11"/>
    </row>
    <row r="47" spans="4:110" x14ac:dyDescent="0.25">
      <c r="D47" s="13" t="s">
        <v>26</v>
      </c>
      <c r="E47" s="13" t="s">
        <v>25</v>
      </c>
      <c r="F47" s="10" t="s">
        <v>149</v>
      </c>
      <c r="G47" s="13"/>
      <c r="H47" s="67" t="str">
        <f>CONCATENATE(D47," ",G47)</f>
        <v xml:space="preserve">Detroit </v>
      </c>
      <c r="I47" s="11">
        <f>3297/(10^3)</f>
        <v>3.2970000000000002</v>
      </c>
      <c r="J47" s="11">
        <f>3283.10942419749/(10^3)</f>
        <v>3.2831094241974901</v>
      </c>
      <c r="K47" s="11">
        <v>3.2032512956100225</v>
      </c>
      <c r="L47" s="11">
        <f>3305.57729470536/(10^3)</f>
        <v>3.3055772947053601</v>
      </c>
      <c r="M47" s="11">
        <f>3301.54208809813/(10^3)</f>
        <v>3.3015420880981301</v>
      </c>
      <c r="N47" s="11">
        <f>3334.67479985359/(10^3)</f>
        <v>3.3346747998535897</v>
      </c>
      <c r="O47" s="11">
        <f>3448.86735778431/(10^3)</f>
        <v>3.4488673577843101</v>
      </c>
      <c r="P47" s="11">
        <f>3393.76249282315/(10^3)</f>
        <v>3.39376249282315</v>
      </c>
      <c r="Q47" s="11">
        <v>3.3468007257817929</v>
      </c>
      <c r="R47" s="11">
        <f>3322.11433714691/(10^3)</f>
        <v>3.3221143371469104</v>
      </c>
      <c r="S47" s="11">
        <f>3446.54795830508/(10^3)</f>
        <v>3.44654795830508</v>
      </c>
      <c r="T47" s="11">
        <f>3474.66257539325/(10^3)</f>
        <v>3.4746625753932499</v>
      </c>
      <c r="U47" s="11">
        <f>3551.58169130366/(10^3)</f>
        <v>3.5515816913036602</v>
      </c>
      <c r="V47" s="11">
        <f>3576.52377112818/(10^3)</f>
        <v>3.5765237711281803</v>
      </c>
      <c r="W47" s="11">
        <v>3.6496049535759059</v>
      </c>
      <c r="X47" s="11">
        <f>3636.04823906304/(10^3)</f>
        <v>3.6360482390630402</v>
      </c>
      <c r="Y47" s="11">
        <f>3669.16631918497/(10^3)</f>
        <v>3.6691663191849697</v>
      </c>
      <c r="Z47" s="11">
        <f>4028.57218825076/(10^3)</f>
        <v>4.0285721882507604</v>
      </c>
      <c r="AA47" s="11">
        <f>4095.07926109927/(10^3)</f>
        <v>4.0950792610992695</v>
      </c>
      <c r="AB47" s="11">
        <f>4290.53472268733/(10^3)</f>
        <v>4.2905347226873296</v>
      </c>
      <c r="AC47" s="11">
        <v>4.3408167219278146</v>
      </c>
      <c r="AD47" s="11">
        <f>4334.8871423337/(10^3)</f>
        <v>4.3348871423336997</v>
      </c>
      <c r="AE47" s="11">
        <f>4475.5072007833/(10^3)</f>
        <v>4.4755072007832997</v>
      </c>
      <c r="AF47" s="11">
        <f>4551.23775780964/(10^3)</f>
        <v>4.5512377578096403</v>
      </c>
      <c r="AG47" s="11">
        <f>4433.11829959206/(10^3)</f>
        <v>4.4331182995920599</v>
      </c>
      <c r="AH47" s="11">
        <f>4516.82762378587/(10^3)</f>
        <v>4.5168276237858702</v>
      </c>
      <c r="AI47" s="11">
        <v>4.5094268569414346</v>
      </c>
      <c r="AJ47" s="11">
        <f>4573.99491505497/(10^3)</f>
        <v>4.5739949150549704</v>
      </c>
      <c r="AK47" s="11">
        <f>4535.62960018491/(10^3)</f>
        <v>4.5356296001849099</v>
      </c>
      <c r="AL47" s="11">
        <f>4482.8311570751/(10^3)</f>
        <v>4.4828311570751005</v>
      </c>
      <c r="AM47" s="11">
        <f>4659.35605628651/(10^3)</f>
        <v>4.6593560562865095</v>
      </c>
      <c r="AN47" s="11">
        <f>4760.47707327027/(10^3)</f>
        <v>4.7604770732702697</v>
      </c>
      <c r="AO47" s="11">
        <v>4.7888276571976949</v>
      </c>
      <c r="AP47" s="11">
        <f>4937.73744041558/(10^3)</f>
        <v>4.9377374404155798</v>
      </c>
      <c r="AQ47" s="11">
        <f>5140.11582830044/(10^3)</f>
        <v>5.1401158283004396</v>
      </c>
      <c r="AR47" s="11">
        <f>5351.92586268485/(10^3)</f>
        <v>5.3519258626848494</v>
      </c>
      <c r="AS47" s="11">
        <f>5618.79019820191/(10^3)</f>
        <v>5.6187901982019106</v>
      </c>
      <c r="AT47" s="11">
        <f>5563.95714811909/(10^3)</f>
        <v>5.5639571481190897</v>
      </c>
      <c r="AU47" s="11">
        <v>5.431970683955293</v>
      </c>
      <c r="AV47" s="11">
        <f>5473.65866744246/(10^3)</f>
        <v>5.4736586674424599</v>
      </c>
      <c r="AW47" s="11">
        <f>5554.36154305526/(10^3)</f>
        <v>5.5543615430552595</v>
      </c>
      <c r="AX47" s="11">
        <f>5923.43307617489/(10^3)</f>
        <v>5.9234330761748897</v>
      </c>
      <c r="AY47" s="11">
        <f>5985.79108411441/(10^3)</f>
        <v>5.9857910841144104</v>
      </c>
      <c r="AZ47" s="11">
        <f>6044.94912882207/(10^3)</f>
        <v>6.0449491288220694</v>
      </c>
      <c r="BA47" s="11">
        <v>6.1297096711394454</v>
      </c>
      <c r="BB47" s="11">
        <f>6369.26426891543/(10^3)</f>
        <v>6.3692642689154297</v>
      </c>
      <c r="BC47" s="11">
        <f>5974.60174562747/(10^3)</f>
        <v>5.9746017456274707</v>
      </c>
      <c r="BD47" s="11">
        <f>5382.83401244583/(10^3)</f>
        <v>5.38283401244583</v>
      </c>
      <c r="BE47" s="11">
        <f>5207.85904323827/(10^3)</f>
        <v>5.2078590432382699</v>
      </c>
      <c r="BF47" s="11">
        <f>5428.80733412915/(10^3)</f>
        <v>5.4288073341291501</v>
      </c>
      <c r="BG47" s="11">
        <v>5.6456751651338024</v>
      </c>
      <c r="BH47" s="11">
        <f>5874.02744043756/(10^3)</f>
        <v>5.8740274404375592</v>
      </c>
      <c r="BI47" s="11">
        <f>6124.29392652907/(10^3)</f>
        <v>6.1242939265290701</v>
      </c>
      <c r="BJ47" s="11">
        <f>6436.28747924558/(10^3)</f>
        <v>6.4362874792455793</v>
      </c>
      <c r="BK47" s="11">
        <f>6617.72590406198/(10^3)</f>
        <v>6.61772590406198</v>
      </c>
      <c r="BL47" s="11">
        <f>6836.22383602001/(10^3)</f>
        <v>6.83622383602001</v>
      </c>
      <c r="BM47" s="11">
        <v>6.9452472489544164</v>
      </c>
      <c r="BN47" s="11">
        <f>6943.3684149295/(10^3)</f>
        <v>6.9433684149295001</v>
      </c>
      <c r="BO47" s="11">
        <f>6565.0682297837/(10^3)</f>
        <v>6.5650682297836997</v>
      </c>
      <c r="BP47" s="11">
        <f>6373.40106057449/(10^3)</f>
        <v>6.3734010605744897</v>
      </c>
      <c r="BQ47" s="11">
        <f>6256.09820609719/(10^3)</f>
        <v>6.2560982060971897</v>
      </c>
      <c r="BR47" s="11">
        <f>6166.28652322865/(10^3)</f>
        <v>6.1662865232286501</v>
      </c>
      <c r="BS47" s="11">
        <v>6.0877018050122755</v>
      </c>
      <c r="BT47" s="11">
        <f>6044.84631736966/(10^3)</f>
        <v>6.04484631736966</v>
      </c>
      <c r="BU47" s="11">
        <f>6163.52906565489/(10^3)</f>
        <v>6.16352906565489</v>
      </c>
      <c r="BV47" s="11">
        <f>6761.54008488155/(10^3)</f>
        <v>6.7615400848815499</v>
      </c>
      <c r="BW47" s="11">
        <f>6764.34819355281/(10^3)</f>
        <v>6.7643481935528094</v>
      </c>
      <c r="BX47" s="11">
        <f>6928.92124150057/(10^3)</f>
        <v>6.9289212415005705</v>
      </c>
      <c r="BY47" s="11">
        <v>7.3516292791272608</v>
      </c>
      <c r="BZ47" s="11">
        <f>7351.62927912726/(10^3)</f>
        <v>7.3516292791272599</v>
      </c>
      <c r="CA47" s="11">
        <f>7553.30805769541/(10^3)</f>
        <v>7.5533080576954097</v>
      </c>
      <c r="CB47" s="11">
        <f>7875.30378315502/(10^3)</f>
        <v>7.8753037831550197</v>
      </c>
      <c r="CC47" s="12"/>
      <c r="DD47" s="11"/>
      <c r="DE47" s="11"/>
      <c r="DF47" s="11"/>
    </row>
    <row r="48" spans="4:110" x14ac:dyDescent="0.25">
      <c r="D48" s="13" t="s">
        <v>28</v>
      </c>
      <c r="E48" s="13" t="s">
        <v>27</v>
      </c>
      <c r="F48" s="10" t="s">
        <v>149</v>
      </c>
      <c r="G48" s="13"/>
      <c r="H48" s="67" t="str">
        <f>CONCATENATE(D48," ",G48)</f>
        <v xml:space="preserve">Fort Wayne </v>
      </c>
      <c r="I48" s="11">
        <f>9801/(10^3)</f>
        <v>9.8010000000000002</v>
      </c>
      <c r="J48" s="11">
        <f>10013.829594804/(10^3)</f>
        <v>10.013829594803999</v>
      </c>
      <c r="K48" s="11">
        <v>9.8541723089360289</v>
      </c>
      <c r="L48" s="11">
        <f>10093.8677435981/(10^3)</f>
        <v>10.0938677435981</v>
      </c>
      <c r="M48" s="11">
        <f>10062.8638736757/(10^3)</f>
        <v>10.062863873675701</v>
      </c>
      <c r="N48" s="11">
        <f>9979.02696902874/(10^3)</f>
        <v>9.979026969028741</v>
      </c>
      <c r="O48" s="11">
        <f>10427.1751118534/(10^3)</f>
        <v>10.4271751118534</v>
      </c>
      <c r="P48" s="11">
        <f>10561.9149166641/(10^3)</f>
        <v>10.561914916664101</v>
      </c>
      <c r="Q48" s="11">
        <v>10.549504714995393</v>
      </c>
      <c r="R48" s="11">
        <f>10691.3865664597/(10^3)</f>
        <v>10.6913865664597</v>
      </c>
      <c r="S48" s="11">
        <f>11169.138315075/(10^3)</f>
        <v>11.169138315075001</v>
      </c>
      <c r="T48" s="11">
        <f>11456.923017662/(10^3)</f>
        <v>11.456923017662</v>
      </c>
      <c r="U48" s="11">
        <f>11216.042293082/(10^3)</f>
        <v>11.216042293082001</v>
      </c>
      <c r="V48" s="11">
        <f>11603.775702764/(10^3)</f>
        <v>11.603775702764</v>
      </c>
      <c r="W48" s="11">
        <v>11.660474290583339</v>
      </c>
      <c r="X48" s="11">
        <f>12239.1267179114/(10^3)</f>
        <v>12.2391267179114</v>
      </c>
      <c r="Y48" s="11">
        <f>12516.281535361/(10^3)</f>
        <v>12.516281535361001</v>
      </c>
      <c r="Z48" s="11">
        <f>13121.1029120355/(10^3)</f>
        <v>13.1211029120355</v>
      </c>
      <c r="AA48" s="11">
        <f>13228.5369863264/(10^3)</f>
        <v>13.2285369863264</v>
      </c>
      <c r="AB48" s="11">
        <f>13875.569859974/(10^3)</f>
        <v>13.875569859974</v>
      </c>
      <c r="AC48" s="11">
        <v>13.939031066337085</v>
      </c>
      <c r="AD48" s="11">
        <f>14257.3276558057/(10^3)</f>
        <v>14.2573276558057</v>
      </c>
      <c r="AE48" s="11">
        <f>14160.4531364808/(10^3)</f>
        <v>14.1604531364808</v>
      </c>
      <c r="AF48" s="11">
        <f>14342.2105296353/(10^3)</f>
        <v>14.342210529635301</v>
      </c>
      <c r="AG48" s="11">
        <f>14994.9371516409/(10^3)</f>
        <v>14.994937151640899</v>
      </c>
      <c r="AH48" s="11">
        <f>15587.0999492815/(10^3)</f>
        <v>15.587099949281502</v>
      </c>
      <c r="AI48" s="11">
        <v>15.928367601424521</v>
      </c>
      <c r="AJ48" s="11">
        <f>15962.2375103134/(10^3)</f>
        <v>15.9622375103134</v>
      </c>
      <c r="AK48" s="11">
        <f>15807.5700878243/(10^3)</f>
        <v>15.807570087824301</v>
      </c>
      <c r="AL48" s="11">
        <f>15350.4307180254/(10^3)</f>
        <v>15.3504307180254</v>
      </c>
      <c r="AM48" s="11">
        <f>15521.5376581957/(10^3)</f>
        <v>15.521537658195701</v>
      </c>
      <c r="AN48" s="11">
        <f>16289.2349133417/(10^3)</f>
        <v>16.289234913341698</v>
      </c>
      <c r="AO48" s="11">
        <v>16.335182733888086</v>
      </c>
      <c r="AP48" s="11">
        <f>16366.4154935713/(10^3)</f>
        <v>16.366415493571299</v>
      </c>
      <c r="AQ48" s="11">
        <f>16078.5649007321/(10^3)</f>
        <v>16.078564900732101</v>
      </c>
      <c r="AR48" s="11">
        <f>16717.0680483126/(10^3)</f>
        <v>16.717068048312601</v>
      </c>
      <c r="AS48" s="11">
        <f>16253.9197046016/(10^3)</f>
        <v>16.2539197046016</v>
      </c>
      <c r="AT48" s="11">
        <f>16889.1776624887/(10^3)</f>
        <v>16.889177662488699</v>
      </c>
      <c r="AU48" s="11">
        <v>16.607631399927367</v>
      </c>
      <c r="AV48" s="11">
        <f>16977.0015475813/(10^3)</f>
        <v>16.977001547581303</v>
      </c>
      <c r="AW48" s="11">
        <f>17178.6735237029/(10^3)</f>
        <v>17.178673523702898</v>
      </c>
      <c r="AX48" s="11">
        <f>17980.5958057021/(10^3)</f>
        <v>17.980595805702102</v>
      </c>
      <c r="AY48" s="11">
        <f>18664.2967359318/(10^3)</f>
        <v>18.664296735931799</v>
      </c>
      <c r="AZ48" s="11">
        <f>18742.9193560509/(10^3)</f>
        <v>18.742919356050901</v>
      </c>
      <c r="BA48" s="11">
        <v>19.269640807661208</v>
      </c>
      <c r="BB48" s="11">
        <f>20195.4612698582/(10^3)</f>
        <v>20.1954612698582</v>
      </c>
      <c r="BC48" s="11">
        <f>18176.8847384015/(10^3)</f>
        <v>18.176884738401498</v>
      </c>
      <c r="BD48" s="11">
        <f>17011.9534872211/(10^3)</f>
        <v>17.011953487221099</v>
      </c>
      <c r="BE48" s="11">
        <f>16542.8018188986/(10^3)</f>
        <v>16.542801818898599</v>
      </c>
      <c r="BF48" s="11">
        <f>16102.851194752/(10^3)</f>
        <v>16.102851194751999</v>
      </c>
      <c r="BG48" s="11">
        <v>16.134248834633162</v>
      </c>
      <c r="BH48" s="11">
        <f>16149.5998957313/(10^3)</f>
        <v>16.149599895731299</v>
      </c>
      <c r="BI48" s="11">
        <f>16713.5170589999/(10^3)</f>
        <v>16.713517058999901</v>
      </c>
      <c r="BJ48" s="11">
        <f>17845.2269725386/(10^3)</f>
        <v>17.845226972538601</v>
      </c>
      <c r="BK48" s="11">
        <f>18119.320346776/(10^3)</f>
        <v>18.119320346776</v>
      </c>
      <c r="BL48" s="11">
        <f>18915.1718523477/(10^3)</f>
        <v>18.915171852347701</v>
      </c>
      <c r="BM48" s="11">
        <v>19.208127799029185</v>
      </c>
      <c r="BN48" s="11">
        <f>19676.4407631197/(10^3)</f>
        <v>19.6764407631197</v>
      </c>
      <c r="BO48" s="11">
        <f>18288.4103451984/(10^3)</f>
        <v>18.2884103451984</v>
      </c>
      <c r="BP48" s="11">
        <f>17591.1139014498/(10^3)</f>
        <v>17.591113901449802</v>
      </c>
      <c r="BQ48" s="11">
        <f>17421.3576900347/(10^3)</f>
        <v>17.4213576900347</v>
      </c>
      <c r="BR48" s="11">
        <f>17253.287924491/(10^3)</f>
        <v>17.253287924491001</v>
      </c>
      <c r="BS48" s="11">
        <v>17.248996987605381</v>
      </c>
      <c r="BT48" s="11">
        <f>16926.4315683194/(10^3)</f>
        <v>16.926431568319401</v>
      </c>
      <c r="BU48" s="11">
        <f>17501.4470972674/(10^3)</f>
        <v>17.501447097267398</v>
      </c>
      <c r="BV48" s="11">
        <f>18760.77048277/(10^3)</f>
        <v>18.760770482769999</v>
      </c>
      <c r="BW48" s="11">
        <f>19372.4115493069/(10^3)</f>
        <v>19.3724115493069</v>
      </c>
      <c r="BX48" s="11">
        <f>20064.8210598204/(10^3)</f>
        <v>20.0648210598204</v>
      </c>
      <c r="BY48" s="11">
        <v>20.613696123401834</v>
      </c>
      <c r="BZ48" s="11">
        <f>20613.6961234018/(10^3)</f>
        <v>20.613696123401802</v>
      </c>
      <c r="CA48" s="11">
        <f>20674.1339722996/(10^3)</f>
        <v>20.6741339722996</v>
      </c>
      <c r="CB48" s="11">
        <f>21326.9833882863/(10^3)</f>
        <v>21.326983388286298</v>
      </c>
      <c r="CC48" s="12"/>
      <c r="DD48" s="11"/>
      <c r="DE48" s="11"/>
      <c r="DF48" s="11"/>
    </row>
    <row r="49" spans="4:110" x14ac:dyDescent="0.25">
      <c r="D49" s="13" t="s">
        <v>30</v>
      </c>
      <c r="E49" s="13" t="s">
        <v>29</v>
      </c>
      <c r="F49" s="10" t="s">
        <v>150</v>
      </c>
      <c r="G49" s="13"/>
      <c r="H49" s="67" t="str">
        <f>CONCATENATE(D49," ",G49)</f>
        <v xml:space="preserve">Frankfort 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>
        <v>0.56243665862308223</v>
      </c>
      <c r="BZ49" s="11">
        <f>562.436658623082/(10^3)</f>
        <v>0.56243665862308201</v>
      </c>
      <c r="CA49" s="11">
        <f>516.01422439569/(10^3)</f>
        <v>0.51601422439569</v>
      </c>
      <c r="CB49" s="11">
        <f>510.089847433544/(10^3)</f>
        <v>0.51008984743354402</v>
      </c>
      <c r="CC49" s="12"/>
      <c r="DD49" s="11"/>
      <c r="DE49" s="11"/>
      <c r="DF49" s="11"/>
    </row>
    <row r="50" spans="4:110" x14ac:dyDescent="0.25">
      <c r="D50" s="13" t="s">
        <v>31</v>
      </c>
      <c r="E50" s="13" t="s">
        <v>12</v>
      </c>
      <c r="F50" s="10" t="s">
        <v>150</v>
      </c>
      <c r="G50" s="13"/>
      <c r="H50" s="67" t="str">
        <f>CONCATENATE(D50," ",G50)</f>
        <v xml:space="preserve">Houston </v>
      </c>
      <c r="I50" s="11">
        <f>1305/(10^3)</f>
        <v>1.3049999999999999</v>
      </c>
      <c r="J50" s="11">
        <f>1354.22361268069/(10^3)</f>
        <v>1.3542236126806899</v>
      </c>
      <c r="K50" s="11">
        <v>1.3735468684606296</v>
      </c>
      <c r="L50" s="11">
        <f>1354.68829227785/(10^3)</f>
        <v>1.35468829227785</v>
      </c>
      <c r="M50" s="11">
        <f>1361.41322932611/(10^3)</f>
        <v>1.3614132293261101</v>
      </c>
      <c r="N50" s="11">
        <f>1342.47409598859/(10^3)</f>
        <v>1.3424740959885901</v>
      </c>
      <c r="O50" s="11">
        <f>1385.99115451935/(10^3)</f>
        <v>1.38599115451935</v>
      </c>
      <c r="P50" s="11">
        <f>1402.67445480358/(10^3)</f>
        <v>1.4026744548035799</v>
      </c>
      <c r="Q50" s="11">
        <v>1.3680755529497253</v>
      </c>
      <c r="R50" s="11">
        <f>1400.45535891972/(10^3)</f>
        <v>1.4004553589197202</v>
      </c>
      <c r="S50" s="11">
        <f>1466.13258478699/(10^3)</f>
        <v>1.4661325847869899</v>
      </c>
      <c r="T50" s="11">
        <f>1459.48493101056/(10^3)</f>
        <v>1.4594849310105602</v>
      </c>
      <c r="U50" s="11">
        <f>1463.46910313637/(10^3)</f>
        <v>1.46346910313637</v>
      </c>
      <c r="V50" s="11">
        <f>1433.86933494708/(10^3)</f>
        <v>1.4338693349470799</v>
      </c>
      <c r="W50" s="11">
        <v>1.4917377385467443</v>
      </c>
      <c r="X50" s="11">
        <f>1495.87484835939/(10^3)</f>
        <v>1.49587484835939</v>
      </c>
      <c r="Y50" s="11">
        <f>1504.43738060575/(10^3)</f>
        <v>1.5044373806057498</v>
      </c>
      <c r="Z50" s="11">
        <f>1644.26465370251/(10^3)</f>
        <v>1.6442646537025101</v>
      </c>
      <c r="AA50" s="11">
        <f>1645.14249318922/(10^3)</f>
        <v>1.64514249318922</v>
      </c>
      <c r="AB50" s="11">
        <f>1708.74720900761/(10^3)</f>
        <v>1.7087472090076101</v>
      </c>
      <c r="AC50" s="11">
        <v>1.7629042149063905</v>
      </c>
      <c r="AD50" s="11">
        <f>1836.91980837266/(10^3)</f>
        <v>1.8369198083726601</v>
      </c>
      <c r="AE50" s="11">
        <f>1702.69500007917/(10^3)</f>
        <v>1.7026950000791701</v>
      </c>
      <c r="AF50" s="11">
        <f>1668.74284845063/(10^3)</f>
        <v>1.6687428484506299</v>
      </c>
      <c r="AG50" s="11">
        <f>1637.62158780336/(10^3)</f>
        <v>1.63762158780336</v>
      </c>
      <c r="AH50" s="11">
        <f>1658.18335417143/(10^3)</f>
        <v>1.6581833541714299</v>
      </c>
      <c r="AI50" s="11">
        <v>1.6702604214498906</v>
      </c>
      <c r="AJ50" s="11">
        <f>1640.57109197114/(10^3)</f>
        <v>1.64057109197114</v>
      </c>
      <c r="AK50" s="11">
        <f>1627.66497288094/(10^3)</f>
        <v>1.62766497288094</v>
      </c>
      <c r="AL50" s="11">
        <f>1666.55047042652/(10^3)</f>
        <v>1.6665504704265199</v>
      </c>
      <c r="AM50" s="11">
        <f>1668.24822405695/(10^3)</f>
        <v>1.6682482240569501</v>
      </c>
      <c r="AN50" s="11">
        <f>1703.59287654981/(10^3)</f>
        <v>1.7035928765498098</v>
      </c>
      <c r="AO50" s="11">
        <v>1.7844836842279554</v>
      </c>
      <c r="AP50" s="11">
        <f>1829.97951778994/(10^3)</f>
        <v>1.8299795177899401</v>
      </c>
      <c r="AQ50" s="11">
        <f>1754.83386099714/(10^3)</f>
        <v>1.7548338609971399</v>
      </c>
      <c r="AR50" s="11">
        <f>1712.75534268522/(10^3)</f>
        <v>1.71275534268522</v>
      </c>
      <c r="AS50" s="11">
        <f>1697.51652659063/(10^3)</f>
        <v>1.69751652659063</v>
      </c>
      <c r="AT50" s="11">
        <f>1732.43104710071/(10^3)</f>
        <v>1.7324310471007101</v>
      </c>
      <c r="AU50" s="11">
        <v>1.8127789262319616</v>
      </c>
      <c r="AV50" s="11">
        <f>1852.83100512765/(10^3)</f>
        <v>1.85283100512765</v>
      </c>
      <c r="AW50" s="11">
        <f>1927.55005965053/(10^3)</f>
        <v>1.9275500596505302</v>
      </c>
      <c r="AX50" s="11">
        <f>1998.38271659789/(10^3)</f>
        <v>1.99838271659789</v>
      </c>
      <c r="AY50" s="11">
        <f>2043.20275758076/(10^3)</f>
        <v>2.0432027575807599</v>
      </c>
      <c r="AZ50" s="11">
        <f>2060.40078005071/(10^3)</f>
        <v>2.0604007800507103</v>
      </c>
      <c r="BA50" s="11">
        <v>2.0608376537090836</v>
      </c>
      <c r="BB50" s="11">
        <f>2136.5913814708/(10^3)</f>
        <v>2.1365913814708</v>
      </c>
      <c r="BC50" s="11">
        <f>2056.81814396112/(10^3)</f>
        <v>2.0568181439611197</v>
      </c>
      <c r="BD50" s="11">
        <f>2005.90531583786/(10^3)</f>
        <v>2.0059053158378601</v>
      </c>
      <c r="BE50" s="11">
        <f>1967.92586162429/(10^3)</f>
        <v>1.9679258616242901</v>
      </c>
      <c r="BF50" s="11">
        <f>2048.05139358345/(10^3)</f>
        <v>2.0480513935834503</v>
      </c>
      <c r="BG50" s="11">
        <v>2.0063433513040745</v>
      </c>
      <c r="BH50" s="11">
        <f>2042.03896095809/(10^3)</f>
        <v>2.0420389609580898</v>
      </c>
      <c r="BI50" s="11">
        <f>2064.79677206073/(10^3)</f>
        <v>2.0647967720607299</v>
      </c>
      <c r="BJ50" s="11">
        <f>2180.8768101648/(10^3)</f>
        <v>2.1808768101648002</v>
      </c>
      <c r="BK50" s="11">
        <f>2226.0421932191/(10^3)</f>
        <v>2.2260421932191004</v>
      </c>
      <c r="BL50" s="11">
        <f>2294.7913553934/(10^3)</f>
        <v>2.2947913553934001</v>
      </c>
      <c r="BM50" s="11">
        <v>2.3100042949854793</v>
      </c>
      <c r="BN50" s="11">
        <f>2331.64505975287/(10^3)</f>
        <v>2.3316450597528702</v>
      </c>
      <c r="BO50" s="11">
        <f>2136.74151153562/(10^3)</f>
        <v>2.1367415115356199</v>
      </c>
      <c r="BP50" s="11">
        <f>2067.09667606732/(10^3)</f>
        <v>2.0670966760673202</v>
      </c>
      <c r="BQ50" s="11">
        <f>2047.50551516245/(10^3)</f>
        <v>2.0475055151624497</v>
      </c>
      <c r="BR50" s="11">
        <f>2035.34011564352/(10^3)</f>
        <v>2.0353401156435198</v>
      </c>
      <c r="BS50" s="11">
        <v>2.0094869429961113</v>
      </c>
      <c r="BT50" s="11">
        <f>1985.7128464067/(10^3)</f>
        <v>1.9857128464067</v>
      </c>
      <c r="BU50" s="11">
        <f>2051.62260480696/(10^3)</f>
        <v>2.0516226048069601</v>
      </c>
      <c r="BV50" s="11">
        <f>2184.45372910454/(10^3)</f>
        <v>2.1844537291045398</v>
      </c>
      <c r="BW50" s="11">
        <f>2247.61094015471/(10^3)</f>
        <v>2.24761094015471</v>
      </c>
      <c r="BX50" s="11">
        <f>2335.232263649/(10^3)</f>
        <v>2.3352322636489999</v>
      </c>
      <c r="BY50" s="11">
        <v>2.3930553869197957</v>
      </c>
      <c r="BZ50" s="11">
        <f>2393.0553869198/(10^3)</f>
        <v>2.3930553869198001</v>
      </c>
      <c r="CA50" s="11">
        <f>2374.34568724426/(10^3)</f>
        <v>2.3743456872442597</v>
      </c>
      <c r="CB50" s="11">
        <f>2299.7799251594/(10^3)</f>
        <v>2.2997799251594002</v>
      </c>
      <c r="CC50" s="12"/>
      <c r="DD50" s="11"/>
      <c r="DE50" s="11"/>
      <c r="DF50" s="11"/>
    </row>
    <row r="51" spans="4:110" x14ac:dyDescent="0.25">
      <c r="D51" s="13" t="s">
        <v>32</v>
      </c>
      <c r="E51" s="13" t="s">
        <v>27</v>
      </c>
      <c r="F51" s="10" t="s">
        <v>149</v>
      </c>
      <c r="G51" s="13"/>
      <c r="H51" s="67" t="str">
        <f>CONCATENATE(D51," ",G51)</f>
        <v xml:space="preserve">Indianapolis </v>
      </c>
      <c r="I51" s="11"/>
      <c r="J51" s="11"/>
      <c r="K51" s="11">
        <v>0.72660572929113498</v>
      </c>
      <c r="L51" s="11"/>
      <c r="M51" s="11"/>
      <c r="N51" s="11"/>
      <c r="O51" s="11"/>
      <c r="P51" s="11"/>
      <c r="Q51" s="11">
        <v>0.79540843441563425</v>
      </c>
      <c r="R51" s="11"/>
      <c r="S51" s="11"/>
      <c r="T51" s="11"/>
      <c r="U51" s="11"/>
      <c r="V51" s="11"/>
      <c r="W51" s="11">
        <v>0.9231735062709443</v>
      </c>
      <c r="X51" s="11"/>
      <c r="Y51" s="11"/>
      <c r="Z51" s="11"/>
      <c r="AA51" s="11"/>
      <c r="AB51" s="11"/>
      <c r="AC51" s="11">
        <v>1.1243380085994867</v>
      </c>
      <c r="AD51" s="11"/>
      <c r="AE51" s="11"/>
      <c r="AF51" s="11"/>
      <c r="AG51" s="11"/>
      <c r="AH51" s="11"/>
      <c r="AI51" s="11">
        <v>0.98675704875340342</v>
      </c>
      <c r="AJ51" s="11"/>
      <c r="AK51" s="11"/>
      <c r="AL51" s="11"/>
      <c r="AM51" s="11"/>
      <c r="AN51" s="11"/>
      <c r="AO51" s="11">
        <v>1.1378172671220332</v>
      </c>
      <c r="AP51" s="11"/>
      <c r="AQ51" s="11"/>
      <c r="AR51" s="11"/>
      <c r="AS51" s="11"/>
      <c r="AT51" s="11">
        <f>1018.18370482859/(10^3)</f>
        <v>1.01818370482859</v>
      </c>
      <c r="AU51" s="11">
        <v>1.0037982456319274</v>
      </c>
      <c r="AV51" s="11">
        <f>987.115938457596/(10^3)</f>
        <v>0.98711593845759604</v>
      </c>
      <c r="AW51" s="11">
        <f>1033.99941736539/(10^3)</f>
        <v>1.0339994173653899</v>
      </c>
      <c r="AX51" s="11">
        <f>1074.03126307903/(10^3)</f>
        <v>1.0740312630790299</v>
      </c>
      <c r="AY51" s="11">
        <f>1116.32614264745/(10^3)</f>
        <v>1.11632614264745</v>
      </c>
      <c r="AZ51" s="11">
        <f>1133.20798573573/(10^3)</f>
        <v>1.13320798573573</v>
      </c>
      <c r="BA51" s="11">
        <v>1.1291518474167652</v>
      </c>
      <c r="BB51" s="11">
        <f>1128.77275835917/(10^3)</f>
        <v>1.12877275835917</v>
      </c>
      <c r="BC51" s="11">
        <f>1122.01883252662/(10^3)</f>
        <v>1.1220188325266198</v>
      </c>
      <c r="BD51" s="11">
        <f>1119.83052283948/(10^3)</f>
        <v>1.11983052283948</v>
      </c>
      <c r="BE51" s="11">
        <f>1034.35901595319/(10^3)</f>
        <v>1.0343590159531899</v>
      </c>
      <c r="BF51" s="11">
        <f>1047.92801426/(10^3)</f>
        <v>1.04792801426</v>
      </c>
      <c r="BG51" s="11">
        <v>1.0229070111173979</v>
      </c>
      <c r="BH51" s="11">
        <f>1001.74923120999/(10^3)</f>
        <v>1.00174923120999</v>
      </c>
      <c r="BI51" s="11">
        <f>1027.9253824972/(10^3)</f>
        <v>1.0279253824971999</v>
      </c>
      <c r="BJ51" s="11">
        <f>1129.75637927188/(10^3)</f>
        <v>1.1297563792718799</v>
      </c>
      <c r="BK51" s="11">
        <f>1146.16560735629/(10^3)</f>
        <v>1.1461656073562898</v>
      </c>
      <c r="BL51" s="11">
        <f>1149.56524488483/(10^3)</f>
        <v>1.1495652448848299</v>
      </c>
      <c r="BM51" s="11">
        <v>1.1533699309237648</v>
      </c>
      <c r="BN51" s="11">
        <f>1139.31401892466/(10^3)</f>
        <v>1.13931401892466</v>
      </c>
      <c r="BO51" s="11">
        <f>1132.95596275093/(10^3)</f>
        <v>1.13295596275093</v>
      </c>
      <c r="BP51" s="11">
        <f>1123.88820020749/(10^3)</f>
        <v>1.1238882002074899</v>
      </c>
      <c r="BQ51" s="11">
        <f>1103.3101083616/(10^3)</f>
        <v>1.1033101083615999</v>
      </c>
      <c r="BR51" s="11">
        <f>1084.589037137/(10^3)</f>
        <v>1.0845890371370002</v>
      </c>
      <c r="BS51" s="11">
        <v>1.082560467832151</v>
      </c>
      <c r="BT51" s="11">
        <f>1059.17042895869/(10^3)</f>
        <v>1.0591704289586901</v>
      </c>
      <c r="BU51" s="11">
        <f>1037.89422832658/(10^3)</f>
        <v>1.0378942283265802</v>
      </c>
      <c r="BV51" s="11">
        <f>1127.13142325373/(10^3)</f>
        <v>1.1271314232537299</v>
      </c>
      <c r="BW51" s="11">
        <f>1181.81370396748/(10^3)</f>
        <v>1.1818137039674801</v>
      </c>
      <c r="BX51" s="11">
        <f>1183.20009569467/(10^3)</f>
        <v>1.18320009569467</v>
      </c>
      <c r="BY51" s="11">
        <v>1.2600383051677384</v>
      </c>
      <c r="BZ51" s="11">
        <f>1260.03830516774/(10^3)</f>
        <v>1.26003830516774</v>
      </c>
      <c r="CA51" s="11">
        <f>1250.72903364198/(10^3)</f>
        <v>1.2507290336419801</v>
      </c>
      <c r="CB51" s="11">
        <f>1214.62395225518/(10^3)</f>
        <v>1.2146239522551801</v>
      </c>
      <c r="CC51" s="12"/>
      <c r="DD51" s="11"/>
      <c r="DE51" s="11"/>
      <c r="DF51" s="11"/>
    </row>
    <row r="52" spans="4:110" x14ac:dyDescent="0.25">
      <c r="D52" s="13" t="s">
        <v>34</v>
      </c>
      <c r="E52" s="13" t="s">
        <v>33</v>
      </c>
      <c r="F52" s="10" t="s">
        <v>150</v>
      </c>
      <c r="G52" s="13"/>
      <c r="H52" s="67" t="str">
        <f>CONCATENATE(D52," ",G52)</f>
        <v xml:space="preserve">Jackson </v>
      </c>
      <c r="I52" s="11"/>
      <c r="J52" s="11"/>
      <c r="K52" s="11">
        <v>0.595659226969531</v>
      </c>
      <c r="L52" s="11"/>
      <c r="M52" s="11"/>
      <c r="N52" s="11"/>
      <c r="O52" s="11"/>
      <c r="P52" s="11"/>
      <c r="Q52" s="11">
        <v>0.64719788905665121</v>
      </c>
      <c r="R52" s="11"/>
      <c r="S52" s="11"/>
      <c r="T52" s="11"/>
      <c r="U52" s="11"/>
      <c r="V52" s="11"/>
      <c r="W52" s="11">
        <v>0.66358464230997127</v>
      </c>
      <c r="X52" s="11"/>
      <c r="Y52" s="11"/>
      <c r="Z52" s="11"/>
      <c r="AA52" s="11"/>
      <c r="AB52" s="11"/>
      <c r="AC52" s="11">
        <v>0.80260053313543345</v>
      </c>
      <c r="AD52" s="11"/>
      <c r="AE52" s="11"/>
      <c r="AF52" s="11"/>
      <c r="AG52" s="11"/>
      <c r="AH52" s="11"/>
      <c r="AI52" s="11">
        <v>0.76154380015214762</v>
      </c>
      <c r="AJ52" s="11"/>
      <c r="AK52" s="11"/>
      <c r="AL52" s="11"/>
      <c r="AM52" s="11"/>
      <c r="AN52" s="11"/>
      <c r="AO52" s="11">
        <v>0.92039329244076096</v>
      </c>
      <c r="AP52" s="11"/>
      <c r="AQ52" s="11"/>
      <c r="AR52" s="11"/>
      <c r="AS52" s="11"/>
      <c r="AT52" s="11"/>
      <c r="AU52" s="11">
        <v>0.79974281736412067</v>
      </c>
      <c r="AV52" s="11"/>
      <c r="AW52" s="11"/>
      <c r="AX52" s="11"/>
      <c r="AY52" s="11"/>
      <c r="AZ52" s="11"/>
      <c r="BA52" s="11">
        <v>0.85973308912448654</v>
      </c>
      <c r="BB52" s="11">
        <f>878.501638682409/(10^3)</f>
        <v>0.87850163868240894</v>
      </c>
      <c r="BC52" s="11">
        <f>855.752781370791/(10^3)</f>
        <v>0.85575278137079103</v>
      </c>
      <c r="BD52" s="11">
        <f>821.843334540762/(10^3)</f>
        <v>0.82184333454076208</v>
      </c>
      <c r="BE52" s="11">
        <f>783.414226840093/(10^3)</f>
        <v>0.78341422684009299</v>
      </c>
      <c r="BF52" s="11">
        <f>813.315697647968/(10^3)</f>
        <v>0.81331569764796807</v>
      </c>
      <c r="BG52" s="11">
        <v>0.84336349255419374</v>
      </c>
      <c r="BH52" s="11">
        <f>878.95713783347/(10^3)</f>
        <v>0.87895713783347007</v>
      </c>
      <c r="BI52" s="11">
        <f>883.668751911304/(10^3)</f>
        <v>0.88366875191130401</v>
      </c>
      <c r="BJ52" s="11">
        <f>898.087009898801/(10^3)</f>
        <v>0.89808700989880108</v>
      </c>
      <c r="BK52" s="11">
        <f>918.301910050102/(10^3)</f>
        <v>0.91830191005010209</v>
      </c>
      <c r="BL52" s="11">
        <f>948.579975596082/(10^3)</f>
        <v>0.94857997559608198</v>
      </c>
      <c r="BM52" s="11">
        <v>0.96906194187583261</v>
      </c>
      <c r="BN52" s="11">
        <f>992.523056355016/(10^3)</f>
        <v>0.99252305635501603</v>
      </c>
      <c r="BO52" s="11">
        <f>941.191186200098/(10^3)</f>
        <v>0.9411911862000979</v>
      </c>
      <c r="BP52" s="11">
        <f>919.572452909526/(10^3)</f>
        <v>0.91957245290952594</v>
      </c>
      <c r="BQ52" s="11">
        <f>919.549870187248/(10^3)</f>
        <v>0.91954987018724799</v>
      </c>
      <c r="BR52" s="11">
        <f>910.989246949806/(10^3)</f>
        <v>0.91098924694980599</v>
      </c>
      <c r="BS52" s="11">
        <v>0.8915056089713318</v>
      </c>
      <c r="BT52" s="11">
        <f>886.121640677477/(10^3)</f>
        <v>0.88612164067747701</v>
      </c>
      <c r="BU52" s="11">
        <f>913.410469524263/(10^3)</f>
        <v>0.91341046952426297</v>
      </c>
      <c r="BV52" s="11">
        <f>977.580956623992/(10^3)</f>
        <v>0.97758095662399203</v>
      </c>
      <c r="BW52" s="11">
        <f>1001.22499346396/(10^3)</f>
        <v>1.0012249934639601</v>
      </c>
      <c r="BX52" s="11">
        <f>1046.08409397434/(10^3)</f>
        <v>1.0460840939743401</v>
      </c>
      <c r="BY52" s="11">
        <v>1.0564837879485254</v>
      </c>
      <c r="BZ52" s="11">
        <f>1056.48378794853/(10^3)</f>
        <v>1.05648378794853</v>
      </c>
      <c r="CA52" s="11">
        <f>951.152748020201/(10^3)</f>
        <v>0.951152748020201</v>
      </c>
      <c r="CB52" s="11">
        <f>933.569460267483/(10^3)</f>
        <v>0.933569460267483</v>
      </c>
      <c r="CC52" s="12"/>
      <c r="DD52" s="11"/>
      <c r="DE52" s="11"/>
      <c r="DF52" s="11"/>
    </row>
    <row r="53" spans="4:110" x14ac:dyDescent="0.25">
      <c r="D53" s="13" t="s">
        <v>36</v>
      </c>
      <c r="E53" s="13" t="s">
        <v>35</v>
      </c>
      <c r="F53" s="10" t="s">
        <v>150</v>
      </c>
      <c r="G53" s="13"/>
      <c r="H53" s="67" t="str">
        <f>CONCATENATE(D53," ",G53)</f>
        <v xml:space="preserve">Jacksonville </v>
      </c>
      <c r="I53" s="11">
        <f>917/(10^3)</f>
        <v>0.91700000000000004</v>
      </c>
      <c r="J53" s="11">
        <f>927.316237191708/(10^3)</f>
        <v>0.92731623719170797</v>
      </c>
      <c r="K53" s="11">
        <v>0.95789813167484594</v>
      </c>
      <c r="L53" s="11">
        <f>997.139055510187/(10^3)</f>
        <v>0.997139055510187</v>
      </c>
      <c r="M53" s="11">
        <f>987.618316935446/(10^3)</f>
        <v>0.98761831693544599</v>
      </c>
      <c r="N53" s="11">
        <f>1001.39285453049/(10^3)</f>
        <v>1.00139285453049</v>
      </c>
      <c r="O53" s="11">
        <f>1021.0560364748/(10^3)</f>
        <v>1.0210560364748</v>
      </c>
      <c r="P53" s="11">
        <f>1052.79332172763/(10^3)</f>
        <v>1.05279332172763</v>
      </c>
      <c r="Q53" s="11">
        <v>1.1026372348776445</v>
      </c>
      <c r="R53" s="11">
        <f>1121.73686895856/(10^3)</f>
        <v>1.1217368689585601</v>
      </c>
      <c r="S53" s="11">
        <f>1109.85494670776/(10^3)</f>
        <v>1.1098549467077601</v>
      </c>
      <c r="T53" s="11">
        <f>1088.58381432097/(10^3)</f>
        <v>1.0885838143209701</v>
      </c>
      <c r="U53" s="11">
        <f>1099.82215719183/(10^3)</f>
        <v>1.0998221571918301</v>
      </c>
      <c r="V53" s="11">
        <f>1085.93904064338/(10^3)</f>
        <v>1.08593904064338</v>
      </c>
      <c r="W53" s="11">
        <v>1.103201945197805</v>
      </c>
      <c r="X53" s="11">
        <f>1109.68173201072/(10^3)</f>
        <v>1.10968173201072</v>
      </c>
      <c r="Y53" s="11">
        <f>1134.08180751061/(10^3)</f>
        <v>1.1340818075106098</v>
      </c>
      <c r="Z53" s="11">
        <f>1189.82180763216/(10^3)</f>
        <v>1.1898218076321601</v>
      </c>
      <c r="AA53" s="11">
        <f>1217.18463810939/(10^3)</f>
        <v>1.21718463810939</v>
      </c>
      <c r="AB53" s="11">
        <f>1223.78757088853/(10^3)</f>
        <v>1.22378757088853</v>
      </c>
      <c r="AC53" s="11">
        <v>1.2480130526822151</v>
      </c>
      <c r="AD53" s="11">
        <f>1286.35183761806/(10^3)</f>
        <v>1.28635183761806</v>
      </c>
      <c r="AE53" s="11">
        <f>1201.14006187984/(10^3)</f>
        <v>1.20114006187984</v>
      </c>
      <c r="AF53" s="11">
        <f>1153.89913405901/(10^3)</f>
        <v>1.1538991340590101</v>
      </c>
      <c r="AG53" s="11">
        <f>1146.04610005641/(10^3)</f>
        <v>1.1460461000564102</v>
      </c>
      <c r="AH53" s="11">
        <f>1193.25437175556/(10^3)</f>
        <v>1.1932543717555599</v>
      </c>
      <c r="AI53" s="11">
        <v>1.191753006529324</v>
      </c>
      <c r="AJ53" s="11">
        <f>1166.1705804158/(10^3)</f>
        <v>1.1661705804158</v>
      </c>
      <c r="AK53" s="11">
        <f>1195.30502268116/(10^3)</f>
        <v>1.1953050226811599</v>
      </c>
      <c r="AL53" s="11">
        <f>1293.97239804956/(10^3)</f>
        <v>1.2939723980495601</v>
      </c>
      <c r="AM53" s="11">
        <f>1357.86823578482/(10^3)</f>
        <v>1.35786823578482</v>
      </c>
      <c r="AN53" s="11">
        <f>1418.43661476462/(10^3)</f>
        <v>1.4184366147646199</v>
      </c>
      <c r="AO53" s="11">
        <v>1.4318520873073866</v>
      </c>
      <c r="AP53" s="11">
        <f>1449.58694800563/(10^3)</f>
        <v>1.4495869480056298</v>
      </c>
      <c r="AQ53" s="11">
        <f>1434.74784999829/(10^3)</f>
        <v>1.43474784999829</v>
      </c>
      <c r="AR53" s="11">
        <f>1417.54914232451/(10^3)</f>
        <v>1.4175491423245101</v>
      </c>
      <c r="AS53" s="11">
        <f>1409.62719731745/(10^3)</f>
        <v>1.4096271973174501</v>
      </c>
      <c r="AT53" s="11">
        <f>1387.13659304435/(10^3)</f>
        <v>1.38713659304435</v>
      </c>
      <c r="AU53" s="11">
        <v>1.3727300711261607</v>
      </c>
      <c r="AV53" s="11">
        <f>1414.37700320486/(10^3)</f>
        <v>1.4143770032048602</v>
      </c>
      <c r="AW53" s="11">
        <f>1469.29307622407/(10^3)</f>
        <v>1.4692930762240701</v>
      </c>
      <c r="AX53" s="11">
        <f>1540.68121851195/(10^3)</f>
        <v>1.5406812185119501</v>
      </c>
      <c r="AY53" s="11">
        <f>1577.65006624793/(10^3)</f>
        <v>1.57765006624793</v>
      </c>
      <c r="AZ53" s="11">
        <f>1556.47561805783/(10^3)</f>
        <v>1.5564756180578299</v>
      </c>
      <c r="BA53" s="11">
        <v>1.5864867052310374</v>
      </c>
      <c r="BB53" s="11">
        <f>1608.56090404023/(10^3)</f>
        <v>1.60856090404023</v>
      </c>
      <c r="BC53" s="11">
        <f>1564.24313495579/(10^3)</f>
        <v>1.5642431349557901</v>
      </c>
      <c r="BD53" s="11">
        <f>1535.80435952845/(10^3)</f>
        <v>1.5358043595284501</v>
      </c>
      <c r="BE53" s="11">
        <f>1497.70934200472/(10^3)</f>
        <v>1.4977093420047198</v>
      </c>
      <c r="BF53" s="11">
        <f>1474.30761379114/(10^3)</f>
        <v>1.4743076137911399</v>
      </c>
      <c r="BG53" s="11">
        <v>1.4408128643770468</v>
      </c>
      <c r="BH53" s="11">
        <f>1510.09861555871/(10^3)</f>
        <v>1.5100986155587099</v>
      </c>
      <c r="BI53" s="11">
        <f>1480.49228258266/(10^3)</f>
        <v>1.4804922825826601</v>
      </c>
      <c r="BJ53" s="11">
        <f>1496.15607878596/(10^3)</f>
        <v>1.49615607878596</v>
      </c>
      <c r="BK53" s="11">
        <f>1569.46620114535/(10^3)</f>
        <v>1.56946620114535</v>
      </c>
      <c r="BL53" s="11">
        <f>1619.23915793293/(10^3)</f>
        <v>1.6192391579329302</v>
      </c>
      <c r="BM53" s="11">
        <v>1.6401681577800111</v>
      </c>
      <c r="BN53" s="11">
        <f>1715.15846333245/(10^3)</f>
        <v>1.7151584633324501</v>
      </c>
      <c r="BO53" s="11">
        <f>1660.67684792745/(10^3)</f>
        <v>1.6606768479274499</v>
      </c>
      <c r="BP53" s="11">
        <f>1609.87612409929/(10^3)</f>
        <v>1.60987612409929</v>
      </c>
      <c r="BQ53" s="11">
        <f>1599.25795854645/(10^3)</f>
        <v>1.5992579585464499</v>
      </c>
      <c r="BR53" s="11">
        <f>1610.90645979715/(10^3)</f>
        <v>1.6109064597971501</v>
      </c>
      <c r="BS53" s="11">
        <v>1.6501005245518134</v>
      </c>
      <c r="BT53" s="11">
        <f>1629.24272303941/(10^3)</f>
        <v>1.62924272303941</v>
      </c>
      <c r="BU53" s="11">
        <f>1673.43729079201/(10^3)</f>
        <v>1.6734372907920099</v>
      </c>
      <c r="BV53" s="11">
        <f>1750.34976686813/(10^3)</f>
        <v>1.75034976686813</v>
      </c>
      <c r="BW53" s="11">
        <f>1819.24947146177/(10^3)</f>
        <v>1.8192494714617702</v>
      </c>
      <c r="BX53" s="11">
        <f>1836.91290054814/(10^3)</f>
        <v>1.8369129005481399</v>
      </c>
      <c r="BY53" s="11">
        <v>1.9403658834520285</v>
      </c>
      <c r="BZ53" s="11">
        <f>1940.36588345203/(10^3)</f>
        <v>1.9403658834520299</v>
      </c>
      <c r="CA53" s="11">
        <f>1805.00066391481/(10^3)</f>
        <v>1.80500066391481</v>
      </c>
      <c r="CB53" s="11">
        <f>1785.13006695511/(10^3)</f>
        <v>1.78513006695511</v>
      </c>
      <c r="CC53" s="12"/>
      <c r="DD53" s="11"/>
      <c r="DE53" s="11"/>
      <c r="DF53" s="11"/>
    </row>
    <row r="54" spans="4:110" x14ac:dyDescent="0.25">
      <c r="D54" s="13" t="s">
        <v>38</v>
      </c>
      <c r="E54" s="13" t="s">
        <v>37</v>
      </c>
      <c r="F54" s="10" t="s">
        <v>149</v>
      </c>
      <c r="G54" s="13"/>
      <c r="H54" s="67" t="str">
        <f>CONCATENATE(D54," ",G54)</f>
        <v xml:space="preserve">Jefferson City 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>
        <f>450.741511516152/(10^3)</f>
        <v>0.45074151151615199</v>
      </c>
      <c r="BY54" s="11">
        <v>0.47411415189249051</v>
      </c>
      <c r="BZ54" s="11">
        <f>474.11415189249/(10^3)</f>
        <v>0.47411415189249001</v>
      </c>
      <c r="CA54" s="11">
        <f>443.911007775644/(10^3)</f>
        <v>0.44391100777564402</v>
      </c>
      <c r="CB54" s="11">
        <f>427.034821437318/(10^3)</f>
        <v>0.42703482143731797</v>
      </c>
      <c r="CC54" s="12"/>
      <c r="DD54" s="11"/>
      <c r="DE54" s="11"/>
      <c r="DF54" s="11"/>
    </row>
    <row r="55" spans="4:110" x14ac:dyDescent="0.25">
      <c r="D55" s="13" t="s">
        <v>39</v>
      </c>
      <c r="E55" s="13" t="s">
        <v>37</v>
      </c>
      <c r="F55" s="10" t="s">
        <v>149</v>
      </c>
      <c r="G55" s="13"/>
      <c r="H55" s="67" t="str">
        <f>CONCATENATE(D55," ",G55)</f>
        <v xml:space="preserve">Kansas City </v>
      </c>
      <c r="I55" s="11">
        <f>911/(10^3)</f>
        <v>0.91100000000000003</v>
      </c>
      <c r="J55" s="11">
        <f>929.784645346033/(10^3)</f>
        <v>0.929784645346033</v>
      </c>
      <c r="K55" s="11">
        <v>0.95113704761757623</v>
      </c>
      <c r="L55" s="11">
        <f>926.444709070321/(10^3)</f>
        <v>0.92644470907032095</v>
      </c>
      <c r="M55" s="11">
        <f>931.576202103939/(10^3)</f>
        <v>0.93157620210393899</v>
      </c>
      <c r="N55" s="11">
        <f>903.836242676838/(10^3)</f>
        <v>0.90383624267683793</v>
      </c>
      <c r="O55" s="11">
        <f>890.037959843588/(10^3)</f>
        <v>0.89003795984358802</v>
      </c>
      <c r="P55" s="11">
        <f>909.039495794454/(10^3)</f>
        <v>0.90903949579445398</v>
      </c>
      <c r="Q55" s="11">
        <v>0.91519511945710297</v>
      </c>
      <c r="R55" s="11">
        <f>918.699738923377/(10^3)</f>
        <v>0.91869973892337697</v>
      </c>
      <c r="S55" s="11">
        <f>934.366205101884/(10^3)</f>
        <v>0.93436620510188406</v>
      </c>
      <c r="T55" s="11">
        <f>971.973984547436/(10^3)</f>
        <v>0.971973984547436</v>
      </c>
      <c r="U55" s="11">
        <f>976.789801166597/(10^3)</f>
        <v>0.97678980116659708</v>
      </c>
      <c r="V55" s="11">
        <f>951.32719467794/(10^3)</f>
        <v>0.95132719467794002</v>
      </c>
      <c r="W55" s="11">
        <v>0.97225001389090149</v>
      </c>
      <c r="X55" s="11">
        <f>1006.68821014699/(10^3)</f>
        <v>1.0066882101469898</v>
      </c>
      <c r="Y55" s="11">
        <f>1003.35941708334/(10^3)</f>
        <v>1.00335941708334</v>
      </c>
      <c r="Z55" s="11">
        <f>1082.27336765002/(10^3)</f>
        <v>1.08227336765002</v>
      </c>
      <c r="AA55" s="11">
        <f>1105.97527357028/(10^3)</f>
        <v>1.1059752735702799</v>
      </c>
      <c r="AB55" s="11">
        <f>1120.71288576052/(10^3)</f>
        <v>1.12071288576052</v>
      </c>
      <c r="AC55" s="11">
        <v>1.1615255106430487</v>
      </c>
      <c r="AD55" s="11">
        <f>1186.96203145137/(10^3)</f>
        <v>1.18696203145137</v>
      </c>
      <c r="AE55" s="11">
        <f>1157.76316083901/(10^3)</f>
        <v>1.15776316083901</v>
      </c>
      <c r="AF55" s="11">
        <f>1122.65447648807/(10^3)</f>
        <v>1.1226544764880699</v>
      </c>
      <c r="AG55" s="11">
        <f>1098.37325172022/(10^3)</f>
        <v>1.09837325172022</v>
      </c>
      <c r="AH55" s="11">
        <f>1089.1078365202/(10^3)</f>
        <v>1.0891078365202</v>
      </c>
      <c r="AI55" s="11">
        <v>1.1229636330259209</v>
      </c>
      <c r="AJ55" s="11">
        <f>1135.14433789477/(10^3)</f>
        <v>1.1351443378947699</v>
      </c>
      <c r="AK55" s="11">
        <f>1150.78982562766/(10^3)</f>
        <v>1.1507898256276601</v>
      </c>
      <c r="AL55" s="11">
        <f>1212.76365942874/(10^3)</f>
        <v>1.2127636594287401</v>
      </c>
      <c r="AM55" s="11">
        <f>1231.90624776259/(10^3)</f>
        <v>1.2319062477625899</v>
      </c>
      <c r="AN55" s="11">
        <f>1245.1167844782/(10^3)</f>
        <v>1.2451167844782001</v>
      </c>
      <c r="AO55" s="11">
        <v>1.2637350779031962</v>
      </c>
      <c r="AP55" s="11">
        <f>1323.81139204964/(10^3)</f>
        <v>1.3238113920496402</v>
      </c>
      <c r="AQ55" s="11">
        <f>1307.72390143189/(10^3)</f>
        <v>1.30772390143189</v>
      </c>
      <c r="AR55" s="11">
        <f>1285.39433085101/(10^3)</f>
        <v>1.2853943308510098</v>
      </c>
      <c r="AS55" s="11">
        <f>1281.93434602376/(10^3)</f>
        <v>1.28193434602376</v>
      </c>
      <c r="AT55" s="11">
        <f>1320.59885677334/(10^3)</f>
        <v>1.32059885677334</v>
      </c>
      <c r="AU55" s="11">
        <v>1.3038786341836373</v>
      </c>
      <c r="AV55" s="11">
        <f>1325.31983969276/(10^3)</f>
        <v>1.3253198396927601</v>
      </c>
      <c r="AW55" s="11">
        <f>1386.99497747716/(10^3)</f>
        <v>1.3869949774771602</v>
      </c>
      <c r="AX55" s="11">
        <f>1439.03771561094/(10^3)</f>
        <v>1.43903771561094</v>
      </c>
      <c r="AY55" s="11">
        <f>1445.0392583072/(10^3)</f>
        <v>1.4450392583072</v>
      </c>
      <c r="AZ55" s="11">
        <f>1472.45643944109/(10^3)</f>
        <v>1.4724564394410899</v>
      </c>
      <c r="BA55" s="11">
        <v>1.5382076646589944</v>
      </c>
      <c r="BB55" s="11">
        <f>1528.76266541697/(10^3)</f>
        <v>1.5287626654169701</v>
      </c>
      <c r="BC55" s="11">
        <f>1394.62109777693/(10^3)</f>
        <v>1.39462109777693</v>
      </c>
      <c r="BD55" s="11">
        <f>1352.76612163299/(10^3)</f>
        <v>1.35276612163299</v>
      </c>
      <c r="BE55" s="11">
        <f>1318.91355525399/(10^3)</f>
        <v>1.3189135552539899</v>
      </c>
      <c r="BF55" s="11">
        <f>1315.61427933412/(10^3)</f>
        <v>1.3156142793341201</v>
      </c>
      <c r="BG55" s="11">
        <v>1.2803825761384939</v>
      </c>
      <c r="BH55" s="11">
        <f>1266.77043713186/(10^3)</f>
        <v>1.26677043713186</v>
      </c>
      <c r="BI55" s="11">
        <f>1246.78172957185/(10^3)</f>
        <v>1.24678172957185</v>
      </c>
      <c r="BJ55" s="11">
        <f>1352.64000520281/(10^3)</f>
        <v>1.35264000520281</v>
      </c>
      <c r="BK55" s="11">
        <f>1376.00135796605/(10^3)</f>
        <v>1.3760013579660499</v>
      </c>
      <c r="BL55" s="11">
        <f>1389.41680615711/(10^3)</f>
        <v>1.3894168061571099</v>
      </c>
      <c r="BM55" s="11">
        <v>1.424006666060339</v>
      </c>
      <c r="BN55" s="11">
        <f>1457.44559430998/(10^3)</f>
        <v>1.45744559430998</v>
      </c>
      <c r="BO55" s="11">
        <f>1401.86330211573/(10^3)</f>
        <v>1.4018633021157301</v>
      </c>
      <c r="BP55" s="11">
        <f>1332.20628033867/(10^3)</f>
        <v>1.3322062803386701</v>
      </c>
      <c r="BQ55" s="11">
        <f>1312.34024665061/(10^3)</f>
        <v>1.31234024665061</v>
      </c>
      <c r="BR55" s="11">
        <f>1289.5412112505/(10^3)</f>
        <v>1.2895412112505</v>
      </c>
      <c r="BS55" s="11">
        <v>1.2744158588627932</v>
      </c>
      <c r="BT55" s="11">
        <f>1247.13392967625/(10^3)</f>
        <v>1.24713392967625</v>
      </c>
      <c r="BU55" s="11">
        <f>1270.60820371558/(10^3)</f>
        <v>1.2706082037155799</v>
      </c>
      <c r="BV55" s="11">
        <f>1295.7112189662/(10^3)</f>
        <v>1.2957112189662001</v>
      </c>
      <c r="BW55" s="11">
        <f>1332.50543393895/(10^3)</f>
        <v>1.3325054339389502</v>
      </c>
      <c r="BX55" s="11">
        <f>1369.96736250334/(10^3)</f>
        <v>1.3699673625033399</v>
      </c>
      <c r="BY55" s="11">
        <v>1.3511887726904321</v>
      </c>
      <c r="BZ55" s="11">
        <f>1351.18877269043/(10^3)</f>
        <v>1.3511887726904299</v>
      </c>
      <c r="CA55" s="11">
        <f>1274.75644088493/(10^3)</f>
        <v>1.2747564408849301</v>
      </c>
      <c r="CB55" s="11">
        <f>1246.7511109937/(10^3)</f>
        <v>1.2467511109937</v>
      </c>
      <c r="CC55" s="12"/>
      <c r="DD55" s="11"/>
      <c r="DE55" s="11"/>
      <c r="DF55" s="11"/>
    </row>
    <row r="56" spans="4:110" x14ac:dyDescent="0.25">
      <c r="D56" s="13" t="s">
        <v>40</v>
      </c>
      <c r="E56" s="13" t="s">
        <v>25</v>
      </c>
      <c r="F56" s="10" t="s">
        <v>149</v>
      </c>
      <c r="G56" s="13"/>
      <c r="H56" s="67" t="str">
        <f>CONCATENATE(D56," ",G56)</f>
        <v xml:space="preserve">Lansing </v>
      </c>
      <c r="I56" s="11">
        <f>1558/(10^3)</f>
        <v>1.5580000000000001</v>
      </c>
      <c r="J56" s="11">
        <f>1567.48190831713/(10^3)</f>
        <v>1.5674819083171301</v>
      </c>
      <c r="K56" s="11">
        <v>1.6318748884689582</v>
      </c>
      <c r="L56" s="11">
        <f>1699.13371083739/(10^3)</f>
        <v>1.6991337108373901</v>
      </c>
      <c r="M56" s="11">
        <f>1651.72489868738/(10^3)</f>
        <v>1.6517248986873798</v>
      </c>
      <c r="N56" s="11">
        <f>1652.19855927112/(10^3)</f>
        <v>1.6521985592711201</v>
      </c>
      <c r="O56" s="11">
        <f>1691.80561325708/(10^3)</f>
        <v>1.69180561325708</v>
      </c>
      <c r="P56" s="11">
        <f>1774.38200205163/(10^3)</f>
        <v>1.7743820020516301</v>
      </c>
      <c r="Q56" s="11">
        <v>1.8220306753705036</v>
      </c>
      <c r="R56" s="11">
        <f>1813.44296929975/(10^3)</f>
        <v>1.81344296929975</v>
      </c>
      <c r="S56" s="11">
        <f>1853.33722507494/(10^3)</f>
        <v>1.85333722507494</v>
      </c>
      <c r="T56" s="11">
        <f>1860.21985645612/(10^3)</f>
        <v>1.8602198564561199</v>
      </c>
      <c r="U56" s="11">
        <f>1831.86554747474/(10^3)</f>
        <v>1.8318655474747401</v>
      </c>
      <c r="V56" s="11">
        <f>1868.83956344532/(10^3)</f>
        <v>1.8688395634453199</v>
      </c>
      <c r="W56" s="11">
        <v>1.9213051860044967</v>
      </c>
      <c r="X56" s="11">
        <f>1913.15811275904/(10^3)</f>
        <v>1.91315811275904</v>
      </c>
      <c r="Y56" s="11">
        <f>1959.59804170611/(10^3)</f>
        <v>1.9595980417061101</v>
      </c>
      <c r="Z56" s="11">
        <f>2063.24908892692/(10^3)</f>
        <v>2.0632490889269204</v>
      </c>
      <c r="AA56" s="11">
        <f>2102.86322908892/(10^3)</f>
        <v>2.10286322908892</v>
      </c>
      <c r="AB56" s="11">
        <f>2155.89962383059/(10^3)</f>
        <v>2.1558996238305901</v>
      </c>
      <c r="AC56" s="11">
        <v>2.2234566325993494</v>
      </c>
      <c r="AD56" s="11">
        <f>2196.57690871824/(10^3)</f>
        <v>2.1965769087182396</v>
      </c>
      <c r="AE56" s="11">
        <f>2191.52081053808/(10^3)</f>
        <v>2.1915208105380799</v>
      </c>
      <c r="AF56" s="11">
        <f>2168.76751981504/(10^3)</f>
        <v>2.1687675198150402</v>
      </c>
      <c r="AG56" s="11">
        <f>2117.79715565188/(10^3)</f>
        <v>2.1177971556518802</v>
      </c>
      <c r="AH56" s="11">
        <f>2177.90867845956/(10^3)</f>
        <v>2.17790867845956</v>
      </c>
      <c r="AI56" s="11">
        <v>2.2103328515857794</v>
      </c>
      <c r="AJ56" s="11">
        <f>2195.3202589768/(10^3)</f>
        <v>2.1953202589767997</v>
      </c>
      <c r="AK56" s="11">
        <f>2206.46441409035/(10^3)</f>
        <v>2.20646441409035</v>
      </c>
      <c r="AL56" s="11">
        <f>2316.10455536921/(10^3)</f>
        <v>2.3161045553692103</v>
      </c>
      <c r="AM56" s="11">
        <f>2363.14520687273/(10^3)</f>
        <v>2.3631452068727299</v>
      </c>
      <c r="AN56" s="11">
        <f>2424.84564326821/(10^3)</f>
        <v>2.4248456432682102</v>
      </c>
      <c r="AO56" s="11">
        <v>2.5460580455211281</v>
      </c>
      <c r="AP56" s="11">
        <f>2553.2746867463/(10^3)</f>
        <v>2.5532746867463003</v>
      </c>
      <c r="AQ56" s="11">
        <f>2482.67905710932/(10^3)</f>
        <v>2.48267905710932</v>
      </c>
      <c r="AR56" s="11">
        <f>2475.64824601126/(10^3)</f>
        <v>2.4756482460112603</v>
      </c>
      <c r="AS56" s="11">
        <f>2474.25707667216/(10^3)</f>
        <v>2.4742570766721603</v>
      </c>
      <c r="AT56" s="11">
        <f>2585.17995541829/(10^3)</f>
        <v>2.5851799554182899</v>
      </c>
      <c r="AU56" s="11">
        <v>2.5297969565829215</v>
      </c>
      <c r="AV56" s="11">
        <f>2546.45856592832/(10^3)</f>
        <v>2.5464585659283197</v>
      </c>
      <c r="AW56" s="11">
        <f>2479.57012964535/(10^3)</f>
        <v>2.4795701296453498</v>
      </c>
      <c r="AX56" s="11">
        <f>2526.71430734478/(10^3)</f>
        <v>2.52671430734478</v>
      </c>
      <c r="AY56" s="11">
        <f>2581.03256545888/(10^3)</f>
        <v>2.5810325654588802</v>
      </c>
      <c r="AZ56" s="11">
        <f>2550.1071633751/(10^3)</f>
        <v>2.5501071633750998</v>
      </c>
      <c r="BA56" s="11">
        <v>2.5939477726930411</v>
      </c>
      <c r="BB56" s="11">
        <f>2709.1970783145/(10^3)</f>
        <v>2.7091970783144999</v>
      </c>
      <c r="BC56" s="11">
        <f>2637.40808092003/(10^3)</f>
        <v>2.63740808092003</v>
      </c>
      <c r="BD56" s="11">
        <f>2612.29023006534/(10^3)</f>
        <v>2.6122902300653399</v>
      </c>
      <c r="BE56" s="11">
        <f>2588.08670152117/(10^3)</f>
        <v>2.5880867015211702</v>
      </c>
      <c r="BF56" s="11">
        <f>2647.18848737259/(10^3)</f>
        <v>2.6471884873725897</v>
      </c>
      <c r="BG56" s="11">
        <v>2.7265878201312881</v>
      </c>
      <c r="BH56" s="11">
        <f>2712.6675206292/(10^3)</f>
        <v>2.7126675206292004</v>
      </c>
      <c r="BI56" s="11">
        <f>2756.78791344805/(10^3)</f>
        <v>2.7567879134480497</v>
      </c>
      <c r="BJ56" s="11">
        <f>2764.94153505839/(10^3)</f>
        <v>2.7649415350583899</v>
      </c>
      <c r="BK56" s="11">
        <f>2846.48100357834/(10^3)</f>
        <v>2.8464810035783397</v>
      </c>
      <c r="BL56" s="11">
        <f>2902.13180321441/(10^3)</f>
        <v>2.9021318032144099</v>
      </c>
      <c r="BM56" s="11">
        <v>2.9359372949616866</v>
      </c>
      <c r="BN56" s="11">
        <f>3048.25193153766/(10^3)</f>
        <v>3.0482519315376599</v>
      </c>
      <c r="BO56" s="11">
        <f>2928.82921546485/(10^3)</f>
        <v>2.9288292154648503</v>
      </c>
      <c r="BP56" s="11">
        <f>2916.2616112611/(10^3)</f>
        <v>2.9162616112611</v>
      </c>
      <c r="BQ56" s="11">
        <f>2849.12196621876/(10^3)</f>
        <v>2.8491219662187599</v>
      </c>
      <c r="BR56" s="11">
        <f>2917.81454087546/(10^3)</f>
        <v>2.9178145408754599</v>
      </c>
      <c r="BS56" s="11">
        <v>3.0255493912984406</v>
      </c>
      <c r="BT56" s="11">
        <f>3176.05706518595/(10^3)</f>
        <v>3.1760570651859497</v>
      </c>
      <c r="BU56" s="11">
        <f>3152.71559502037/(10^3)</f>
        <v>3.15271559502037</v>
      </c>
      <c r="BV56" s="11">
        <f>3432.96979899864/(10^3)</f>
        <v>3.4329697989986396</v>
      </c>
      <c r="BW56" s="11">
        <f>3468.96338417003/(10^3)</f>
        <v>3.46896338417003</v>
      </c>
      <c r="BX56" s="11">
        <f>3567.55930320539/(10^3)</f>
        <v>3.5675593032053898</v>
      </c>
      <c r="BY56" s="11">
        <v>3.6413688041781986</v>
      </c>
      <c r="BZ56" s="11">
        <f>3641.3688041782/(10^3)</f>
        <v>3.6413688041782004</v>
      </c>
      <c r="CA56" s="11">
        <f>3498.08945655543/(10^3)</f>
        <v>3.4980894565554301</v>
      </c>
      <c r="CB56" s="11">
        <f>3369.19807707513/(10^3)</f>
        <v>3.3691980770751302</v>
      </c>
      <c r="CC56" s="12"/>
      <c r="DD56" s="11"/>
      <c r="DE56" s="11"/>
      <c r="DF56" s="11"/>
    </row>
    <row r="57" spans="4:110" x14ac:dyDescent="0.25">
      <c r="D57" s="13" t="s">
        <v>42</v>
      </c>
      <c r="E57" s="13" t="s">
        <v>41</v>
      </c>
      <c r="F57" s="10" t="s">
        <v>149</v>
      </c>
      <c r="G57" s="13"/>
      <c r="H57" s="67" t="str">
        <f>CONCATENATE(D57," ",G57)</f>
        <v xml:space="preserve">Lincoln </v>
      </c>
      <c r="I57" s="11">
        <f>1181/(10^3)</f>
        <v>1.181</v>
      </c>
      <c r="J57" s="11">
        <f>1219.9612082293/(10^3)</f>
        <v>1.2199612082292999</v>
      </c>
      <c r="K57" s="11">
        <v>1.2652557361784278</v>
      </c>
      <c r="L57" s="11">
        <f>1296.37098004101/(10^3)</f>
        <v>1.2963709800410099</v>
      </c>
      <c r="M57" s="11">
        <f>1334.9869345619/(10^3)</f>
        <v>1.3349869345618999</v>
      </c>
      <c r="N57" s="11">
        <f>1433.25715559824/(10^3)</f>
        <v>1.4332571555982399</v>
      </c>
      <c r="O57" s="11">
        <f>1436.80677205082/(10^3)</f>
        <v>1.43680677205082</v>
      </c>
      <c r="P57" s="11">
        <f>1439.35038815341/(10^3)</f>
        <v>1.43935038815341</v>
      </c>
      <c r="Q57" s="11">
        <v>1.5048819724865885</v>
      </c>
      <c r="R57" s="11">
        <f>1564.62919541033/(10^3)</f>
        <v>1.5646291954103302</v>
      </c>
      <c r="S57" s="11">
        <f>1534.97458788938/(10^3)</f>
        <v>1.5349745878893801</v>
      </c>
      <c r="T57" s="11">
        <f>1526.44211000183/(10^3)</f>
        <v>1.5264421100018302</v>
      </c>
      <c r="U57" s="11">
        <f>1512.97278046032/(10^3)</f>
        <v>1.5129727804603201</v>
      </c>
      <c r="V57" s="11">
        <f>1575.54921198724/(10^3)</f>
        <v>1.5755492119872399</v>
      </c>
      <c r="W57" s="11">
        <v>1.6288232254687378</v>
      </c>
      <c r="X57" s="11">
        <f>1703.96474298919/(10^3)</f>
        <v>1.70396474298919</v>
      </c>
      <c r="Y57" s="11">
        <f>1688.02104958428/(10^3)</f>
        <v>1.68802104958428</v>
      </c>
      <c r="Z57" s="11">
        <f>1831.39648477847/(10^3)</f>
        <v>1.8313964847784701</v>
      </c>
      <c r="AA57" s="11">
        <f>1882.54065421586/(10^3)</f>
        <v>1.88254065421586</v>
      </c>
      <c r="AB57" s="11">
        <f>1943.92907943389/(10^3)</f>
        <v>1.9439290794338899</v>
      </c>
      <c r="AC57" s="11">
        <v>1.9668255922336393</v>
      </c>
      <c r="AD57" s="11">
        <f>1970.23200209253/(10^3)</f>
        <v>1.9702320020925299</v>
      </c>
      <c r="AE57" s="11">
        <f>1948.25802570935/(10^3)</f>
        <v>1.94825802570935</v>
      </c>
      <c r="AF57" s="11">
        <f>1896.66665162838/(10^3)</f>
        <v>1.8966666516283799</v>
      </c>
      <c r="AG57" s="11">
        <f>1879.1502413922/(10^3)</f>
        <v>1.8791502413922001</v>
      </c>
      <c r="AH57" s="11">
        <f>1874.91767843922/(10^3)</f>
        <v>1.8749176784392201</v>
      </c>
      <c r="AI57" s="11">
        <v>1.9166039368958481</v>
      </c>
      <c r="AJ57" s="11">
        <f>1945.31041778872/(10^3)</f>
        <v>1.9453104177887202</v>
      </c>
      <c r="AK57" s="11">
        <f>2017.61528621659/(10^3)</f>
        <v>2.0176152862165901</v>
      </c>
      <c r="AL57" s="11">
        <f>2065.75503869047/(10^3)</f>
        <v>2.0657550386904702</v>
      </c>
      <c r="AM57" s="11">
        <f>2151.76510836016/(10^3)</f>
        <v>2.1517651083601601</v>
      </c>
      <c r="AN57" s="11">
        <f>2162.87328938766/(10^3)</f>
        <v>2.1628732893876599</v>
      </c>
      <c r="AO57" s="11">
        <v>2.1693188047138463</v>
      </c>
      <c r="AP57" s="11">
        <f>2180.48945711257/(10^3)</f>
        <v>2.1804894571125701</v>
      </c>
      <c r="AQ57" s="11">
        <f>2044.93522264268/(10^3)</f>
        <v>2.04493522264268</v>
      </c>
      <c r="AR57" s="11">
        <f>1989.88182665091/(10^3)</f>
        <v>1.98988182665091</v>
      </c>
      <c r="AS57" s="11">
        <f>1983.90284503599/(10^3)</f>
        <v>1.9839028450359899</v>
      </c>
      <c r="AT57" s="11">
        <f>2024.91005495767/(10^3)</f>
        <v>2.0249100549576697</v>
      </c>
      <c r="AU57" s="11">
        <v>2.1002635080714809</v>
      </c>
      <c r="AV57" s="11">
        <f>2195.82157027198/(10^3)</f>
        <v>2.1958215702719799</v>
      </c>
      <c r="AW57" s="11">
        <f>2273.62927946569/(10^3)</f>
        <v>2.2736292794656903</v>
      </c>
      <c r="AX57" s="11">
        <f>2219.26708820641/(10^3)</f>
        <v>2.2192670882064101</v>
      </c>
      <c r="AY57" s="11">
        <f>2264.34071648879/(10^3)</f>
        <v>2.2643407164887899</v>
      </c>
      <c r="AZ57" s="11">
        <f>2371.22645302901/(10^3)</f>
        <v>2.3712264530290099</v>
      </c>
      <c r="BA57" s="11">
        <v>2.4723908799504235</v>
      </c>
      <c r="BB57" s="11">
        <f>2527.30472184413/(10^3)</f>
        <v>2.5273047218441302</v>
      </c>
      <c r="BC57" s="11">
        <f>2461.05954104078/(10^3)</f>
        <v>2.4610595410407798</v>
      </c>
      <c r="BD57" s="11">
        <f>2457.53351839774/(10^3)</f>
        <v>2.45753351839774</v>
      </c>
      <c r="BE57" s="11">
        <f>2455.10163656615/(10^3)</f>
        <v>2.45510163656615</v>
      </c>
      <c r="BF57" s="11">
        <f>2385.33029700062/(10^3)</f>
        <v>2.3853302970006198</v>
      </c>
      <c r="BG57" s="11">
        <v>2.4689161413142027</v>
      </c>
      <c r="BH57" s="11">
        <f>2401.84023087682/(10^3)</f>
        <v>2.4018402308768199</v>
      </c>
      <c r="BI57" s="11">
        <f>2340.82955886815/(10^3)</f>
        <v>2.3408295588681498</v>
      </c>
      <c r="BJ57" s="11">
        <f>2383.25353739777/(10^3)</f>
        <v>2.3832535373977697</v>
      </c>
      <c r="BK57" s="11">
        <f>2463.22951869769/(10^3)</f>
        <v>2.4632295186976898</v>
      </c>
      <c r="BL57" s="11">
        <f>2494.08895872757/(10^3)</f>
        <v>2.4940889587275703</v>
      </c>
      <c r="BM57" s="11">
        <v>2.5424326586925154</v>
      </c>
      <c r="BN57" s="11">
        <f>2601.89279011451/(10^3)</f>
        <v>2.6018927901145097</v>
      </c>
      <c r="BO57" s="11">
        <f>2579.08582691684/(10^3)</f>
        <v>2.57908582691684</v>
      </c>
      <c r="BP57" s="11">
        <f>2534.19965599869/(10^3)</f>
        <v>2.5341996559986901</v>
      </c>
      <c r="BQ57" s="11">
        <f>2481.91453767161/(10^3)</f>
        <v>2.4819145376716101</v>
      </c>
      <c r="BR57" s="11">
        <f>2588.89440751928/(10^3)</f>
        <v>2.5888944075192799</v>
      </c>
      <c r="BS57" s="11">
        <v>2.7155912291691666</v>
      </c>
      <c r="BT57" s="11">
        <f>2800.43868153584/(10^3)</f>
        <v>2.80043868153584</v>
      </c>
      <c r="BU57" s="11">
        <f>2786.34996847675/(10^3)</f>
        <v>2.7863499684767499</v>
      </c>
      <c r="BV57" s="11">
        <f>3053.61237530859/(10^3)</f>
        <v>3.0536123753085898</v>
      </c>
      <c r="BW57" s="11">
        <f>3116.09823804558/(10^3)</f>
        <v>3.1160982380455797</v>
      </c>
      <c r="BX57" s="11">
        <f>3244.26162722819/(10^3)</f>
        <v>3.2442616272281897</v>
      </c>
      <c r="BY57" s="11">
        <v>3.3318892817023578</v>
      </c>
      <c r="BZ57" s="11">
        <f>3331.88928170236/(10^3)</f>
        <v>3.3318892817023604</v>
      </c>
      <c r="CA57" s="11">
        <f>3181.57483834771/(10^3)</f>
        <v>3.1815748383477098</v>
      </c>
      <c r="CB57" s="11">
        <f>3049.16725278923/(10^3)</f>
        <v>3.0491672527892302</v>
      </c>
      <c r="CC57" s="12"/>
      <c r="DD57" s="11"/>
      <c r="DE57" s="11"/>
      <c r="DF57" s="11"/>
    </row>
    <row r="58" spans="4:110" x14ac:dyDescent="0.25">
      <c r="D58" s="13" t="s">
        <v>44</v>
      </c>
      <c r="E58" s="13" t="s">
        <v>43</v>
      </c>
      <c r="F58" s="10" t="s">
        <v>150</v>
      </c>
      <c r="G58" s="13"/>
      <c r="H58" s="67" t="str">
        <f>CONCATENATE(D58," ",G58)</f>
        <v xml:space="preserve">Little Rock 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>
        <v>0.60692561412854285</v>
      </c>
      <c r="AP58" s="11">
        <f>595.023717521618/(10^3)</f>
        <v>0.59502371752161798</v>
      </c>
      <c r="AQ58" s="11">
        <f>588.157479126615/(10^3)</f>
        <v>0.58815747912661509</v>
      </c>
      <c r="AR58" s="11">
        <f>582.413926362717/(10^3)</f>
        <v>0.58241392636271705</v>
      </c>
      <c r="AS58" s="11">
        <f>571.365648868333/(10^3)</f>
        <v>0.57136564886833296</v>
      </c>
      <c r="AT58" s="11">
        <f>592.944835011345/(10^3)</f>
        <v>0.59294483501134509</v>
      </c>
      <c r="AU58" s="11">
        <v>0.58830930105629198</v>
      </c>
      <c r="AV58" s="11">
        <f>608.770903326213/(10^3)</f>
        <v>0.60877090332621298</v>
      </c>
      <c r="AW58" s="11">
        <f>631.074307762379/(10^3)</f>
        <v>0.63107430776237905</v>
      </c>
      <c r="AX58" s="11">
        <f>660.993747623399/(10^3)</f>
        <v>0.66099374762339902</v>
      </c>
      <c r="AY58" s="11">
        <f>692.069815796519/(10^3)</f>
        <v>0.69206981579651905</v>
      </c>
      <c r="AZ58" s="11">
        <f>723.3055774514/(10^3)</f>
        <v>0.72330557745140001</v>
      </c>
      <c r="BA58" s="11">
        <v>0.75466637963799743</v>
      </c>
      <c r="BB58" s="11">
        <f>765.021123472797/(10^3)</f>
        <v>0.76502112347279694</v>
      </c>
      <c r="BC58" s="11">
        <f>741.095207443444/(10^3)</f>
        <v>0.74109520744344404</v>
      </c>
      <c r="BD58" s="11">
        <f>729.767648784953/(10^3)</f>
        <v>0.72976764878495304</v>
      </c>
      <c r="BE58" s="11">
        <f>708.104160112155/(10^3)</f>
        <v>0.70810416011215505</v>
      </c>
      <c r="BF58" s="11">
        <f>728.14775061401/(10^3)</f>
        <v>0.72814775061400994</v>
      </c>
      <c r="BG58" s="11">
        <v>0.71955631290929334</v>
      </c>
      <c r="BH58" s="11">
        <f>706.843336571324/(10^3)</f>
        <v>0.70684333657132403</v>
      </c>
      <c r="BI58" s="11">
        <f>722.756057929155/(10^3)</f>
        <v>0.72275605792915498</v>
      </c>
      <c r="BJ58" s="11">
        <f>778.71299604048/(10^3)</f>
        <v>0.77871299604047994</v>
      </c>
      <c r="BK58" s="11">
        <f>793.347714231594/(10^3)</f>
        <v>0.793347714231594</v>
      </c>
      <c r="BL58" s="11">
        <f>824.452557178158/(10^3)</f>
        <v>0.82445255717815802</v>
      </c>
      <c r="BM58" s="11">
        <v>0.86313772121550791</v>
      </c>
      <c r="BN58" s="11">
        <f>860.808410650113/(10^3)</f>
        <v>0.86080841065011304</v>
      </c>
      <c r="BO58" s="11">
        <f>834.078165936406/(10^3)</f>
        <v>0.83407816593640594</v>
      </c>
      <c r="BP58" s="11">
        <f>821.907932667434/(10^3)</f>
        <v>0.821907932667434</v>
      </c>
      <c r="BQ58" s="11">
        <f>817.560589513018/(10^3)</f>
        <v>0.81756058951301802</v>
      </c>
      <c r="BR58" s="11">
        <f>824.612863633688/(10^3)</f>
        <v>0.82461286363368802</v>
      </c>
      <c r="BS58" s="11">
        <v>0.83343328820773055</v>
      </c>
      <c r="BT58" s="11">
        <f>872.423584317973/(10^3)</f>
        <v>0.87242358431797296</v>
      </c>
      <c r="BU58" s="11">
        <f>883.819739395926/(10^3)</f>
        <v>0.88381973939592606</v>
      </c>
      <c r="BV58" s="11">
        <f>892.030423249733/(10^3)</f>
        <v>0.89203042324973292</v>
      </c>
      <c r="BW58" s="11">
        <f>927.610786351593/(10^3)</f>
        <v>0.927610786351593</v>
      </c>
      <c r="BX58" s="11">
        <f>966.500737231453/(10^3)</f>
        <v>0.96650073723145291</v>
      </c>
      <c r="BY58" s="11">
        <v>0.97198271530185287</v>
      </c>
      <c r="BZ58" s="11">
        <f>971.982715301853/(10^3)</f>
        <v>0.97198271530185298</v>
      </c>
      <c r="CA58" s="11">
        <f>932.946949872182/(10^3)</f>
        <v>0.93294694987218196</v>
      </c>
      <c r="CB58" s="11">
        <f>899.474936983496/(10^3)</f>
        <v>0.89947493698349601</v>
      </c>
      <c r="CC58" s="12"/>
      <c r="DD58" s="11"/>
      <c r="DE58" s="11"/>
      <c r="DF58" s="11"/>
    </row>
    <row r="59" spans="4:110" x14ac:dyDescent="0.25">
      <c r="D59" s="13" t="s">
        <v>45</v>
      </c>
      <c r="E59" s="13" t="s">
        <v>29</v>
      </c>
      <c r="F59" s="10" t="s">
        <v>150</v>
      </c>
      <c r="G59" s="13"/>
      <c r="H59" s="67" t="str">
        <f>CONCATENATE(D59," ",G59)</f>
        <v xml:space="preserve">Louisville 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>
        <v>0.34110777546820864</v>
      </c>
      <c r="BN59" s="11">
        <f>350.265662131415/(10^3)</f>
        <v>0.35026566213141502</v>
      </c>
      <c r="BO59" s="11">
        <f>341.091711226821/(10^3)</f>
        <v>0.34109171122682103</v>
      </c>
      <c r="BP59" s="11">
        <f>336.868149890462/(10^3)</f>
        <v>0.33686814989046199</v>
      </c>
      <c r="BQ59" s="11">
        <f>335.440685435904/(10^3)</f>
        <v>0.335440685435904</v>
      </c>
      <c r="BR59" s="11">
        <f>339.849559448996/(10^3)</f>
        <v>0.33984955944899597</v>
      </c>
      <c r="BS59" s="11">
        <v>0.34134004148955188</v>
      </c>
      <c r="BT59" s="11">
        <f>337.88782906651/(10^3)</f>
        <v>0.33788782906650999</v>
      </c>
      <c r="BU59" s="11">
        <f>331.042509103466/(10^3)</f>
        <v>0.331042509103466</v>
      </c>
      <c r="BV59" s="11">
        <f>341.968579416245/(10^3)</f>
        <v>0.34196857941624503</v>
      </c>
      <c r="BW59" s="11">
        <f>344.353062773497/(10^3)</f>
        <v>0.34435306277349703</v>
      </c>
      <c r="BX59" s="11">
        <f>350.819380792163/(10^3)</f>
        <v>0.35081938079216296</v>
      </c>
      <c r="BY59" s="11">
        <v>0.36796259091935074</v>
      </c>
      <c r="BZ59" s="11">
        <f>367.962590919351/(10^3)</f>
        <v>0.36796259091935096</v>
      </c>
      <c r="CA59" s="11">
        <f>337.216223400268/(10^3)</f>
        <v>0.33721622340026802</v>
      </c>
      <c r="CB59" s="11">
        <f>325.395293887091/(10^3)</f>
        <v>0.32539529388709099</v>
      </c>
      <c r="CC59" s="12"/>
      <c r="DD59" s="11"/>
      <c r="DE59" s="11"/>
      <c r="DF59" s="11"/>
    </row>
    <row r="60" spans="4:110" ht="15.6" x14ac:dyDescent="0.25">
      <c r="D60" s="10" t="s">
        <v>122</v>
      </c>
      <c r="E60" s="10" t="s">
        <v>46</v>
      </c>
      <c r="F60" s="10" t="s">
        <v>151</v>
      </c>
      <c r="G60" s="10" t="s">
        <v>182</v>
      </c>
      <c r="H60" s="67" t="str">
        <f>CONCATENATE(D60," ",G60)</f>
        <v>Phoenix (피합병)</v>
      </c>
      <c r="I60" s="11">
        <f>512294.481566779/(10^3)</f>
        <v>512.29448156677904</v>
      </c>
      <c r="J60" s="11">
        <f>525338.779381078/(10^3)</f>
        <v>525.33877938107798</v>
      </c>
      <c r="K60" s="11">
        <v>538.60864618030269</v>
      </c>
      <c r="L60" s="11">
        <f>548840.703029724/(10^3)</f>
        <v>548.84070302972395</v>
      </c>
      <c r="M60" s="11">
        <f>567377.419929799/(10^3)</f>
        <v>567.37741992979909</v>
      </c>
      <c r="N60" s="11">
        <f>575886.879368973/(10^3)</f>
        <v>575.88687936897293</v>
      </c>
      <c r="O60" s="11">
        <f>584786.052118326/(10^3)</f>
        <v>584.78605211832598</v>
      </c>
      <c r="P60" s="11">
        <f>600481.325671142/(10^3)</f>
        <v>600.48132567114192</v>
      </c>
      <c r="Q60" s="11">
        <v>591.53110379889506</v>
      </c>
      <c r="R60" s="11">
        <f>593568.357453959/(10^3)</f>
        <v>593.56835745395892</v>
      </c>
      <c r="S60" s="11">
        <f>605862.899879651/(10^3)</f>
        <v>605.86289987965108</v>
      </c>
      <c r="T60" s="11">
        <f>627748.220376435/(10^3)</f>
        <v>627.74822037643492</v>
      </c>
      <c r="U60" s="11">
        <f>625678.455275359/(10^3)</f>
        <v>625.67845527535894</v>
      </c>
      <c r="V60" s="11">
        <f>634778.722583857/(10^3)</f>
        <v>634.77872258385696</v>
      </c>
      <c r="W60" s="11">
        <v>634.69860705493716</v>
      </c>
      <c r="X60" s="11">
        <f>629442.552713533/(10^3)</f>
        <v>629.44255271353302</v>
      </c>
      <c r="Y60" s="11">
        <f>618424.722008356/(10^3)</f>
        <v>618.42472200835596</v>
      </c>
      <c r="Z60" s="11">
        <f>609186.950551396/(10^3)</f>
        <v>609.18695055139597</v>
      </c>
      <c r="AA60" s="11">
        <f>598057.277759166/(10^3)</f>
        <v>598.05727775916591</v>
      </c>
      <c r="AB60" s="11">
        <f>595575.497376776/(10^3)</f>
        <v>595.57549737677596</v>
      </c>
      <c r="AC60" s="11">
        <v>587.22103434644259</v>
      </c>
      <c r="AD60" s="11">
        <f>582264.259605432/(10^3)</f>
        <v>582.26425960543202</v>
      </c>
      <c r="AE60" s="11">
        <f>579215.651406762/(10^3)</f>
        <v>579.21565140676194</v>
      </c>
      <c r="AF60" s="11">
        <f>580315.777303619/(10^3)</f>
        <v>580.31577730361892</v>
      </c>
      <c r="AG60" s="11">
        <f>593397.204127564/(10^3)</f>
        <v>593.39720412756401</v>
      </c>
      <c r="AH60" s="11">
        <f>610080.265409318/(10^3)</f>
        <v>610.08026540931803</v>
      </c>
      <c r="AI60" s="11">
        <v>601.15056589097412</v>
      </c>
      <c r="AJ60" s="11">
        <f>618069.950158299/(10^3)</f>
        <v>618.06995015829898</v>
      </c>
      <c r="AK60" s="11">
        <f>615458.283695362/(10^3)</f>
        <v>615.45828369536207</v>
      </c>
      <c r="AL60" s="11">
        <f>611898.592573384/(10^3)</f>
        <v>611.89859257338401</v>
      </c>
      <c r="AM60" s="11">
        <f>602837.944185047/(10^3)</f>
        <v>602.83794418504692</v>
      </c>
      <c r="AN60" s="11">
        <f>623618.221741473/(10^3)</f>
        <v>623.61822174147301</v>
      </c>
      <c r="AO60" s="11">
        <v>616.11550708022889</v>
      </c>
      <c r="AP60" s="11">
        <f>606857.941486518/(10^3)</f>
        <v>606.85794148651803</v>
      </c>
      <c r="AQ60" s="11">
        <f>614596.683667922/(10^3)</f>
        <v>614.59668366792209</v>
      </c>
      <c r="AR60" s="11">
        <f>622896.9013813/(10^3)</f>
        <v>622.89690138129993</v>
      </c>
      <c r="AS60" s="11">
        <f>618134.164996131/(10^3)</f>
        <v>618.13416499613095</v>
      </c>
      <c r="AT60" s="11">
        <f>648760.523497411/(10^3)</f>
        <v>648.7605234974111</v>
      </c>
      <c r="AU60" s="11">
        <v>661.52167520974717</v>
      </c>
      <c r="AV60" s="11">
        <f>691687.521502737/(10^3)</f>
        <v>691.6875215027369</v>
      </c>
      <c r="AW60" s="11">
        <f>698177.002006642/(10^3)</f>
        <v>698.17700200664206</v>
      </c>
      <c r="AX60" s="11">
        <f>684330.579307668/(10^3)</f>
        <v>684.33057930766802</v>
      </c>
      <c r="AY60" s="11">
        <f>717035.438750396/(10^3)</f>
        <v>717.035438750396</v>
      </c>
      <c r="AZ60" s="11">
        <f>707972.587665097/(10^3)</f>
        <v>707.97258766509697</v>
      </c>
      <c r="BA60" s="11">
        <v>708.15283747072624</v>
      </c>
      <c r="BB60" s="11">
        <f>729148.394611536/(10^3)</f>
        <v>729.14839461153599</v>
      </c>
      <c r="BC60" s="11">
        <f>726386.480525838/(10^3)</f>
        <v>726.38648052583801</v>
      </c>
      <c r="BD60" s="11">
        <f>748247.534790323/(10^3)</f>
        <v>748.24753479032302</v>
      </c>
      <c r="BE60" s="11">
        <f>739872.129668938/(10^3)</f>
        <v>739.87212966893799</v>
      </c>
      <c r="BF60" s="11">
        <f>759617.487866993/(10^3)</f>
        <v>759.61748786699297</v>
      </c>
      <c r="BG60" s="11">
        <v>752.43173379942766</v>
      </c>
      <c r="BH60" s="11">
        <f>763635.469027227/(10^3)</f>
        <v>763.63546902722703</v>
      </c>
      <c r="BI60" s="11">
        <f>798465.300327952/(10^3)</f>
        <v>798.46530032795204</v>
      </c>
      <c r="BJ60" s="11">
        <f>811139.786171397/(10^3)</f>
        <v>811.13978617139696</v>
      </c>
      <c r="BK60" s="11">
        <f>851546.1587689/(10^3)</f>
        <v>851.5461587689</v>
      </c>
      <c r="BL60" s="11">
        <f>835214.909769836/(10^3)</f>
        <v>835.21490976983603</v>
      </c>
      <c r="BM60" s="11">
        <v>826.93650207239477</v>
      </c>
      <c r="BN60" s="11">
        <f>860092.724853224/(10^3)</f>
        <v>860.09272485322401</v>
      </c>
      <c r="BO60" s="11">
        <f>845990.050796556/(10^3)</f>
        <v>845.99005079655603</v>
      </c>
      <c r="BP60" s="11">
        <f>876767.80950875/(10^3)</f>
        <v>876.76780950875002</v>
      </c>
      <c r="BQ60" s="11">
        <f>878949.060704075/(10^3)</f>
        <v>878.94906070407501</v>
      </c>
      <c r="BR60" s="11">
        <f>877809.802648062/(10^3)</f>
        <v>877.80980264806203</v>
      </c>
      <c r="BS60" s="11">
        <v>885.64586223291496</v>
      </c>
      <c r="BT60" s="11">
        <f>908511.84001855/(10^3)</f>
        <v>908.51184001855006</v>
      </c>
      <c r="BU60" s="11">
        <f>926377.252513846/(10^3)</f>
        <v>926.37725251384609</v>
      </c>
      <c r="BV60" s="11">
        <f>923547.179751369/(10^3)</f>
        <v>923.54717975136907</v>
      </c>
      <c r="BW60" s="11">
        <f>915899.937296633/(10^3)</f>
        <v>915.89993729663297</v>
      </c>
      <c r="BX60" s="11">
        <f>916066.117601541/(10^3)</f>
        <v>916.06611760154101</v>
      </c>
      <c r="BY60" s="11">
        <v>941.11788138633574</v>
      </c>
      <c r="BZ60" s="11">
        <f>941117.881386336/(10^3)</f>
        <v>941.11788138633608</v>
      </c>
      <c r="CA60" s="11">
        <f>980133.965086965/(10^3)</f>
        <v>980.13396508696496</v>
      </c>
      <c r="CB60" s="11">
        <f>967109.802088354/(10^3)</f>
        <v>967.10980208835406</v>
      </c>
      <c r="CC60" s="12"/>
      <c r="DD60" s="11"/>
      <c r="DE60" s="11"/>
      <c r="DF60" s="11"/>
    </row>
    <row r="61" spans="4:110" ht="15.6" x14ac:dyDescent="0.25">
      <c r="D61" s="10" t="s">
        <v>123</v>
      </c>
      <c r="E61" s="10" t="s">
        <v>46</v>
      </c>
      <c r="F61" s="10" t="s">
        <v>151</v>
      </c>
      <c r="G61" s="10" t="s">
        <v>182</v>
      </c>
      <c r="H61" s="67" t="str">
        <f>CONCATENATE(D61," ",G61)</f>
        <v>Tucson (피합병)</v>
      </c>
      <c r="I61" s="11">
        <f>1282073.76042163/(10^3)</f>
        <v>1282.0737604216299</v>
      </c>
      <c r="J61" s="11">
        <f>1265555.06799464/(10^3)</f>
        <v>1265.55506799464</v>
      </c>
      <c r="K61" s="11">
        <v>1247.153256906515</v>
      </c>
      <c r="L61" s="11">
        <f>1284795.75337996/(10^3)</f>
        <v>1284.7957533799602</v>
      </c>
      <c r="M61" s="11">
        <f>1303176.37462802/(10^3)</f>
        <v>1303.1763746280201</v>
      </c>
      <c r="N61" s="11">
        <f>1327059.21641849/(10^3)</f>
        <v>1327.05921641849</v>
      </c>
      <c r="O61" s="11">
        <f>1329183.56208583/(10^3)</f>
        <v>1329.1835620858299</v>
      </c>
      <c r="P61" s="11">
        <f>1313485.52802111/(10^3)</f>
        <v>1313.48552802111</v>
      </c>
      <c r="Q61" s="11">
        <v>1364.3776502483133</v>
      </c>
      <c r="R61" s="11">
        <f>1392105.09876607/(10^3)</f>
        <v>1392.1050987660701</v>
      </c>
      <c r="S61" s="11">
        <f>1380380.36186195/(10^3)</f>
        <v>1380.38036186195</v>
      </c>
      <c r="T61" s="11">
        <f>1414951.15769438/(10^3)</f>
        <v>1414.9511576943801</v>
      </c>
      <c r="U61" s="11">
        <f>1400651.6023745/(10^3)</f>
        <v>1400.6516023744998</v>
      </c>
      <c r="V61" s="11">
        <f>1428469.10445021/(10^3)</f>
        <v>1428.4691044502099</v>
      </c>
      <c r="W61" s="11">
        <v>1445.83051829582</v>
      </c>
      <c r="X61" s="11">
        <f>1430590.41194891/(10^3)</f>
        <v>1430.5904119489101</v>
      </c>
      <c r="Y61" s="11">
        <f>1418869.67490317/(10^3)</f>
        <v>1418.8696749031699</v>
      </c>
      <c r="Z61" s="11">
        <f>1460496.90319333/(10^3)</f>
        <v>1460.4969031933299</v>
      </c>
      <c r="AA61" s="11">
        <f>1439675.0219305/(10^3)</f>
        <v>1439.6750219305</v>
      </c>
      <c r="AB61" s="11">
        <f>1485572.8154535/(10^3)</f>
        <v>1485.5728154535</v>
      </c>
      <c r="AC61" s="11">
        <v>1546.2874128159754</v>
      </c>
      <c r="AD61" s="11">
        <f>1543674.46974292/(10^3)</f>
        <v>1543.6744697429201</v>
      </c>
      <c r="AE61" s="11">
        <f>1570554.88106442/(10^3)</f>
        <v>1570.55488106442</v>
      </c>
      <c r="AF61" s="11">
        <f>1599509.44103012/(10^3)</f>
        <v>1599.5094410301201</v>
      </c>
      <c r="AG61" s="11">
        <f>1601271.50768422/(10^3)</f>
        <v>1601.2715076842201</v>
      </c>
      <c r="AH61" s="11">
        <f>1607990.31872777/(10^3)</f>
        <v>1607.9903187277698</v>
      </c>
      <c r="AI61" s="11">
        <v>1591.4601457423983</v>
      </c>
      <c r="AJ61" s="11">
        <f>1568864.93001894/(10^3)</f>
        <v>1568.86493001894</v>
      </c>
      <c r="AK61" s="11">
        <f>1626466.22270557/(10^3)</f>
        <v>1626.4662227055701</v>
      </c>
      <c r="AL61" s="11">
        <f>1604291.59864114/(10^3)</f>
        <v>1604.2915986411399</v>
      </c>
      <c r="AM61" s="11">
        <f>1585911.72385467/(10^3)</f>
        <v>1585.9117238546701</v>
      </c>
      <c r="AN61" s="11">
        <f>1556816.28494772/(10^3)</f>
        <v>1556.8162849477199</v>
      </c>
      <c r="AO61" s="11">
        <v>1594.1320588929591</v>
      </c>
      <c r="AP61" s="11">
        <f>1564755.76263416/(10^3)</f>
        <v>1564.75576263416</v>
      </c>
      <c r="AQ61" s="11">
        <f>1562578.12037181/(10^3)</f>
        <v>1562.57812037181</v>
      </c>
      <c r="AR61" s="11">
        <f>1545598.13487796/(10^3)</f>
        <v>1545.5981348779599</v>
      </c>
      <c r="AS61" s="11">
        <f>1564472.95657387/(10^3)</f>
        <v>1564.4729565738701</v>
      </c>
      <c r="AT61" s="11">
        <f>1610515.30878514/(10^3)</f>
        <v>1610.51530878514</v>
      </c>
      <c r="AU61" s="11">
        <v>1579.5904288865486</v>
      </c>
      <c r="AV61" s="11">
        <f>1601157.36253207/(10^3)</f>
        <v>1601.15736253207</v>
      </c>
      <c r="AW61" s="11">
        <f>1590332.64064281/(10^3)</f>
        <v>1590.33264064281</v>
      </c>
      <c r="AX61" s="11">
        <f>1564878.15364549/(10^3)</f>
        <v>1564.8781536454901</v>
      </c>
      <c r="AY61" s="11">
        <f>1617611.95309694/(10^3)</f>
        <v>1617.6119530969399</v>
      </c>
      <c r="AZ61" s="11">
        <f>1667539.69210922/(10^3)</f>
        <v>1667.5396921092199</v>
      </c>
      <c r="BA61" s="11">
        <v>1637.0581380011163</v>
      </c>
      <c r="BB61" s="11">
        <f>1706641.64814296/(10^3)</f>
        <v>1706.6416481429599</v>
      </c>
      <c r="BC61" s="11">
        <f>1739114.95968283/(10^3)</f>
        <v>1739.11495968283</v>
      </c>
      <c r="BD61" s="11">
        <f>1705397.92279187/(10^3)</f>
        <v>1705.3979227918701</v>
      </c>
      <c r="BE61" s="11">
        <f>1684852.47771161/(10^3)</f>
        <v>1684.8524777116099</v>
      </c>
      <c r="BF61" s="11">
        <f>1720320.87282334/(10^3)</f>
        <v>1720.3208728233399</v>
      </c>
      <c r="BG61" s="11">
        <v>1735.4704660932293</v>
      </c>
      <c r="BH61" s="11">
        <f>1759610.59057158/(10^3)</f>
        <v>1759.6105905715799</v>
      </c>
      <c r="BI61" s="11">
        <f>1791196.43710504/(10^3)</f>
        <v>1791.1964371050401</v>
      </c>
      <c r="BJ61" s="11">
        <f>1825912.25397648/(10^3)</f>
        <v>1825.9122539764801</v>
      </c>
      <c r="BK61" s="11">
        <f>1829670.45280851/(10^3)</f>
        <v>1829.6704528085099</v>
      </c>
      <c r="BL61" s="11">
        <f>1875384.77057047/(10^3)</f>
        <v>1875.38477057047</v>
      </c>
      <c r="BM61" s="11">
        <v>1918.7085613696361</v>
      </c>
      <c r="BN61" s="11">
        <f>1915197.75029072/(10^3)</f>
        <v>1915.19775029072</v>
      </c>
      <c r="BO61" s="11">
        <f>2001754.95875477/(10^3)</f>
        <v>2001.7549587547701</v>
      </c>
      <c r="BP61" s="11">
        <f>2064560.69870224/(10^3)</f>
        <v>2064.5606987022397</v>
      </c>
      <c r="BQ61" s="11">
        <f>2149009.59959918/(10^3)</f>
        <v>2149.0095995991796</v>
      </c>
      <c r="BR61" s="11">
        <f>2143033.79384983/(10^3)</f>
        <v>2143.0337938498301</v>
      </c>
      <c r="BS61" s="11">
        <v>2142.254388994364</v>
      </c>
      <c r="BT61" s="11">
        <f>2124775.98893335/(10^3)</f>
        <v>2124.7759889333502</v>
      </c>
      <c r="BU61" s="11">
        <f>2151935.35148835/(10^3)</f>
        <v>2151.9353514883501</v>
      </c>
      <c r="BV61" s="11">
        <f>2208147.98304006/(10^3)</f>
        <v>2208.1479830400599</v>
      </c>
      <c r="BW61" s="11">
        <f>2270542.13680092/(10^3)</f>
        <v>2270.5421368009202</v>
      </c>
      <c r="BX61" s="11">
        <f>2346935.14759187/(10^3)</f>
        <v>2346.9351475918697</v>
      </c>
      <c r="BY61" s="11">
        <v>2303.5738107402094</v>
      </c>
      <c r="BZ61" s="11">
        <f>2303573.81074021/(10^3)</f>
        <v>2303.5738107402103</v>
      </c>
      <c r="CA61" s="11">
        <f>2280604.9417104/(10^3)</f>
        <v>2280.6049417104</v>
      </c>
      <c r="CB61" s="11">
        <f>2280470.12643729/(10^3)</f>
        <v>2280.4701264372902</v>
      </c>
      <c r="CC61" s="12"/>
      <c r="DD61" s="11"/>
      <c r="DE61" s="11"/>
      <c r="DF61" s="11"/>
    </row>
    <row r="62" spans="4:110" ht="15.6" x14ac:dyDescent="0.25">
      <c r="D62" s="10" t="s">
        <v>124</v>
      </c>
      <c r="E62" s="10" t="s">
        <v>46</v>
      </c>
      <c r="F62" s="10" t="s">
        <v>151</v>
      </c>
      <c r="G62" s="10" t="s">
        <v>182</v>
      </c>
      <c r="H62" s="67" t="str">
        <f>CONCATENATE(D62," ",G62)</f>
        <v>Mesa (피합병)</v>
      </c>
      <c r="I62" s="11">
        <f>762976.347602988/(10^3)</f>
        <v>762.97634760298797</v>
      </c>
      <c r="J62" s="11">
        <f>788063.813540787/(10^3)</f>
        <v>788.06381354078701</v>
      </c>
      <c r="K62" s="11">
        <v>788.53373350941536</v>
      </c>
      <c r="L62" s="11">
        <f>773329.532273265/(10^3)</f>
        <v>773.32953227326493</v>
      </c>
      <c r="M62" s="11">
        <f>765911.64626058/(10^3)</f>
        <v>765.91164626058003</v>
      </c>
      <c r="N62" s="11">
        <f>795021.576752147/(10^3)</f>
        <v>795.0215767521471</v>
      </c>
      <c r="O62" s="11">
        <f>809901.394556553/(10^3)</f>
        <v>809.90139455655299</v>
      </c>
      <c r="P62" s="11">
        <f>808367.529796255/(10^3)</f>
        <v>808.3675297962551</v>
      </c>
      <c r="Q62" s="11">
        <v>794.16831023586758</v>
      </c>
      <c r="R62" s="11">
        <f>804758.117426339/(10^3)</f>
        <v>804.75811742633891</v>
      </c>
      <c r="S62" s="11">
        <f>796886.104593472/(10^3)</f>
        <v>796.88610459347194</v>
      </c>
      <c r="T62" s="11">
        <f>787642.553333446/(10^3)</f>
        <v>787.64255333344602</v>
      </c>
      <c r="U62" s="11">
        <f>786342.297948041/(10^3)</f>
        <v>786.34229794804105</v>
      </c>
      <c r="V62" s="11">
        <f>775144.768334369/(10^3)</f>
        <v>775.14476833436891</v>
      </c>
      <c r="W62" s="11">
        <v>770.0163167434049</v>
      </c>
      <c r="X62" s="11">
        <f>758981.817351885/(10^3)</f>
        <v>758.98181735188507</v>
      </c>
      <c r="Y62" s="11">
        <f>753348.445458432/(10^3)</f>
        <v>753.34844545843191</v>
      </c>
      <c r="Z62" s="11">
        <f>739504.132907569/(10^3)</f>
        <v>739.50413290756899</v>
      </c>
      <c r="AA62" s="11">
        <f>744058.60111987/(10^3)</f>
        <v>744.05860111986999</v>
      </c>
      <c r="AB62" s="11">
        <f>760221.40490213/(10^3)</f>
        <v>760.22140490212996</v>
      </c>
      <c r="AC62" s="11">
        <v>769.74132252618631</v>
      </c>
      <c r="AD62" s="11">
        <f>796083.290308671/(10^3)</f>
        <v>796.08329030867094</v>
      </c>
      <c r="AE62" s="11">
        <f>787693.756473468/(10^3)</f>
        <v>787.69375647346806</v>
      </c>
      <c r="AF62" s="11">
        <f>783042.05095104/(10^3)</f>
        <v>783.04205095103998</v>
      </c>
      <c r="AG62" s="11">
        <f>778944.796860755/(10^3)</f>
        <v>778.94479686075499</v>
      </c>
      <c r="AH62" s="11">
        <f>802713.161307422/(10^3)</f>
        <v>802.71316130742196</v>
      </c>
      <c r="AI62" s="11">
        <v>841.82282360367981</v>
      </c>
      <c r="AJ62" s="11">
        <f>829347.027876979/(10^3)</f>
        <v>829.34702787697893</v>
      </c>
      <c r="AK62" s="11">
        <f>828822.994381646/(10^3)</f>
        <v>828.82299438164603</v>
      </c>
      <c r="AL62" s="11">
        <f>820733.455445172/(10^3)</f>
        <v>820.73345544517201</v>
      </c>
      <c r="AM62" s="11">
        <f>807039.567069541/(10^3)</f>
        <v>807.03956706954091</v>
      </c>
      <c r="AN62" s="11">
        <f>803887.965947018/(10^3)</f>
        <v>803.88796594701796</v>
      </c>
      <c r="AO62" s="11">
        <v>796.00854309306328</v>
      </c>
      <c r="AP62" s="11">
        <f>817065.849072024/(10^3)</f>
        <v>817.06584907202398</v>
      </c>
      <c r="AQ62" s="11">
        <f>845040.503690693/(10^3)</f>
        <v>845.04050369069296</v>
      </c>
      <c r="AR62" s="11">
        <f>842635.148351489/(10^3)</f>
        <v>842.63514835148897</v>
      </c>
      <c r="AS62" s="11">
        <f>826999.469793111/(10^3)</f>
        <v>826.99946979311096</v>
      </c>
      <c r="AT62" s="11">
        <f>846095.581923483/(10^3)</f>
        <v>846.09558192348311</v>
      </c>
      <c r="AU62" s="11">
        <v>829.59268521320973</v>
      </c>
      <c r="AV62" s="11">
        <f>813414.205003719/(10^3)</f>
        <v>813.41420500371896</v>
      </c>
      <c r="AW62" s="11">
        <f>841246.632542358/(10^3)</f>
        <v>841.24663254235804</v>
      </c>
      <c r="AX62" s="11">
        <f>871317.009080948/(10^3)</f>
        <v>871.31700908094797</v>
      </c>
      <c r="AY62" s="11">
        <f>860093.936028886/(10^3)</f>
        <v>860.09393602888599</v>
      </c>
      <c r="AZ62" s="11">
        <f>852954.376563415/(10^3)</f>
        <v>852.95437656341505</v>
      </c>
      <c r="BA62" s="11">
        <v>895.42956989684399</v>
      </c>
      <c r="BB62" s="11">
        <f>899039.348503199/(10^3)</f>
        <v>899.03934850319911</v>
      </c>
      <c r="BC62" s="11">
        <f>898337.377629147/(10^3)</f>
        <v>898.337377629147</v>
      </c>
      <c r="BD62" s="11">
        <f>900274.524032866/(10^3)</f>
        <v>900.274524032866</v>
      </c>
      <c r="BE62" s="11">
        <f>906047.669572478/(10^3)</f>
        <v>906.04766957247807</v>
      </c>
      <c r="BF62" s="11">
        <f>933416.295618183/(10^3)</f>
        <v>933.41629561818297</v>
      </c>
      <c r="BG62" s="11">
        <v>930.9880527150317</v>
      </c>
      <c r="BH62" s="11">
        <f>960302.595017725/(10^3)</f>
        <v>960.30259501772503</v>
      </c>
      <c r="BI62" s="11">
        <f>969839.517306115/(10^3)</f>
        <v>969.839517306115</v>
      </c>
      <c r="BJ62" s="11">
        <f>987347.845078959/(10^3)</f>
        <v>987.34784507895904</v>
      </c>
      <c r="BK62" s="11">
        <f>1017465.35591688/(10^3)</f>
        <v>1017.46535591688</v>
      </c>
      <c r="BL62" s="11">
        <f>1029591.04117295/(10^3)</f>
        <v>1029.5910411729499</v>
      </c>
      <c r="BM62" s="11">
        <v>1080.9407280613625</v>
      </c>
      <c r="BN62" s="11">
        <f>1079025.99998177/(10^3)</f>
        <v>1079.0259999817702</v>
      </c>
      <c r="BO62" s="11">
        <f>1130340.52715349/(10^3)</f>
        <v>1130.34052715349</v>
      </c>
      <c r="BP62" s="11">
        <f>1130100.43562871/(10^3)</f>
        <v>1130.1004356287101</v>
      </c>
      <c r="BQ62" s="11">
        <f>1174806.10345992/(10^3)</f>
        <v>1174.80610345992</v>
      </c>
      <c r="BR62" s="11">
        <f>1208470.24267444/(10^3)</f>
        <v>1208.47024267444</v>
      </c>
      <c r="BS62" s="11">
        <v>1231.0042210593831</v>
      </c>
      <c r="BT62" s="11">
        <f>1229547.72247243/(10^3)</f>
        <v>1229.54772247243</v>
      </c>
      <c r="BU62" s="11">
        <f>1220162.3128867/(10^3)</f>
        <v>1220.1623128867</v>
      </c>
      <c r="BV62" s="11">
        <f>1251749.39905722/(10^3)</f>
        <v>1251.74939905722</v>
      </c>
      <c r="BW62" s="11">
        <f>1271237.76634707/(10^3)</f>
        <v>1271.23776634707</v>
      </c>
      <c r="BX62" s="11">
        <f>1293291.0337249/(10^3)</f>
        <v>1293.2910337249</v>
      </c>
      <c r="BY62" s="11">
        <v>1264.5404903717945</v>
      </c>
      <c r="BZ62" s="11">
        <f>1264540.49037179/(10^3)</f>
        <v>1264.5404903717899</v>
      </c>
      <c r="CA62" s="11">
        <f>1313514.98185416/(10^3)</f>
        <v>1313.5149818541602</v>
      </c>
      <c r="CB62" s="11">
        <f>1374730.00039388/(10^3)</f>
        <v>1374.7300003938801</v>
      </c>
      <c r="CC62" s="12"/>
      <c r="DD62" s="11"/>
      <c r="DE62" s="11"/>
      <c r="DF62" s="11"/>
    </row>
    <row r="63" spans="4:110" ht="15.6" x14ac:dyDescent="0.25">
      <c r="D63" s="10" t="s">
        <v>125</v>
      </c>
      <c r="E63" s="10" t="s">
        <v>47</v>
      </c>
      <c r="F63" s="10" t="s">
        <v>151</v>
      </c>
      <c r="G63" s="10" t="s">
        <v>182</v>
      </c>
      <c r="H63" s="67" t="str">
        <f>CONCATENATE(D63," ",G63)</f>
        <v>Los Angeles (피합병)</v>
      </c>
      <c r="I63" s="11">
        <f>859797.182577779/(10^3)</f>
        <v>859.79718257777904</v>
      </c>
      <c r="J63" s="11">
        <f>889839.961071624/(10^3)</f>
        <v>889.83996107162397</v>
      </c>
      <c r="K63" s="11">
        <v>923.04848441800539</v>
      </c>
      <c r="L63" s="11">
        <f>908869.60994493/(10^3)</f>
        <v>908.86960994492995</v>
      </c>
      <c r="M63" s="11">
        <f>931260.610004131/(10^3)</f>
        <v>931.26061000413097</v>
      </c>
      <c r="N63" s="11">
        <f>972672.648785339/(10^3)</f>
        <v>972.67264878533899</v>
      </c>
      <c r="O63" s="11">
        <f>978829.36501552/(10^3)</f>
        <v>978.82936501552001</v>
      </c>
      <c r="P63" s="11">
        <f>973388.920040912/(10^3)</f>
        <v>973.38892004091201</v>
      </c>
      <c r="Q63" s="11">
        <v>987.85207438473083</v>
      </c>
      <c r="R63" s="11">
        <f>1005721.76150755/(10^3)</f>
        <v>1005.72176150755</v>
      </c>
      <c r="S63" s="11">
        <f>1013501.00972898/(10^3)</f>
        <v>1013.50100972898</v>
      </c>
      <c r="T63" s="11">
        <f>1062295.50518723/(10^3)</f>
        <v>1062.29550518723</v>
      </c>
      <c r="U63" s="11">
        <f>1045711.10942004/(10^3)</f>
        <v>1045.71110942004</v>
      </c>
      <c r="V63" s="11">
        <f>1045679.19159788/(10^3)</f>
        <v>1045.6791915978799</v>
      </c>
      <c r="W63" s="11">
        <v>1064.7993438791375</v>
      </c>
      <c r="X63" s="11">
        <f>1054422.12653262/(10^3)</f>
        <v>1054.42212653262</v>
      </c>
      <c r="Y63" s="11">
        <f>1079139.03536361/(10^3)</f>
        <v>1079.13903536361</v>
      </c>
      <c r="Z63" s="11">
        <f>1059313.94592994/(10^3)</f>
        <v>1059.31394592994</v>
      </c>
      <c r="AA63" s="11">
        <f>1059452.23951708/(10^3)</f>
        <v>1059.45223951708</v>
      </c>
      <c r="AB63" s="11">
        <f>1085665.92592381/(10^3)</f>
        <v>1085.6659259238102</v>
      </c>
      <c r="AC63" s="11">
        <v>1137.5421595688765</v>
      </c>
      <c r="AD63" s="11">
        <f>1123918.55545681/(10^3)</f>
        <v>1123.9185554568098</v>
      </c>
      <c r="AE63" s="11">
        <f>1179702.18866352/(10^3)</f>
        <v>1179.70218866352</v>
      </c>
      <c r="AF63" s="11">
        <f>1169288.91217041/(10^3)</f>
        <v>1169.28891217041</v>
      </c>
      <c r="AG63" s="11">
        <f>1156954.86945045/(10^3)</f>
        <v>1156.9548694504499</v>
      </c>
      <c r="AH63" s="11">
        <f>1135139.48608858/(10^3)</f>
        <v>1135.13948608858</v>
      </c>
      <c r="AI63" s="11">
        <v>1120.2449777324584</v>
      </c>
      <c r="AJ63" s="11">
        <f>1112446.9428986/(10^3)</f>
        <v>1112.4469428985999</v>
      </c>
      <c r="AK63" s="11">
        <f>1121572.17967993/(10^3)</f>
        <v>1121.5721796799301</v>
      </c>
      <c r="AL63" s="11">
        <f>1111340.19799426/(10^3)</f>
        <v>1111.3401979942598</v>
      </c>
      <c r="AM63" s="11">
        <f>1109896.72482774/(10^3)</f>
        <v>1109.8967248277402</v>
      </c>
      <c r="AN63" s="11">
        <f>1121689.71445324/(10^3)</f>
        <v>1121.68971445324</v>
      </c>
      <c r="AO63" s="11">
        <v>1103.8180357742856</v>
      </c>
      <c r="AP63" s="11">
        <f>1103051.9960358/(10^3)</f>
        <v>1103.0519960358001</v>
      </c>
      <c r="AQ63" s="11">
        <f>1097282.14198776/(10^3)</f>
        <v>1097.28214198776</v>
      </c>
      <c r="AR63" s="11">
        <f>1086642.31418014/(10^3)</f>
        <v>1086.6423141801399</v>
      </c>
      <c r="AS63" s="11">
        <f>1077737.13624995/(10^3)</f>
        <v>1077.73713624995</v>
      </c>
      <c r="AT63" s="11">
        <f>1064834.88538084/(10^3)</f>
        <v>1064.83488538084</v>
      </c>
      <c r="AU63" s="11">
        <v>1070.9669571585803</v>
      </c>
      <c r="AV63" s="11">
        <f>1065734.50562658/(10^3)</f>
        <v>1065.7345056265799</v>
      </c>
      <c r="AW63" s="11">
        <f>1103069.73281247/(10^3)</f>
        <v>1103.06973281247</v>
      </c>
      <c r="AX63" s="11">
        <f>1149232.28172772/(10^3)</f>
        <v>1149.23228172772</v>
      </c>
      <c r="AY63" s="11">
        <f>1133721.5368866/(10^3)</f>
        <v>1133.7215368866</v>
      </c>
      <c r="AZ63" s="11">
        <f>1118302.0010074/(10^3)</f>
        <v>1118.3020010073999</v>
      </c>
      <c r="BA63" s="11">
        <v>1166.9842477988443</v>
      </c>
      <c r="BB63" s="11">
        <f>1188869.21635334/(10^3)</f>
        <v>1188.8692163533401</v>
      </c>
      <c r="BC63" s="11">
        <f>1172288.57140819/(10^3)</f>
        <v>1172.2885714081901</v>
      </c>
      <c r="BD63" s="11">
        <f>1169691.02217309/(10^3)</f>
        <v>1169.69102217309</v>
      </c>
      <c r="BE63" s="11">
        <f>1196012.5739602/(10^3)</f>
        <v>1196.0125739601999</v>
      </c>
      <c r="BF63" s="11">
        <f>1226943.67185161/(10^3)</f>
        <v>1226.9436718516101</v>
      </c>
      <c r="BG63" s="11">
        <v>1206.865013880114</v>
      </c>
      <c r="BH63" s="11">
        <f>1254290.52293493/(10^3)</f>
        <v>1254.2905229349299</v>
      </c>
      <c r="BI63" s="11">
        <f>1282112.92871691/(10^3)</f>
        <v>1282.1129287169101</v>
      </c>
      <c r="BJ63" s="11">
        <f>1337649.47107012/(10^3)</f>
        <v>1337.6494710701202</v>
      </c>
      <c r="BK63" s="11">
        <f>1350011.92707586/(10^3)</f>
        <v>1350.0119270758601</v>
      </c>
      <c r="BL63" s="11">
        <f>1355952.88047476/(10^3)</f>
        <v>1355.9528804747599</v>
      </c>
      <c r="BM63" s="11">
        <v>1337.66260149152</v>
      </c>
      <c r="BN63" s="11">
        <f>1352901.28688731/(10^3)</f>
        <v>1352.9012868873099</v>
      </c>
      <c r="BO63" s="11">
        <f>1407343.86875828/(10^3)</f>
        <v>1407.34386875828</v>
      </c>
      <c r="BP63" s="11">
        <f>1379312.8699941/(10^3)</f>
        <v>1379.3128699940999</v>
      </c>
      <c r="BQ63" s="11">
        <f>1360988.39030438/(10^3)</f>
        <v>1360.9883903043801</v>
      </c>
      <c r="BR63" s="11">
        <f>1422632.18703529/(10^3)</f>
        <v>1422.6321870352901</v>
      </c>
      <c r="BS63" s="11">
        <v>1459.1331362620635</v>
      </c>
      <c r="BT63" s="11">
        <f>1456623.61584625/(10^3)</f>
        <v>1456.62361584625</v>
      </c>
      <c r="BU63" s="11">
        <f>1482223.68482137/(10^3)</f>
        <v>1482.2236848213702</v>
      </c>
      <c r="BV63" s="11">
        <f>1539792.98950251/(10^3)</f>
        <v>1539.79298950251</v>
      </c>
      <c r="BW63" s="11">
        <f>1559819.4865862/(10^3)</f>
        <v>1559.8194865862001</v>
      </c>
      <c r="BX63" s="11">
        <f>1625765.6901533/(10^3)</f>
        <v>1625.7656901533001</v>
      </c>
      <c r="BY63" s="11">
        <v>1605.3308013293963</v>
      </c>
      <c r="BZ63" s="11">
        <f>1605330.8013294/(10^3)</f>
        <v>1605.3308013293999</v>
      </c>
      <c r="CA63" s="11">
        <f>1597702.87949796/(10^3)</f>
        <v>1597.7028794979599</v>
      </c>
      <c r="CB63" s="11">
        <f>1595927.92125757/(10^3)</f>
        <v>1595.92792125757</v>
      </c>
      <c r="CC63" s="12"/>
      <c r="DD63" s="11"/>
      <c r="DE63" s="11"/>
      <c r="DF63" s="11"/>
    </row>
    <row r="64" spans="4:110" ht="15.6" x14ac:dyDescent="0.25">
      <c r="D64" s="10" t="s">
        <v>126</v>
      </c>
      <c r="E64" s="10" t="s">
        <v>47</v>
      </c>
      <c r="F64" s="10" t="s">
        <v>151</v>
      </c>
      <c r="G64" s="10" t="s">
        <v>182</v>
      </c>
      <c r="H64" s="67" t="str">
        <f>CONCATENATE(D64," ",G64)</f>
        <v>Sacramento (피합병)</v>
      </c>
      <c r="I64" s="11">
        <f>352239.50090143/(10^3)</f>
        <v>352.23950090142995</v>
      </c>
      <c r="J64" s="11">
        <f>357114.485145576/(10^3)</f>
        <v>357.114485145576</v>
      </c>
      <c r="K64" s="11">
        <v>369.69088954446016</v>
      </c>
      <c r="L64" s="11">
        <f>385515.904984589/(10^3)</f>
        <v>385.51590498458904</v>
      </c>
      <c r="M64" s="11">
        <f>384431.251557936/(10^3)</f>
        <v>384.43125155793604</v>
      </c>
      <c r="N64" s="11">
        <f>393282.740340618/(10^3)</f>
        <v>393.28274034061803</v>
      </c>
      <c r="O64" s="11">
        <f>390736.21365437/(10^3)</f>
        <v>390.73621365436998</v>
      </c>
      <c r="P64" s="11">
        <f>400284.681407537/(10^3)</f>
        <v>400.28468140753699</v>
      </c>
      <c r="Q64" s="11">
        <v>403.58898179616301</v>
      </c>
      <c r="R64" s="11">
        <f>402493.822644964/(10^3)</f>
        <v>402.49382264496398</v>
      </c>
      <c r="S64" s="11">
        <f>394957.001502856/(10^3)</f>
        <v>394.95700150285597</v>
      </c>
      <c r="T64" s="11">
        <f>392590.345984875/(10^3)</f>
        <v>392.590345984875</v>
      </c>
      <c r="U64" s="11">
        <f>400077.177244826/(10^3)</f>
        <v>400.07717724482598</v>
      </c>
      <c r="V64" s="11">
        <f>399267.329712303/(10^3)</f>
        <v>399.26732971230302</v>
      </c>
      <c r="W64" s="11">
        <v>406.04043493232803</v>
      </c>
      <c r="X64" s="11">
        <f>405050.999531514/(10^3)</f>
        <v>405.05099953151404</v>
      </c>
      <c r="Y64" s="11">
        <f>416305.018515316/(10^3)</f>
        <v>416.30501851531602</v>
      </c>
      <c r="Z64" s="11">
        <f>433364.219501894/(10^3)</f>
        <v>433.36421950189401</v>
      </c>
      <c r="AA64" s="11">
        <f>436837.915359683/(10^3)</f>
        <v>436.837915359683</v>
      </c>
      <c r="AB64" s="11">
        <f>433881.611541811/(10^3)</f>
        <v>433.88161154181103</v>
      </c>
      <c r="AC64" s="11">
        <v>439.74564246485244</v>
      </c>
      <c r="AD64" s="11">
        <f>433836.570427203/(10^3)</f>
        <v>433.83657042720301</v>
      </c>
      <c r="AE64" s="11">
        <f>434491.882417021/(10^3)</f>
        <v>434.49188241702103</v>
      </c>
      <c r="AF64" s="11">
        <f>449032.471739233/(10^3)</f>
        <v>449.03247173923302</v>
      </c>
      <c r="AG64" s="11">
        <f>451452.694757929/(10^3)</f>
        <v>451.45269475792901</v>
      </c>
      <c r="AH64" s="11">
        <f>453409.947753804/(10^3)</f>
        <v>453.40994775380398</v>
      </c>
      <c r="AI64" s="11">
        <v>446.31898729049681</v>
      </c>
      <c r="AJ64" s="11">
        <f>438373.867276691/(10^3)</f>
        <v>438.37386727669104</v>
      </c>
      <c r="AK64" s="11">
        <f>455516.753146802/(10^3)</f>
        <v>455.51675314680199</v>
      </c>
      <c r="AL64" s="11">
        <f>467388.720579179/(10^3)</f>
        <v>467.38872057917899</v>
      </c>
      <c r="AM64" s="11">
        <f>462106.867665914/(10^3)</f>
        <v>462.10686766591402</v>
      </c>
      <c r="AN64" s="11">
        <f>473251.320347291/(10^3)</f>
        <v>473.25132034729103</v>
      </c>
      <c r="AO64" s="11">
        <v>495.85536761017863</v>
      </c>
      <c r="AP64" s="11">
        <f>508330.731011825/(10^3)</f>
        <v>508.33073101182498</v>
      </c>
      <c r="AQ64" s="11">
        <f>531056.997117952/(10^3)</f>
        <v>531.05699711795194</v>
      </c>
      <c r="AR64" s="11">
        <f>525846.20117428/(10^3)</f>
        <v>525.84620117428005</v>
      </c>
      <c r="AS64" s="11">
        <f>519926.540770833/(10^3)</f>
        <v>519.92654077083296</v>
      </c>
      <c r="AT64" s="11">
        <f>523642.916561182/(10^3)</f>
        <v>523.64291656118201</v>
      </c>
      <c r="AU64" s="11">
        <v>517.00091632837405</v>
      </c>
      <c r="AV64" s="11">
        <f>506675.393072315/(10^3)</f>
        <v>506.67539307231505</v>
      </c>
      <c r="AW64" s="11">
        <f>509272.517441375/(10^3)</f>
        <v>509.27251744137499</v>
      </c>
      <c r="AX64" s="11">
        <f>505374.211520521/(10^3)</f>
        <v>505.37421152052104</v>
      </c>
      <c r="AY64" s="11">
        <f>501939.634066815/(10^3)</f>
        <v>501.93963406681502</v>
      </c>
      <c r="AZ64" s="11">
        <f>518249.027765355/(10^3)</f>
        <v>518.24902776535498</v>
      </c>
      <c r="BA64" s="11">
        <v>532.29240705482175</v>
      </c>
      <c r="BB64" s="11">
        <f>527012.404794232/(10^3)</f>
        <v>527.012404794232</v>
      </c>
      <c r="BC64" s="11">
        <f>521243.79329844/(10^3)</f>
        <v>521.24379329843998</v>
      </c>
      <c r="BD64" s="11">
        <f>518583.364950406/(10^3)</f>
        <v>518.58336495040601</v>
      </c>
      <c r="BE64" s="11">
        <f>518814.842240927/(10^3)</f>
        <v>518.81484224092696</v>
      </c>
      <c r="BF64" s="11">
        <f>538707.355280469/(10^3)</f>
        <v>538.70735528046907</v>
      </c>
      <c r="BG64" s="11">
        <v>559.02303274452993</v>
      </c>
      <c r="BH64" s="11">
        <f>570163.357955187/(10^3)</f>
        <v>570.16335795518694</v>
      </c>
      <c r="BI64" s="11">
        <f>591854.814867405/(10^3)</f>
        <v>591.85481486740503</v>
      </c>
      <c r="BJ64" s="11">
        <f>601937.89500304/(10^3)</f>
        <v>601.93789500304001</v>
      </c>
      <c r="BK64" s="11">
        <f>625296.172677616/(10^3)</f>
        <v>625.29617267761603</v>
      </c>
      <c r="BL64" s="11">
        <f>655279.824034703/(10^3)</f>
        <v>655.27982403470298</v>
      </c>
      <c r="BM64" s="11">
        <v>682.45513440608647</v>
      </c>
      <c r="BN64" s="11">
        <f>708607.172227762/(10^3)</f>
        <v>708.60717222776202</v>
      </c>
      <c r="BO64" s="11">
        <f>742810.114044001/(10^3)</f>
        <v>742.81011404400101</v>
      </c>
      <c r="BP64" s="11">
        <f>741014.331303445/(10^3)</f>
        <v>741.01433130344503</v>
      </c>
      <c r="BQ64" s="11">
        <f>749565.059150716/(10^3)</f>
        <v>749.56505915071602</v>
      </c>
      <c r="BR64" s="11">
        <f>768702.308869031/(10^3)</f>
        <v>768.70230886903107</v>
      </c>
      <c r="BS64" s="11">
        <v>800.90637428992682</v>
      </c>
      <c r="BT64" s="11">
        <f>812294.9321198/(10^3)</f>
        <v>812.29493211980002</v>
      </c>
      <c r="BU64" s="11">
        <f>816559.199740509/(10^3)</f>
        <v>816.55919974050903</v>
      </c>
      <c r="BV64" s="11">
        <f>829116.355127486/(10^3)</f>
        <v>829.11635512748603</v>
      </c>
      <c r="BW64" s="11">
        <f>861094.364353749/(10^3)</f>
        <v>861.09436435374892</v>
      </c>
      <c r="BX64" s="11">
        <f>859651.338283753/(10^3)</f>
        <v>859.65133828375303</v>
      </c>
      <c r="BY64" s="11">
        <v>852.07712143494257</v>
      </c>
      <c r="BZ64" s="11">
        <f>852077.121434943/(10^3)</f>
        <v>852.07712143494302</v>
      </c>
      <c r="CA64" s="11">
        <f>873892.192289439/(10^3)</f>
        <v>873.89219228943898</v>
      </c>
      <c r="CB64" s="11">
        <f>883198.120662623/(10^3)</f>
        <v>883.19812066262296</v>
      </c>
      <c r="CC64" s="12"/>
      <c r="DD64" s="11"/>
      <c r="DE64" s="11"/>
      <c r="DF64" s="11"/>
    </row>
    <row r="65" spans="4:110" ht="15.6" x14ac:dyDescent="0.25">
      <c r="D65" s="10" t="s">
        <v>127</v>
      </c>
      <c r="E65" s="10" t="s">
        <v>47</v>
      </c>
      <c r="F65" s="10" t="s">
        <v>151</v>
      </c>
      <c r="G65" s="10" t="s">
        <v>182</v>
      </c>
      <c r="H65" s="67" t="str">
        <f>CONCATENATE(D65," ",G65)</f>
        <v>San Francisco (피합병)</v>
      </c>
      <c r="I65" s="11">
        <f>662778.163281062/(10^3)</f>
        <v>662.77816328106201</v>
      </c>
      <c r="J65" s="11">
        <f>652066.688220789/(10^3)</f>
        <v>652.06668822078893</v>
      </c>
      <c r="K65" s="11">
        <v>639.95535913688354</v>
      </c>
      <c r="L65" s="11">
        <f>670829.546058127/(10^3)</f>
        <v>670.82954605812699</v>
      </c>
      <c r="M65" s="11">
        <f>703898.067564407/(10^3)</f>
        <v>703.89806756440703</v>
      </c>
      <c r="N65" s="11">
        <f>727071.421858912/(10^3)</f>
        <v>727.071421858912</v>
      </c>
      <c r="O65" s="11">
        <f>747153.78415362/(10^3)</f>
        <v>747.15378415361999</v>
      </c>
      <c r="P65" s="11">
        <f>771870.229661889/(10^3)</f>
        <v>771.87022966188897</v>
      </c>
      <c r="Q65" s="11">
        <v>810.19842335490296</v>
      </c>
      <c r="R65" s="11">
        <f>840169.36256483/(10^3)</f>
        <v>840.16936256482995</v>
      </c>
      <c r="S65" s="11">
        <f>831215.437441484/(10^3)</f>
        <v>831.21543744148391</v>
      </c>
      <c r="T65" s="11">
        <f>819812.842176746/(10^3)</f>
        <v>819.81284217674602</v>
      </c>
      <c r="U65" s="11">
        <f>810393.09982978/(10^3)</f>
        <v>810.39309982978</v>
      </c>
      <c r="V65" s="11">
        <f>807948.074799786/(10^3)</f>
        <v>807.94807479978601</v>
      </c>
      <c r="W65" s="11">
        <v>800.85769354773095</v>
      </c>
      <c r="X65" s="11">
        <f>795514.241415691/(10^3)</f>
        <v>795.514241415691</v>
      </c>
      <c r="Y65" s="11">
        <f>797082.402857502/(10^3)</f>
        <v>797.08240285750196</v>
      </c>
      <c r="Z65" s="11">
        <f>801536.899943812/(10^3)</f>
        <v>801.53689994381205</v>
      </c>
      <c r="AA65" s="11">
        <f>788559.419005669/(10^3)</f>
        <v>788.55941900566893</v>
      </c>
      <c r="AB65" s="11">
        <f>780326.58659227/(10^3)</f>
        <v>780.3265865922699</v>
      </c>
      <c r="AC65" s="11">
        <v>799.89664185187496</v>
      </c>
      <c r="AD65" s="11">
        <f>799208.107782592/(10^3)</f>
        <v>799.20810778259192</v>
      </c>
      <c r="AE65" s="11">
        <f>820442.155513287/(10^3)</f>
        <v>820.44215551328705</v>
      </c>
      <c r="AF65" s="11">
        <f>860273.887147356/(10^3)</f>
        <v>860.27388714735605</v>
      </c>
      <c r="AG65" s="11">
        <f>851929.814265796/(10^3)</f>
        <v>851.92981426579604</v>
      </c>
      <c r="AH65" s="11">
        <f>851301.135683916/(10^3)</f>
        <v>851.30113568391607</v>
      </c>
      <c r="AI65" s="11">
        <v>890.74427244107062</v>
      </c>
      <c r="AJ65" s="11">
        <f>874558.759904035/(10^3)</f>
        <v>874.55875990403501</v>
      </c>
      <c r="AK65" s="11">
        <f>864377.182868493/(10^3)</f>
        <v>864.37718286849304</v>
      </c>
      <c r="AL65" s="11">
        <f>853218.106828036/(10^3)</f>
        <v>853.21810682803607</v>
      </c>
      <c r="AM65" s="11">
        <f>848888.975006827/(10^3)</f>
        <v>848.88897500682708</v>
      </c>
      <c r="AN65" s="11">
        <f>839683.964111793/(10^3)</f>
        <v>839.68396411179299</v>
      </c>
      <c r="AO65" s="11">
        <v>825.94663888138575</v>
      </c>
      <c r="AP65" s="11">
        <f>840588.661235711/(10^3)</f>
        <v>840.5886612357109</v>
      </c>
      <c r="AQ65" s="11">
        <f>836978.887934829/(10^3)</f>
        <v>836.978887934829</v>
      </c>
      <c r="AR65" s="11">
        <f>834685.889239073/(10^3)</f>
        <v>834.68588923907305</v>
      </c>
      <c r="AS65" s="11">
        <f>862814.28910019/(10^3)</f>
        <v>862.81428910019008</v>
      </c>
      <c r="AT65" s="11">
        <f>900853.771778658/(10^3)</f>
        <v>900.85377177865803</v>
      </c>
      <c r="AU65" s="11">
        <v>901.51909078356812</v>
      </c>
      <c r="AV65" s="11">
        <f>893130.430409948/(10^3)</f>
        <v>893.13043040994796</v>
      </c>
      <c r="AW65" s="11">
        <f>883962.901979765/(10^3)</f>
        <v>883.96290197976509</v>
      </c>
      <c r="AX65" s="11">
        <f>868736.562113976/(10^3)</f>
        <v>868.73656211397599</v>
      </c>
      <c r="AY65" s="11">
        <f>860627.45545903/(10^3)</f>
        <v>860.62745545902999</v>
      </c>
      <c r="AZ65" s="11">
        <f>879380.925896497/(10^3)</f>
        <v>879.38092589649693</v>
      </c>
      <c r="BA65" s="11">
        <v>884.18212989104825</v>
      </c>
      <c r="BB65" s="11">
        <f>872233.998167832/(10^3)</f>
        <v>872.23399816783206</v>
      </c>
      <c r="BC65" s="11">
        <f>912605.012263015/(10^3)</f>
        <v>912.60501226301506</v>
      </c>
      <c r="BD65" s="11">
        <f>922915.805036262/(10^3)</f>
        <v>922.91580503626199</v>
      </c>
      <c r="BE65" s="11">
        <f>919848.338571785/(10^3)</f>
        <v>919.84833857178501</v>
      </c>
      <c r="BF65" s="11">
        <f>905609.012518849/(10^3)</f>
        <v>905.609012518849</v>
      </c>
      <c r="BG65" s="11">
        <v>941.14180247562456</v>
      </c>
      <c r="BH65" s="11">
        <f>985987.285440775/(10^3)</f>
        <v>985.98728544077494</v>
      </c>
      <c r="BI65" s="11">
        <f>1009026.14074451/(10^3)</f>
        <v>1009.02614074451</v>
      </c>
      <c r="BJ65" s="11">
        <f>996201.112172787/(10^3)</f>
        <v>996.20111217278691</v>
      </c>
      <c r="BK65" s="11">
        <f>992947.738999631/(10^3)</f>
        <v>992.94773899963104</v>
      </c>
      <c r="BL65" s="11">
        <f>1003333.97329238/(10^3)</f>
        <v>1003.3339732923799</v>
      </c>
      <c r="BM65" s="11">
        <v>1015.3787563638324</v>
      </c>
      <c r="BN65" s="11">
        <f>1009533.19170273/(10^3)</f>
        <v>1009.5331917027301</v>
      </c>
      <c r="BO65" s="11">
        <f>990364.568842709/(10^3)</f>
        <v>990.36456884270899</v>
      </c>
      <c r="BP65" s="11">
        <f>1016933.07179234/(10^3)</f>
        <v>1016.93307179234</v>
      </c>
      <c r="BQ65" s="11">
        <f>1045695.12099619/(10^3)</f>
        <v>1045.6951209961901</v>
      </c>
      <c r="BR65" s="11">
        <f>1033374.36986218/(10^3)</f>
        <v>1033.3743698621799</v>
      </c>
      <c r="BS65" s="11">
        <v>1013.1044757276431</v>
      </c>
      <c r="BT65" s="11">
        <f>1002448.13557799/(10^3)</f>
        <v>1002.44813557799</v>
      </c>
      <c r="BU65" s="11">
        <f>1041158.95228475/(10^3)</f>
        <v>1041.1589522847501</v>
      </c>
      <c r="BV65" s="11">
        <f>1074068.04599194/(10^3)</f>
        <v>1074.0680459919399</v>
      </c>
      <c r="BW65" s="11">
        <f>1074949.47262612/(10^3)</f>
        <v>1074.94947262612</v>
      </c>
      <c r="BX65" s="11">
        <f>1106750.44471952/(10^3)</f>
        <v>1106.7504447195199</v>
      </c>
      <c r="BY65" s="11">
        <v>1172.847506010306</v>
      </c>
      <c r="BZ65" s="11">
        <f>1172847.50601031/(10^3)</f>
        <v>1172.8475060103101</v>
      </c>
      <c r="CA65" s="11">
        <f>1228609.11073207/(10^3)</f>
        <v>1228.6091107320699</v>
      </c>
      <c r="CB65" s="11">
        <f>1258608.67623284/(10^3)</f>
        <v>1258.60867623284</v>
      </c>
      <c r="CC65" s="12"/>
      <c r="DD65" s="11"/>
      <c r="DE65" s="11"/>
      <c r="DF65" s="11"/>
    </row>
    <row r="66" spans="4:110" ht="15.6" x14ac:dyDescent="0.25">
      <c r="D66" s="10" t="s">
        <v>128</v>
      </c>
      <c r="E66" s="10" t="s">
        <v>47</v>
      </c>
      <c r="F66" s="10" t="s">
        <v>151</v>
      </c>
      <c r="G66" s="10" t="s">
        <v>182</v>
      </c>
      <c r="H66" s="67" t="str">
        <f>CONCATENATE(D66," ",G66)</f>
        <v>San Diego (피합병)</v>
      </c>
      <c r="I66" s="11">
        <f>1108429.9385482/(10^3)</f>
        <v>1108.4299385482</v>
      </c>
      <c r="J66" s="11">
        <f>1120342.056893/(10^3)</f>
        <v>1120.3420568929998</v>
      </c>
      <c r="K66" s="11">
        <v>1098.2372462591277</v>
      </c>
      <c r="L66" s="11">
        <f>1112222.30118817/(10^3)</f>
        <v>1112.2223011881699</v>
      </c>
      <c r="M66" s="11">
        <f>1140635.34070548/(10^3)</f>
        <v>1140.6353407054798</v>
      </c>
      <c r="N66" s="11">
        <f>1184752.95469601/(10^3)</f>
        <v>1184.7529546960102</v>
      </c>
      <c r="O66" s="11">
        <f>1233091.05882823/(10^3)</f>
        <v>1233.09105882823</v>
      </c>
      <c r="P66" s="11">
        <f>1257188.76867641/(10^3)</f>
        <v>1257.1887686764101</v>
      </c>
      <c r="Q66" s="11">
        <v>1246.8408289031386</v>
      </c>
      <c r="R66" s="11">
        <f>1268552.21853159/(10^3)</f>
        <v>1268.5522185315899</v>
      </c>
      <c r="S66" s="11">
        <f>1307894.3282669/(10^3)</f>
        <v>1307.8943282668999</v>
      </c>
      <c r="T66" s="11">
        <f>1297821.50379009/(10^3)</f>
        <v>1297.82150379009</v>
      </c>
      <c r="U66" s="11">
        <f>1283171.80519257/(10^3)</f>
        <v>1283.17180519257</v>
      </c>
      <c r="V66" s="11">
        <f>1265339.72308609/(10^3)</f>
        <v>1265.3397230860901</v>
      </c>
      <c r="W66" s="11">
        <v>1247.8347095582542</v>
      </c>
      <c r="X66" s="11">
        <f>1246732.15939646/(10^3)</f>
        <v>1246.73215939646</v>
      </c>
      <c r="Y66" s="11">
        <f>1278128.65859215/(10^3)</f>
        <v>1278.12865859215</v>
      </c>
      <c r="Z66" s="11">
        <f>1271385.27179367/(10^3)</f>
        <v>1271.38527179367</v>
      </c>
      <c r="AA66" s="11">
        <f>1300895.10055325/(10^3)</f>
        <v>1300.8951005532499</v>
      </c>
      <c r="AB66" s="11">
        <f>1278832.53544632/(10^3)</f>
        <v>1278.83253544632</v>
      </c>
      <c r="AC66" s="11">
        <v>1256.3660763251034</v>
      </c>
      <c r="AD66" s="11">
        <f>1243611.72442141/(10^3)</f>
        <v>1243.6117244214099</v>
      </c>
      <c r="AE66" s="11">
        <f>1235061.28782889/(10^3)</f>
        <v>1235.0612878288898</v>
      </c>
      <c r="AF66" s="11">
        <f>1233000.93592346/(10^3)</f>
        <v>1233.00093592346</v>
      </c>
      <c r="AG66" s="11">
        <f>1273574.03056354/(10^3)</f>
        <v>1273.57403056354</v>
      </c>
      <c r="AH66" s="11">
        <f>1296307.66031425/(10^3)</f>
        <v>1296.3076603142501</v>
      </c>
      <c r="AI66" s="11">
        <v>1285.5197403358045</v>
      </c>
      <c r="AJ66" s="11">
        <f>1288201.44807111/(10^3)</f>
        <v>1288.20144807111</v>
      </c>
      <c r="AK66" s="11">
        <f>1266312.59887612/(10^3)</f>
        <v>1266.3125988761201</v>
      </c>
      <c r="AL66" s="11">
        <f>1252520.84964938/(10^3)</f>
        <v>1252.5208496493799</v>
      </c>
      <c r="AM66" s="11">
        <f>1295881.17229897/(10^3)</f>
        <v>1295.8811722989699</v>
      </c>
      <c r="AN66" s="11">
        <f>1283039.13901289/(10^3)</f>
        <v>1283.03913901289</v>
      </c>
      <c r="AO66" s="11">
        <v>1268.5724376890764</v>
      </c>
      <c r="AP66" s="11">
        <f>1257185.28140495/(10^3)</f>
        <v>1257.18528140495</v>
      </c>
      <c r="AQ66" s="11">
        <f>1253843.9163119/(10^3)</f>
        <v>1253.8439163118999</v>
      </c>
      <c r="AR66" s="11">
        <f>1259786.11186092/(10^3)</f>
        <v>1259.7861118609201</v>
      </c>
      <c r="AS66" s="11">
        <f>1249958.13624678/(10^3)</f>
        <v>1249.95813624678</v>
      </c>
      <c r="AT66" s="11">
        <f>1234076.39838222/(10^3)</f>
        <v>1234.0763983822198</v>
      </c>
      <c r="AU66" s="11">
        <v>1253.1555924961576</v>
      </c>
      <c r="AV66" s="11">
        <f>1276406.85821753/(10^3)</f>
        <v>1276.40685821753</v>
      </c>
      <c r="AW66" s="11">
        <f>1274490.61620948/(10^3)</f>
        <v>1274.4906162094799</v>
      </c>
      <c r="AX66" s="11">
        <f>1316527.76867415/(10^3)</f>
        <v>1316.5277686741501</v>
      </c>
      <c r="AY66" s="11">
        <f>1343227.9501603/(10^3)</f>
        <v>1343.2279501603</v>
      </c>
      <c r="AZ66" s="11">
        <f>1334792.53676634/(10^3)</f>
        <v>1334.7925367663399</v>
      </c>
      <c r="BA66" s="11">
        <v>1344.6519579295666</v>
      </c>
      <c r="BB66" s="11">
        <f>1325349.78609009/(10^3)</f>
        <v>1325.34978609009</v>
      </c>
      <c r="BC66" s="11">
        <f>1309430.54051328/(10^3)</f>
        <v>1309.43054051328</v>
      </c>
      <c r="BD66" s="11">
        <f>1292377.49875488/(10^3)</f>
        <v>1292.37749875488</v>
      </c>
      <c r="BE66" s="11">
        <f>1328505.19870205/(10^3)</f>
        <v>1328.5051987020499</v>
      </c>
      <c r="BF66" s="11">
        <f>1351495.62329258/(10^3)</f>
        <v>1351.4956232925799</v>
      </c>
      <c r="BG66" s="11">
        <v>1383.6174770980299</v>
      </c>
      <c r="BH66" s="11">
        <f>1366183.2515294/(10^3)</f>
        <v>1366.1832515294</v>
      </c>
      <c r="BI66" s="11">
        <f>1340744.29499016/(10^3)</f>
        <v>1340.7442949901601</v>
      </c>
      <c r="BJ66" s="11">
        <f>1354006.25411863/(10^3)</f>
        <v>1354.0062541186301</v>
      </c>
      <c r="BK66" s="11">
        <f>1406200.30377062/(10^3)</f>
        <v>1406.2003037706199</v>
      </c>
      <c r="BL66" s="11">
        <f>1405425.31675538/(10^3)</f>
        <v>1405.42531675538</v>
      </c>
      <c r="BM66" s="11">
        <v>1433.7634568780024</v>
      </c>
      <c r="BN66" s="11">
        <f>1481590.97120203/(10^3)</f>
        <v>1481.59097120203</v>
      </c>
      <c r="BO66" s="11">
        <f>1463773.9385235/(10^3)</f>
        <v>1463.7739385235</v>
      </c>
      <c r="BP66" s="11">
        <f>1530877.83077781/(10^3)</f>
        <v>1530.87783077781</v>
      </c>
      <c r="BQ66" s="11">
        <f>1554406.12045859/(10^3)</f>
        <v>1554.4061204585901</v>
      </c>
      <c r="BR66" s="11">
        <f>1549607.92979176/(10^3)</f>
        <v>1549.6079297917599</v>
      </c>
      <c r="BS66" s="11">
        <v>1570.3801855289976</v>
      </c>
      <c r="BT66" s="11">
        <f>1563860.67520691/(10^3)</f>
        <v>1563.8606752069099</v>
      </c>
      <c r="BU66" s="11">
        <f>1532683.35346977/(10^3)</f>
        <v>1532.6833534697698</v>
      </c>
      <c r="BV66" s="11">
        <f>1572059.61640923/(10^3)</f>
        <v>1572.0596164092301</v>
      </c>
      <c r="BW66" s="11">
        <f>1620155.35429949/(10^3)</f>
        <v>1620.15535429949</v>
      </c>
      <c r="BX66" s="11">
        <f>1668461.78621706/(10^3)</f>
        <v>1668.4617862170599</v>
      </c>
      <c r="BY66" s="11">
        <v>1732.0549115358347</v>
      </c>
      <c r="BZ66" s="11">
        <f>1732054.91153583/(10^3)</f>
        <v>1732.0549115358301</v>
      </c>
      <c r="CA66" s="11">
        <f>1717528.0046018/(10^3)</f>
        <v>1717.5280046018001</v>
      </c>
      <c r="CB66" s="11">
        <f>1756688.51531864/(10^3)</f>
        <v>1756.6885153186399</v>
      </c>
      <c r="CC66" s="12"/>
      <c r="DD66" s="11"/>
      <c r="DE66" s="11"/>
      <c r="DF66" s="11"/>
    </row>
    <row r="67" spans="4:110" ht="15.6" x14ac:dyDescent="0.25">
      <c r="D67" s="10" t="s">
        <v>129</v>
      </c>
      <c r="E67" s="10" t="s">
        <v>47</v>
      </c>
      <c r="F67" s="10" t="s">
        <v>151</v>
      </c>
      <c r="G67" s="10" t="s">
        <v>182</v>
      </c>
      <c r="H67" s="67" t="str">
        <f>CONCATENATE(D67," ",G67)</f>
        <v>San Jose (피합병)</v>
      </c>
      <c r="I67" s="11">
        <f>496373.431458853/(10^3)</f>
        <v>496.37343145885302</v>
      </c>
      <c r="J67" s="11">
        <f>519887.08655372/(10^3)</f>
        <v>519.88708655372</v>
      </c>
      <c r="K67" s="11">
        <v>530.72916013273618</v>
      </c>
      <c r="L67" s="11">
        <f>536358.001959959/(10^3)</f>
        <v>536.3580019599591</v>
      </c>
      <c r="M67" s="11">
        <f>528486.750578026/(10^3)</f>
        <v>528.48675057802609</v>
      </c>
      <c r="N67" s="11">
        <f>530948.043852455/(10^3)</f>
        <v>530.94804385245493</v>
      </c>
      <c r="O67" s="11">
        <f>536815.24911119/(10^3)</f>
        <v>536.81524911118993</v>
      </c>
      <c r="P67" s="11">
        <f>547908.490360288/(10^3)</f>
        <v>547.90849036028794</v>
      </c>
      <c r="Q67" s="11">
        <v>554.46575285651909</v>
      </c>
      <c r="R67" s="11">
        <f>557460.512035505/(10^3)</f>
        <v>557.46051203550508</v>
      </c>
      <c r="S67" s="11">
        <f>566138.663662481/(10^3)</f>
        <v>566.13866366248101</v>
      </c>
      <c r="T67" s="11">
        <f>583356.104830108/(10^3)</f>
        <v>583.35610483010805</v>
      </c>
      <c r="U67" s="11">
        <f>578063.619554611/(10^3)</f>
        <v>578.06361955461102</v>
      </c>
      <c r="V67" s="11">
        <f>572475.672207748/(10^3)</f>
        <v>572.47567220774806</v>
      </c>
      <c r="W67" s="11">
        <v>563.73847791967762</v>
      </c>
      <c r="X67" s="11">
        <f>572778.285069689/(10^3)</f>
        <v>572.77828506968899</v>
      </c>
      <c r="Y67" s="11">
        <f>596848.772278349/(10^3)</f>
        <v>596.84877227834909</v>
      </c>
      <c r="Z67" s="11">
        <f>625723.050208269/(10^3)</f>
        <v>625.723050208269</v>
      </c>
      <c r="AA67" s="11">
        <f>632795.135037018/(10^3)</f>
        <v>632.79513503701799</v>
      </c>
      <c r="AB67" s="11">
        <f>623717.575537874/(10^3)</f>
        <v>623.71757553787404</v>
      </c>
      <c r="AC67" s="11">
        <v>647.09232386922235</v>
      </c>
      <c r="AD67" s="11">
        <f>662452.554038011/(10^3)</f>
        <v>662.45255403801104</v>
      </c>
      <c r="AE67" s="11">
        <f>652828.925835101/(10^3)</f>
        <v>652.82892583510102</v>
      </c>
      <c r="AF67" s="11">
        <f>680399.796645682/(10^3)</f>
        <v>680.39979664568193</v>
      </c>
      <c r="AG67" s="11">
        <f>679725.169193751/(10^3)</f>
        <v>679.72516919375096</v>
      </c>
      <c r="AH67" s="11">
        <f>677495.897895242/(10^3)</f>
        <v>677.49589789524202</v>
      </c>
      <c r="AI67" s="11">
        <v>674.98443407591492</v>
      </c>
      <c r="AJ67" s="11">
        <f>692503.131118774/(10^3)</f>
        <v>692.50313111877392</v>
      </c>
      <c r="AK67" s="11">
        <f>706123.963270085/(10^3)</f>
        <v>706.12396327008503</v>
      </c>
      <c r="AL67" s="11">
        <f>700752.11410727/(10^3)</f>
        <v>700.75211410727002</v>
      </c>
      <c r="AM67" s="11">
        <f>702753.113854684/(10^3)</f>
        <v>702.7531138546841</v>
      </c>
      <c r="AN67" s="11">
        <f>696927.436844349/(10^3)</f>
        <v>696.92743684434902</v>
      </c>
      <c r="AO67" s="11">
        <v>722.01156891782728</v>
      </c>
      <c r="AP67" s="11">
        <f>713899.348321631/(10^3)</f>
        <v>713.89934832163101</v>
      </c>
      <c r="AQ67" s="11">
        <f>700939.097680046/(10^3)</f>
        <v>700.93909768004596</v>
      </c>
      <c r="AR67" s="11">
        <f>695667.461524377/(10^3)</f>
        <v>695.66746152437702</v>
      </c>
      <c r="AS67" s="11">
        <f>720652.711273314/(10^3)</f>
        <v>720.65271127331391</v>
      </c>
      <c r="AT67" s="11">
        <f>723403.143293269/(10^3)</f>
        <v>723.40314329326895</v>
      </c>
      <c r="AU67" s="11">
        <v>739.59519988181421</v>
      </c>
      <c r="AV67" s="11">
        <f>726217.534044209/(10^3)</f>
        <v>726.21753404420906</v>
      </c>
      <c r="AW67" s="11">
        <f>718389.005210589/(10^3)</f>
        <v>718.38900521058906</v>
      </c>
      <c r="AX67" s="11">
        <f>717819.763609798/(10^3)</f>
        <v>717.81976360979809</v>
      </c>
      <c r="AY67" s="11">
        <f>713463.180140645/(10^3)</f>
        <v>713.46318014064502</v>
      </c>
      <c r="AZ67" s="11">
        <f>738655.98638092/(10^3)</f>
        <v>738.65598638092001</v>
      </c>
      <c r="BA67" s="11">
        <v>773.89007489207984</v>
      </c>
      <c r="BB67" s="11">
        <f>798486.28663238/(10^3)</f>
        <v>798.48628663238003</v>
      </c>
      <c r="BC67" s="11">
        <f>784633.503104466/(10^3)</f>
        <v>784.63350310446606</v>
      </c>
      <c r="BD67" s="11">
        <f>799133.706637053/(10^3)</f>
        <v>799.13370663705302</v>
      </c>
      <c r="BE67" s="11">
        <f>837693.820003035/(10^3)</f>
        <v>837.69382000303506</v>
      </c>
      <c r="BF67" s="11">
        <f>871160.958538003/(10^3)</f>
        <v>871.160958538003</v>
      </c>
      <c r="BG67" s="11">
        <v>910.15411407148667</v>
      </c>
      <c r="BH67" s="11">
        <f>917268.473315315/(10^3)</f>
        <v>917.26847331531496</v>
      </c>
      <c r="BI67" s="11">
        <f>909110.779762412/(10^3)</f>
        <v>909.11077976241199</v>
      </c>
      <c r="BJ67" s="11">
        <f>946819.457260856/(10^3)</f>
        <v>946.8194572608561</v>
      </c>
      <c r="BK67" s="11">
        <f>958532.8403486/(10^3)</f>
        <v>958.53284034859996</v>
      </c>
      <c r="BL67" s="11">
        <f>964894.431620681/(10^3)</f>
        <v>964.89443162068096</v>
      </c>
      <c r="BM67" s="11">
        <v>1009.7247432029196</v>
      </c>
      <c r="BN67" s="11">
        <f>1033941.61472512/(10^3)</f>
        <v>1033.94161472512</v>
      </c>
      <c r="BO67" s="11">
        <f>1079497.56805543/(10^3)</f>
        <v>1079.4975680554301</v>
      </c>
      <c r="BP67" s="11">
        <f>1093497.65734269/(10^3)</f>
        <v>1093.49765734269</v>
      </c>
      <c r="BQ67" s="11">
        <f>1090869.97084814/(10^3)</f>
        <v>1090.8699708481402</v>
      </c>
      <c r="BR67" s="11">
        <f>1132408.96206665/(10^3)</f>
        <v>1132.40896206665</v>
      </c>
      <c r="BS67" s="11">
        <v>1115.1944633967862</v>
      </c>
      <c r="BT67" s="11">
        <f>1124192.35326784/(10^3)</f>
        <v>1124.1923532678402</v>
      </c>
      <c r="BU67" s="11">
        <f>1150162.74029471/(10^3)</f>
        <v>1150.1627402947101</v>
      </c>
      <c r="BV67" s="11">
        <f>1184767.53186351/(10^3)</f>
        <v>1184.7675318635099</v>
      </c>
      <c r="BW67" s="11">
        <f>1235716.24526546/(10^3)</f>
        <v>1235.7162452654602</v>
      </c>
      <c r="BX67" s="11">
        <f>1236526.03435774/(10^3)</f>
        <v>1236.5260343577402</v>
      </c>
      <c r="BY67" s="11">
        <v>1290.5079670789914</v>
      </c>
      <c r="BZ67" s="11">
        <f>1290507.96707899/(10^3)</f>
        <v>1290.5079670789901</v>
      </c>
      <c r="CA67" s="11">
        <f>1297293.85750428/(10^3)</f>
        <v>1297.2938575042801</v>
      </c>
      <c r="CB67" s="11">
        <f>1301651.48118997/(10^3)</f>
        <v>1301.6514811899699</v>
      </c>
      <c r="CC67" s="12"/>
      <c r="DD67" s="11"/>
      <c r="DE67" s="11"/>
      <c r="DF67" s="11"/>
    </row>
    <row r="68" spans="4:110" ht="15.6" x14ac:dyDescent="0.25">
      <c r="D68" s="10" t="s">
        <v>130</v>
      </c>
      <c r="E68" s="10" t="s">
        <v>50</v>
      </c>
      <c r="F68" s="10" t="s">
        <v>151</v>
      </c>
      <c r="G68" s="10" t="s">
        <v>182</v>
      </c>
      <c r="H68" s="67" t="str">
        <f>CONCATENATE(D68," ",G68)</f>
        <v>Boise (피합병)</v>
      </c>
      <c r="I68" s="11">
        <f>377881.854265887/(10^3)</f>
        <v>377.881854265887</v>
      </c>
      <c r="J68" s="11">
        <f>387629.298091571/(10^3)</f>
        <v>387.629298091571</v>
      </c>
      <c r="K68" s="11">
        <v>402.90272619931164</v>
      </c>
      <c r="L68" s="11">
        <f>395978.097474519/(10^3)</f>
        <v>395.97809747451896</v>
      </c>
      <c r="M68" s="11">
        <f>411193.984948918/(10^3)</f>
        <v>411.193984948918</v>
      </c>
      <c r="N68" s="11">
        <f>428341.187073595/(10^3)</f>
        <v>428.34118707359499</v>
      </c>
      <c r="O68" s="11">
        <f>445405.771715163/(10^3)</f>
        <v>445.40577171516304</v>
      </c>
      <c r="P68" s="11">
        <f>466516.062370895/(10^3)</f>
        <v>466.51606237089499</v>
      </c>
      <c r="Q68" s="11">
        <v>472.73127978406444</v>
      </c>
      <c r="R68" s="11">
        <f>487451.314816577/(10^3)</f>
        <v>487.451314816577</v>
      </c>
      <c r="S68" s="11">
        <f>478469.172450545/(10^3)</f>
        <v>478.46917245054499</v>
      </c>
      <c r="T68" s="11">
        <f>469013.939150073/(10^3)</f>
        <v>469.01393915007299</v>
      </c>
      <c r="U68" s="11">
        <f>485928.854909735/(10^3)</f>
        <v>485.92885490973498</v>
      </c>
      <c r="V68" s="11">
        <f>489519.924900658/(10^3)</f>
        <v>489.519924900658</v>
      </c>
      <c r="W68" s="11">
        <v>482.71773759300783</v>
      </c>
      <c r="X68" s="11">
        <f>498606.271925874/(10^3)</f>
        <v>498.60627192587401</v>
      </c>
      <c r="Y68" s="11">
        <f>509177.393890717/(10^3)</f>
        <v>509.17739389071698</v>
      </c>
      <c r="Z68" s="11">
        <f>502536.256635913/(10^3)</f>
        <v>502.53625663591299</v>
      </c>
      <c r="AA68" s="11">
        <f>506798.609636417/(10^3)</f>
        <v>506.79860963641698</v>
      </c>
      <c r="AB68" s="11">
        <f>506218.094508154/(10^3)</f>
        <v>506.21809450815402</v>
      </c>
      <c r="AC68" s="11">
        <v>526.6610203437084</v>
      </c>
      <c r="AD68" s="11">
        <f>516839.732596002/(10^3)</f>
        <v>516.83973259600202</v>
      </c>
      <c r="AE68" s="11">
        <f>527729.085771487/(10^3)</f>
        <v>527.72908577148701</v>
      </c>
      <c r="AF68" s="11">
        <f>533882.803813664/(10^3)</f>
        <v>533.88280381366405</v>
      </c>
      <c r="AG68" s="11">
        <f>523372.758074562/(10^3)</f>
        <v>523.37275807456206</v>
      </c>
      <c r="AH68" s="11">
        <f>522881.416564196/(10^3)</f>
        <v>522.881416564196</v>
      </c>
      <c r="AI68" s="11">
        <v>534.53261046682837</v>
      </c>
      <c r="AJ68" s="11">
        <f>533469.542638523/(10^3)</f>
        <v>533.46954263852308</v>
      </c>
      <c r="AK68" s="11">
        <f>529583.02503873/(10^3)</f>
        <v>529.58302503873006</v>
      </c>
      <c r="AL68" s="11">
        <f>521176.132357633/(10^3)</f>
        <v>521.17613235763292</v>
      </c>
      <c r="AM68" s="11">
        <f>514305.086172653/(10^3)</f>
        <v>514.30508617265298</v>
      </c>
      <c r="AN68" s="11">
        <f>504191.848583005/(10^3)</f>
        <v>504.19184858300503</v>
      </c>
      <c r="AO68" s="11">
        <v>517.20590914015816</v>
      </c>
      <c r="AP68" s="11">
        <f>527936.18562063/(10^3)</f>
        <v>527.93618562063</v>
      </c>
      <c r="AQ68" s="11">
        <f>552543.101117766/(10^3)</f>
        <v>552.54310111776601</v>
      </c>
      <c r="AR68" s="11">
        <f>563036.090046027/(10^3)</f>
        <v>563.03609004602697</v>
      </c>
      <c r="AS68" s="11">
        <f>582660.383882184/(10^3)</f>
        <v>582.66038388218408</v>
      </c>
      <c r="AT68" s="11">
        <f>577474.966988985/(10^3)</f>
        <v>577.47496698898499</v>
      </c>
      <c r="AU68" s="11">
        <v>576.25818497606474</v>
      </c>
      <c r="AV68" s="11">
        <f>567214.478423407/(10^3)</f>
        <v>567.21447842340694</v>
      </c>
      <c r="AW68" s="11">
        <f>589657.701249709/(10^3)</f>
        <v>589.65770124970902</v>
      </c>
      <c r="AX68" s="11">
        <f>597592.660262128/(10^3)</f>
        <v>597.59266026212799</v>
      </c>
      <c r="AY68" s="11">
        <f>586140.531812581/(10^3)</f>
        <v>586.140531812581</v>
      </c>
      <c r="AZ68" s="11">
        <f>603008.215481621/(10^3)</f>
        <v>603.00821548162094</v>
      </c>
      <c r="BA68" s="11">
        <v>618.21768823451271</v>
      </c>
      <c r="BB68" s="11">
        <f>634142.54771549/(10^3)</f>
        <v>634.14254771548997</v>
      </c>
      <c r="BC68" s="11">
        <f>636773.722402039/(10^3)</f>
        <v>636.77372240203897</v>
      </c>
      <c r="BD68" s="11">
        <f>624079.366574081/(10^3)</f>
        <v>624.07936657408106</v>
      </c>
      <c r="BE68" s="11">
        <f>631664.537489388/(10^3)</f>
        <v>631.66453748938807</v>
      </c>
      <c r="BF68" s="11">
        <f>649984.086641632/(10^3)</f>
        <v>649.98408664163208</v>
      </c>
      <c r="BG68" s="11">
        <v>644.2832615158037</v>
      </c>
      <c r="BH68" s="11">
        <f>661489.655638785/(10^3)</f>
        <v>661.48965563878494</v>
      </c>
      <c r="BI68" s="11">
        <f>689403.171834938/(10^3)</f>
        <v>689.40317183493801</v>
      </c>
      <c r="BJ68" s="11">
        <f>716692.604038212/(10^3)</f>
        <v>716.69260403821204</v>
      </c>
      <c r="BK68" s="11">
        <f>732297.246491617/(10^3)</f>
        <v>732.2972464916171</v>
      </c>
      <c r="BL68" s="11">
        <f>753706.517817544/(10^3)</f>
        <v>753.70651781754407</v>
      </c>
      <c r="BM68" s="11">
        <v>740.564429777599</v>
      </c>
      <c r="BN68" s="11">
        <f>740936.550915981/(10^3)</f>
        <v>740.93655091598089</v>
      </c>
      <c r="BO68" s="11">
        <f>760860.721037196/(10^3)</f>
        <v>760.86072103719596</v>
      </c>
      <c r="BP68" s="11">
        <f>754031.569221855/(10^3)</f>
        <v>754.03156922185508</v>
      </c>
      <c r="BQ68" s="11">
        <f>761836.03921594/(10^3)</f>
        <v>761.8360392159401</v>
      </c>
      <c r="BR68" s="11">
        <f>753601.769269868/(10^3)</f>
        <v>753.60176926986799</v>
      </c>
      <c r="BS68" s="11">
        <v>773.91073925207331</v>
      </c>
      <c r="BT68" s="11">
        <f>760638.625709072/(10^3)</f>
        <v>760.63862570907202</v>
      </c>
      <c r="BU68" s="11">
        <f>789067.244234696/(10^3)</f>
        <v>789.06724423469598</v>
      </c>
      <c r="BV68" s="11">
        <f>783861.644901277/(10^3)</f>
        <v>783.86164490127703</v>
      </c>
      <c r="BW68" s="11">
        <f>775432.345774845/(10^3)</f>
        <v>775.43234577484498</v>
      </c>
      <c r="BX68" s="11">
        <f>805455.984095317/(10^3)</f>
        <v>805.45598409531692</v>
      </c>
      <c r="BY68" s="11">
        <v>827.45664955777931</v>
      </c>
      <c r="BZ68" s="11">
        <f>827456.649557779/(10^3)</f>
        <v>827.45664955777897</v>
      </c>
      <c r="CA68" s="11">
        <f>828148.816983339/(10^3)</f>
        <v>828.14881698333897</v>
      </c>
      <c r="CB68" s="11">
        <f>830391.777658393/(10^3)</f>
        <v>830.39177765839304</v>
      </c>
      <c r="CC68" s="12"/>
      <c r="DD68" s="11"/>
      <c r="DE68" s="11"/>
      <c r="DF68" s="11"/>
    </row>
    <row r="69" spans="4:110" ht="15.6" x14ac:dyDescent="0.25">
      <c r="D69" s="10" t="s">
        <v>131</v>
      </c>
      <c r="E69" s="10" t="s">
        <v>91</v>
      </c>
      <c r="F69" s="10" t="s">
        <v>151</v>
      </c>
      <c r="G69" s="10" t="s">
        <v>182</v>
      </c>
      <c r="H69" s="67" t="str">
        <f>CONCATENATE(D69," ",G69)</f>
        <v>Carson City (피합병)</v>
      </c>
      <c r="I69" s="11">
        <f>570065.080866076/(10^3)</f>
        <v>570.06508086607607</v>
      </c>
      <c r="J69" s="11">
        <f>590885.58922162/(10^3)</f>
        <v>590.88558922161997</v>
      </c>
      <c r="K69" s="11">
        <v>606.33941930473623</v>
      </c>
      <c r="L69" s="11">
        <f>599978.766282806/(10^3)</f>
        <v>599.97876628280608</v>
      </c>
      <c r="M69" s="11">
        <f>626885.138911295/(10^3)</f>
        <v>626.88513891129503</v>
      </c>
      <c r="N69" s="11">
        <f>623441.159001677/(10^3)</f>
        <v>623.44115900167697</v>
      </c>
      <c r="O69" s="11">
        <f>615031.171298167/(10^3)</f>
        <v>615.03117129816701</v>
      </c>
      <c r="P69" s="11">
        <f>617959.367514299/(10^3)</f>
        <v>617.95936751429895</v>
      </c>
      <c r="Q69" s="11">
        <v>614.66544888923556</v>
      </c>
      <c r="R69" s="11">
        <f>605230.280234669/(10^3)</f>
        <v>605.23028023466895</v>
      </c>
      <c r="S69" s="11">
        <f>617301.496025712/(10^3)</f>
        <v>617.30149602571203</v>
      </c>
      <c r="T69" s="11">
        <f>608422.0469008/(10^3)</f>
        <v>608.42204690079996</v>
      </c>
      <c r="U69" s="11">
        <f>600416.105455839/(10^3)</f>
        <v>600.41610545583899</v>
      </c>
      <c r="V69" s="11">
        <f>589216.32977537/(10^3)</f>
        <v>589.21632977537001</v>
      </c>
      <c r="W69" s="11">
        <v>585.72948719595081</v>
      </c>
      <c r="X69" s="11">
        <f>581517.399820402/(10^3)</f>
        <v>581.51739982040203</v>
      </c>
      <c r="Y69" s="11">
        <f>574352.820077753/(10^3)</f>
        <v>574.35282007775299</v>
      </c>
      <c r="Z69" s="11">
        <f>587371.556964183/(10^3)</f>
        <v>587.37155696418301</v>
      </c>
      <c r="AA69" s="11">
        <f>578125.781068474/(10^3)</f>
        <v>578.125781068474</v>
      </c>
      <c r="AB69" s="11">
        <f>574896.420660425/(10^3)</f>
        <v>574.89642066042495</v>
      </c>
      <c r="AC69" s="11">
        <v>575.82050234593351</v>
      </c>
      <c r="AD69" s="11">
        <f>572550.144714235/(10^3)</f>
        <v>572.55014471423499</v>
      </c>
      <c r="AE69" s="11">
        <f>573955.67030387/(10^3)</f>
        <v>573.95567030386997</v>
      </c>
      <c r="AF69" s="11">
        <f>577820.134606055/(10^3)</f>
        <v>577.82013460605503</v>
      </c>
      <c r="AG69" s="11">
        <f>579347.810023657/(10^3)</f>
        <v>579.34781002365708</v>
      </c>
      <c r="AH69" s="11">
        <f>586349.657775622/(10^3)</f>
        <v>586.34965777562195</v>
      </c>
      <c r="AI69" s="11">
        <v>593.53695521786949</v>
      </c>
      <c r="AJ69" s="11">
        <f>587523.038773194/(10^3)</f>
        <v>587.523038773194</v>
      </c>
      <c r="AK69" s="11">
        <f>577328.629840678/(10^3)</f>
        <v>577.32862984067799</v>
      </c>
      <c r="AL69" s="11">
        <f>583712.613178819/(10^3)</f>
        <v>583.71261317881897</v>
      </c>
      <c r="AM69" s="11">
        <f>610876.434499159/(10^3)</f>
        <v>610.87643449915902</v>
      </c>
      <c r="AN69" s="11">
        <f>615209.697560623/(10^3)</f>
        <v>615.209697560623</v>
      </c>
      <c r="AO69" s="11">
        <v>640.2272111555194</v>
      </c>
      <c r="AP69" s="11">
        <f>638101.726837835/(10^3)</f>
        <v>638.10172683783503</v>
      </c>
      <c r="AQ69" s="11">
        <f>626052.542141894/(10^3)</f>
        <v>626.05254214189404</v>
      </c>
      <c r="AR69" s="11">
        <f>640106.802642924/(10^3)</f>
        <v>640.10680264292398</v>
      </c>
      <c r="AS69" s="11">
        <f>632954.150260983/(10^3)</f>
        <v>632.95415026098306</v>
      </c>
      <c r="AT69" s="11">
        <f>652507.451124289/(10^3)</f>
        <v>652.50745112428899</v>
      </c>
      <c r="AU69" s="11">
        <v>644.8255000371995</v>
      </c>
      <c r="AV69" s="11">
        <f>652656.506733574/(10^3)</f>
        <v>652.65650673357402</v>
      </c>
      <c r="AW69" s="11">
        <f>640693.345714623/(10^3)</f>
        <v>640.69334571462298</v>
      </c>
      <c r="AX69" s="11">
        <f>633619.065128207/(10^3)</f>
        <v>633.61906512820701</v>
      </c>
      <c r="AY69" s="11">
        <f>631835.147684241/(10^3)</f>
        <v>631.83514768424095</v>
      </c>
      <c r="AZ69" s="11">
        <f>642990.465146096/(10^3)</f>
        <v>642.99046514609597</v>
      </c>
      <c r="BA69" s="11">
        <v>632.21521202330666</v>
      </c>
      <c r="BB69" s="11">
        <f>632780.252204114/(10^3)</f>
        <v>632.78025220411394</v>
      </c>
      <c r="BC69" s="11">
        <f>637640.452917839/(10^3)</f>
        <v>637.64045291783907</v>
      </c>
      <c r="BD69" s="11">
        <f>629866.471955281/(10^3)</f>
        <v>629.86647195528099</v>
      </c>
      <c r="BE69" s="11">
        <f>644782.02996332/(10^3)</f>
        <v>644.78202996332004</v>
      </c>
      <c r="BF69" s="11">
        <f>651021.041609634/(10^3)</f>
        <v>651.02104160963393</v>
      </c>
      <c r="BG69" s="11">
        <v>667.96890063196292</v>
      </c>
      <c r="BH69" s="11">
        <f>666928.46798895/(10^3)</f>
        <v>666.92846798894993</v>
      </c>
      <c r="BI69" s="11">
        <f>700060.615027343/(10^3)</f>
        <v>700.06061502734303</v>
      </c>
      <c r="BJ69" s="11">
        <f>715832.807943285/(10^3)</f>
        <v>715.83280794328493</v>
      </c>
      <c r="BK69" s="11">
        <f>719553.531960675/(10^3)</f>
        <v>719.55353196067506</v>
      </c>
      <c r="BL69" s="11">
        <f>725275.481022521/(10^3)</f>
        <v>725.27548102252103</v>
      </c>
      <c r="BM69" s="11">
        <v>715.41882363633067</v>
      </c>
      <c r="BN69" s="11">
        <f>738717.097533684/(10^3)</f>
        <v>738.71709753368395</v>
      </c>
      <c r="BO69" s="11">
        <f>752694.539611756/(10^3)</f>
        <v>752.694539611756</v>
      </c>
      <c r="BP69" s="11">
        <f>783173.939368653/(10^3)</f>
        <v>783.17393936865301</v>
      </c>
      <c r="BQ69" s="11">
        <f>788168.951713738/(10^3)</f>
        <v>788.16895171373801</v>
      </c>
      <c r="BR69" s="11">
        <f>825397.478416009/(10^3)</f>
        <v>825.39747841600899</v>
      </c>
      <c r="BS69" s="11">
        <v>811.33835523084042</v>
      </c>
      <c r="BT69" s="11">
        <f>809527.923669642/(10^3)</f>
        <v>809.52792366964195</v>
      </c>
      <c r="BU69" s="11">
        <f>824931.477177527/(10^3)</f>
        <v>824.93147717752709</v>
      </c>
      <c r="BV69" s="11">
        <f>832564.324243452/(10^3)</f>
        <v>832.56432424345201</v>
      </c>
      <c r="BW69" s="11">
        <f>855896.522609978/(10^3)</f>
        <v>855.89652260997798</v>
      </c>
      <c r="BX69" s="11">
        <f>847895.175896729/(10^3)</f>
        <v>847.89517589672903</v>
      </c>
      <c r="BY69" s="11">
        <v>834.75838528389204</v>
      </c>
      <c r="BZ69" s="11">
        <f>834758.385283892/(10^3)</f>
        <v>834.75838528389204</v>
      </c>
      <c r="CA69" s="11">
        <f>867065.132352844/(10^3)</f>
        <v>867.06513235284399</v>
      </c>
      <c r="CB69" s="11">
        <f>854261.104311113/(10^3)</f>
        <v>854.26110431111306</v>
      </c>
      <c r="CC69" s="12"/>
      <c r="DD69" s="11"/>
      <c r="DE69" s="11"/>
      <c r="DF69" s="11"/>
    </row>
    <row r="70" spans="4:110" ht="15.6" x14ac:dyDescent="0.25">
      <c r="D70" s="10" t="s">
        <v>132</v>
      </c>
      <c r="E70" s="10" t="s">
        <v>91</v>
      </c>
      <c r="F70" s="10" t="s">
        <v>151</v>
      </c>
      <c r="G70" s="10" t="s">
        <v>182</v>
      </c>
      <c r="H70" s="67" t="str">
        <f>CONCATENATE(D70," ",G70)</f>
        <v>Las Vegas (피합병)</v>
      </c>
      <c r="I70" s="11">
        <f>725847.783419435/(10^3)</f>
        <v>725.84778341943502</v>
      </c>
      <c r="J70" s="11">
        <f>721501.404357639/(10^3)</f>
        <v>721.50140435763899</v>
      </c>
      <c r="K70" s="11">
        <v>752.8387026787567</v>
      </c>
      <c r="L70" s="11">
        <f>747241.769683516/(10^3)</f>
        <v>747.24176968351605</v>
      </c>
      <c r="M70" s="11">
        <f>736121.109455741/(10^3)</f>
        <v>736.12110945574102</v>
      </c>
      <c r="N70" s="11">
        <f>757419.539284649/(10^3)</f>
        <v>757.41953928464898</v>
      </c>
      <c r="O70" s="11">
        <f>764291.737885081/(10^3)</f>
        <v>764.29173788508092</v>
      </c>
      <c r="P70" s="11">
        <f>790257.016762639/(10^3)</f>
        <v>790.25701676263907</v>
      </c>
      <c r="Q70" s="11">
        <v>813.19037112773117</v>
      </c>
      <c r="R70" s="11">
        <f>816277.018337396/(10^3)</f>
        <v>816.27701833739593</v>
      </c>
      <c r="S70" s="11">
        <f>840736.672934799/(10^3)</f>
        <v>840.736672934799</v>
      </c>
      <c r="T70" s="11">
        <f>880965.601082579/(10^3)</f>
        <v>880.96560108257904</v>
      </c>
      <c r="U70" s="11">
        <f>877018.770334778/(10^3)</f>
        <v>877.01877033477797</v>
      </c>
      <c r="V70" s="11">
        <f>873256.859722462/(10^3)</f>
        <v>873.25685972246197</v>
      </c>
      <c r="W70" s="11">
        <v>870.76061466560054</v>
      </c>
      <c r="X70" s="11">
        <f>858977.643368907/(10^3)</f>
        <v>858.97764336890702</v>
      </c>
      <c r="Y70" s="11">
        <f>854630.082943835/(10^3)</f>
        <v>854.63008294383496</v>
      </c>
      <c r="Z70" s="11">
        <f>845053.944402725/(10^3)</f>
        <v>845.05394440272494</v>
      </c>
      <c r="AA70" s="11">
        <f>841849.97081789/(10^3)</f>
        <v>841.84997081789004</v>
      </c>
      <c r="AB70" s="11">
        <f>844415.90979581/(10^3)</f>
        <v>844.41590979580997</v>
      </c>
      <c r="AC70" s="11">
        <v>839.46268904198962</v>
      </c>
      <c r="AD70" s="11">
        <f>830638.03713635/(10^3)</f>
        <v>830.63803713634991</v>
      </c>
      <c r="AE70" s="11">
        <f>816017.280898722/(10^3)</f>
        <v>816.01728089872199</v>
      </c>
      <c r="AF70" s="11">
        <f>805529.131488502/(10^3)</f>
        <v>805.529131488502</v>
      </c>
      <c r="AG70" s="11">
        <f>802453.244224742/(10^3)</f>
        <v>802.45324422474209</v>
      </c>
      <c r="AH70" s="11">
        <f>809760.420938857/(10^3)</f>
        <v>809.76042093885701</v>
      </c>
      <c r="AI70" s="11">
        <v>799.5058290569026</v>
      </c>
      <c r="AJ70" s="11">
        <f>788202.667883344/(10^3)</f>
        <v>788.20266788334402</v>
      </c>
      <c r="AK70" s="11">
        <f>789263.302727234/(10^3)</f>
        <v>789.26330272723396</v>
      </c>
      <c r="AL70" s="11">
        <f>792646.978964474/(10^3)</f>
        <v>792.6469789644741</v>
      </c>
      <c r="AM70" s="11">
        <f>803040.501543578/(10^3)</f>
        <v>803.04050154357799</v>
      </c>
      <c r="AN70" s="11">
        <f>804799.550220232/(10^3)</f>
        <v>804.79955022023194</v>
      </c>
      <c r="AO70" s="11">
        <v>791.98055657463476</v>
      </c>
      <c r="AP70" s="11">
        <f>788741.154527852/(10^3)</f>
        <v>788.74115452785202</v>
      </c>
      <c r="AQ70" s="11">
        <f>814152.304387668/(10^3)</f>
        <v>814.15230438766798</v>
      </c>
      <c r="AR70" s="11">
        <f>845276.694505396/(10^3)</f>
        <v>845.27669450539599</v>
      </c>
      <c r="AS70" s="11">
        <f>843375.359192266/(10^3)</f>
        <v>843.37535919226605</v>
      </c>
      <c r="AT70" s="11">
        <f>833930.183656025/(10^3)</f>
        <v>833.93018365602495</v>
      </c>
      <c r="AU70" s="11">
        <v>828.07888337835163</v>
      </c>
      <c r="AV70" s="11">
        <f>821157.218104839/(10^3)</f>
        <v>821.15721810483899</v>
      </c>
      <c r="AW70" s="11">
        <f>814340.936379369/(10^3)</f>
        <v>814.34093637936905</v>
      </c>
      <c r="AX70" s="11">
        <f>822950.416818818/(10^3)</f>
        <v>822.95041681881798</v>
      </c>
      <c r="AY70" s="11">
        <f>830083.050922268/(10^3)</f>
        <v>830.08305092226794</v>
      </c>
      <c r="AZ70" s="11">
        <f>833967.723587687/(10^3)</f>
        <v>833.96772358768703</v>
      </c>
      <c r="BA70" s="11">
        <v>856.16334805759766</v>
      </c>
      <c r="BB70" s="11">
        <f>864531.520755946/(10^3)</f>
        <v>864.53152075594608</v>
      </c>
      <c r="BC70" s="11">
        <f>864454.136968584/(10^3)</f>
        <v>864.45413696858407</v>
      </c>
      <c r="BD70" s="11">
        <f>867018.090180991/(10^3)</f>
        <v>867.01809018099095</v>
      </c>
      <c r="BE70" s="11">
        <f>909760.31582432/(10^3)</f>
        <v>909.76031582431995</v>
      </c>
      <c r="BF70" s="11">
        <f>935319.659668639/(10^3)</f>
        <v>935.31965966863891</v>
      </c>
      <c r="BG70" s="11">
        <v>966.98849151216689</v>
      </c>
      <c r="BH70" s="11">
        <f>983623.6393408/(10^3)</f>
        <v>983.62363934079997</v>
      </c>
      <c r="BI70" s="11">
        <f>1017879.46836546/(10^3)</f>
        <v>1017.8794683654601</v>
      </c>
      <c r="BJ70" s="11">
        <f>1042221.35830204/(10^3)</f>
        <v>1042.22135830204</v>
      </c>
      <c r="BK70" s="11">
        <f>1044669.41717865/(10^3)</f>
        <v>1044.6694171786501</v>
      </c>
      <c r="BL70" s="11">
        <f>1034530.97035752/(10^3)</f>
        <v>1034.5309703575201</v>
      </c>
      <c r="BM70" s="11">
        <v>1051.0405490453193</v>
      </c>
      <c r="BN70" s="11">
        <f>1031792.74524162/(10^3)</f>
        <v>1031.79274524162</v>
      </c>
      <c r="BO70" s="11">
        <f>1024630.66144026/(10^3)</f>
        <v>1024.6306614402599</v>
      </c>
      <c r="BP70" s="11">
        <f>1047403.62217406/(10^3)</f>
        <v>1047.40362217406</v>
      </c>
      <c r="BQ70" s="11">
        <f>1099207.09400494/(10^3)</f>
        <v>1099.20709400494</v>
      </c>
      <c r="BR70" s="11">
        <f>1139451.87137986/(10^3)</f>
        <v>1139.45187137986</v>
      </c>
      <c r="BS70" s="11">
        <v>1151.6106998164173</v>
      </c>
      <c r="BT70" s="11">
        <f>1142867.27695927/(10^3)</f>
        <v>1142.8672769592699</v>
      </c>
      <c r="BU70" s="11">
        <f>1123460.62243741/(10^3)</f>
        <v>1123.4606224374102</v>
      </c>
      <c r="BV70" s="11">
        <f>1158147.3293668/(10^3)</f>
        <v>1158.1473293668</v>
      </c>
      <c r="BW70" s="11">
        <f>1171441.33000463/(10^3)</f>
        <v>1171.4413300046299</v>
      </c>
      <c r="BX70" s="11">
        <f>1149354.94290215/(10^3)</f>
        <v>1149.35494290215</v>
      </c>
      <c r="BY70" s="11">
        <v>1180.6176499666697</v>
      </c>
      <c r="BZ70" s="11">
        <f>1180617.64996667/(10^3)</f>
        <v>1180.6176499666699</v>
      </c>
      <c r="CA70" s="11">
        <f>1212220.49828373/(10^3)</f>
        <v>1212.22049828373</v>
      </c>
      <c r="CB70" s="11">
        <f>1249906.29282681/(10^3)</f>
        <v>1249.9062928268099</v>
      </c>
      <c r="CC70" s="12"/>
      <c r="DD70" s="11"/>
      <c r="DE70" s="11"/>
      <c r="DF70" s="11"/>
    </row>
    <row r="71" spans="4:110" ht="15.6" x14ac:dyDescent="0.25">
      <c r="D71" s="10" t="s">
        <v>133</v>
      </c>
      <c r="E71" s="10" t="s">
        <v>98</v>
      </c>
      <c r="F71" s="10" t="s">
        <v>151</v>
      </c>
      <c r="G71" s="10" t="s">
        <v>182</v>
      </c>
      <c r="H71" s="67" t="str">
        <f t="shared" ref="H71:H100" si="2">CONCATENATE(D71," ",G71)</f>
        <v>Salem (피합병)</v>
      </c>
      <c r="I71" s="11">
        <f>216851.007217541/(10^3)</f>
        <v>216.851007217541</v>
      </c>
      <c r="J71" s="11">
        <f>212985.896399913/(10^3)</f>
        <v>212.985896399913</v>
      </c>
      <c r="K71" s="11">
        <v>213.9467635635564</v>
      </c>
      <c r="L71" s="11">
        <f>214928.299346521/(10^3)</f>
        <v>214.92829934652102</v>
      </c>
      <c r="M71" s="11">
        <f>217099.776711347/(10^3)</f>
        <v>217.09977671134698</v>
      </c>
      <c r="N71" s="11">
        <f>212951.043223254/(10^3)</f>
        <v>212.951043223254</v>
      </c>
      <c r="O71" s="11">
        <f>219376.255276805/(10^3)</f>
        <v>219.37625527680498</v>
      </c>
      <c r="P71" s="11">
        <f>216674.558043177/(10^3)</f>
        <v>216.674558043177</v>
      </c>
      <c r="Q71" s="11">
        <v>223.25508943094434</v>
      </c>
      <c r="R71" s="11">
        <f>226161.873199901/(10^3)</f>
        <v>226.16187319990098</v>
      </c>
      <c r="S71" s="11">
        <f>236718.939059325/(10^3)</f>
        <v>236.71893905932501</v>
      </c>
      <c r="T71" s="11">
        <f>241128.102229245/(10^3)</f>
        <v>241.128102229245</v>
      </c>
      <c r="U71" s="11">
        <f>236391.122100954/(10^3)</f>
        <v>236.39112210095399</v>
      </c>
      <c r="V71" s="11">
        <f>244739.080343695/(10^3)</f>
        <v>244.73908034369501</v>
      </c>
      <c r="W71" s="11">
        <v>245.90132608014798</v>
      </c>
      <c r="X71" s="11">
        <f>244270.044802391/(10^3)</f>
        <v>244.270044802391</v>
      </c>
      <c r="Y71" s="11">
        <f>243475.528558611/(10^3)</f>
        <v>243.47552855861099</v>
      </c>
      <c r="Z71" s="11">
        <f>240555.8678598/(10^3)</f>
        <v>240.5558678598</v>
      </c>
      <c r="AA71" s="11">
        <f>245151.001576503/(10^3)</f>
        <v>245.15100157650301</v>
      </c>
      <c r="AB71" s="11">
        <f>254385.425870736/(10^3)</f>
        <v>254.38542587073601</v>
      </c>
      <c r="AC71" s="11">
        <v>255.13525865567223</v>
      </c>
      <c r="AD71" s="11">
        <f>252133.633355887/(10^3)</f>
        <v>252.13363335588699</v>
      </c>
      <c r="AE71" s="11">
        <f>261904.750740347/(10^3)</f>
        <v>261.90475074034697</v>
      </c>
      <c r="AF71" s="11">
        <f>264492.980081928/(10^3)</f>
        <v>264.49298008192801</v>
      </c>
      <c r="AG71" s="11">
        <f>259373.39328365/(10^3)</f>
        <v>259.37339328364999</v>
      </c>
      <c r="AH71" s="11">
        <f>266706.066168737/(10^3)</f>
        <v>266.70606616873704</v>
      </c>
      <c r="AI71" s="11">
        <v>273.72467362749273</v>
      </c>
      <c r="AJ71" s="11">
        <f>270840.501628507/(10^3)</f>
        <v>270.84050162850701</v>
      </c>
      <c r="AK71" s="11">
        <f>274842.637490403/(10^3)</f>
        <v>274.84263749040304</v>
      </c>
      <c r="AL71" s="11">
        <f>280214.181725997/(10^3)</f>
        <v>280.21418172599704</v>
      </c>
      <c r="AM71" s="11">
        <f>284378.186918074/(10^3)</f>
        <v>284.37818691807399</v>
      </c>
      <c r="AN71" s="11">
        <f>293050.240984453/(10^3)</f>
        <v>293.05024098445301</v>
      </c>
      <c r="AO71" s="11">
        <v>293.03002154351617</v>
      </c>
      <c r="AP71" s="11">
        <f>292426.765448339/(10^3)</f>
        <v>292.42676544833898</v>
      </c>
      <c r="AQ71" s="11">
        <f>306745.771187153/(10^3)</f>
        <v>306.74577118715303</v>
      </c>
      <c r="AR71" s="11">
        <f>316274.119298571/(10^3)</f>
        <v>316.27411929857101</v>
      </c>
      <c r="AS71" s="11">
        <f>311253.927390151/(10^3)</f>
        <v>311.25392739015103</v>
      </c>
      <c r="AT71" s="11">
        <f>307841.214383493/(10^3)</f>
        <v>307.84121438349302</v>
      </c>
      <c r="AU71" s="11">
        <v>304.43989559800127</v>
      </c>
      <c r="AV71" s="11">
        <f>303455.464283252/(10^3)</f>
        <v>303.45546428325201</v>
      </c>
      <c r="AW71" s="11">
        <f>300470.27802342/(10^3)</f>
        <v>300.47027802342001</v>
      </c>
      <c r="AX71" s="11">
        <f>306888.956224054/(10^3)</f>
        <v>306.88895622405397</v>
      </c>
      <c r="AY71" s="11">
        <f>302585.258600958/(10^3)</f>
        <v>302.58525860095796</v>
      </c>
      <c r="AZ71" s="11">
        <f>312221.254262612/(10^3)</f>
        <v>312.22125426261204</v>
      </c>
      <c r="BA71" s="11">
        <v>319.12077013108558</v>
      </c>
      <c r="BB71" s="11">
        <f>331554.786128292/(10^3)</f>
        <v>331.55478612829199</v>
      </c>
      <c r="BC71" s="11">
        <f>347666.629250908/(10^3)</f>
        <v>347.66662925090799</v>
      </c>
      <c r="BD71" s="11">
        <f>347853.561596131/(10^3)</f>
        <v>347.85356159613099</v>
      </c>
      <c r="BE71" s="11">
        <f>345756.983024091/(10^3)</f>
        <v>345.75698302409097</v>
      </c>
      <c r="BF71" s="11">
        <f>341148.937338762/(10^3)</f>
        <v>341.14893733876198</v>
      </c>
      <c r="BG71" s="11">
        <v>357.81850849295034</v>
      </c>
      <c r="BH71" s="11">
        <f>362657.104099002/(10^3)</f>
        <v>362.65710409900203</v>
      </c>
      <c r="BI71" s="11">
        <f>374465.781557239/(10^3)</f>
        <v>374.46578155723898</v>
      </c>
      <c r="BJ71" s="11">
        <f>374954.867951865/(10^3)</f>
        <v>374.95486795186503</v>
      </c>
      <c r="BK71" s="11">
        <f>376581.911964567/(10^3)</f>
        <v>376.58191196456704</v>
      </c>
      <c r="BL71" s="11">
        <f>385340.793891554/(10^3)</f>
        <v>385.34079389155397</v>
      </c>
      <c r="BM71" s="11">
        <v>403.22138690805474</v>
      </c>
      <c r="BN71" s="11">
        <f>409119.630056424/(10^3)</f>
        <v>409.119630056424</v>
      </c>
      <c r="BO71" s="11">
        <f>417819.934406041/(10^3)</f>
        <v>417.819934406041</v>
      </c>
      <c r="BP71" s="11">
        <f>409601.469803017/(10^3)</f>
        <v>409.60146980301698</v>
      </c>
      <c r="BQ71" s="11">
        <f>413965.701032786/(10^3)</f>
        <v>413.965701032786</v>
      </c>
      <c r="BR71" s="11">
        <f>422811.984866876/(10^3)</f>
        <v>422.811984866876</v>
      </c>
      <c r="BS71" s="11">
        <v>414.88778019968652</v>
      </c>
      <c r="BT71" s="11">
        <f>423561.616625814/(10^3)</f>
        <v>423.561616625814</v>
      </c>
      <c r="BU71" s="11">
        <f>439483.728379936/(10^3)</f>
        <v>439.483728379936</v>
      </c>
      <c r="BV71" s="11">
        <f>456598.770491913/(10^3)</f>
        <v>456.598770491913</v>
      </c>
      <c r="BW71" s="11">
        <f>466712.694460813/(10^3)</f>
        <v>466.712694460813</v>
      </c>
      <c r="BX71" s="11">
        <f>458636.075679695/(10^3)</f>
        <v>458.63607567969501</v>
      </c>
      <c r="BY71" s="11">
        <v>464.49089983029432</v>
      </c>
      <c r="BZ71" s="11">
        <f>464490.899830294/(10^3)</f>
        <v>464.49089983029404</v>
      </c>
      <c r="CA71" s="11">
        <f>460559.856689708/(10^3)</f>
        <v>460.559856689708</v>
      </c>
      <c r="CB71" s="11">
        <f>477070.699746465/(10^3)</f>
        <v>477.07069974646504</v>
      </c>
      <c r="CC71" s="12"/>
      <c r="DD71" s="11"/>
      <c r="DE71" s="11"/>
      <c r="DF71" s="11"/>
    </row>
    <row r="72" spans="4:110" ht="15.6" x14ac:dyDescent="0.25">
      <c r="D72" s="10" t="s">
        <v>89</v>
      </c>
      <c r="E72" s="10" t="s">
        <v>98</v>
      </c>
      <c r="F72" s="10" t="s">
        <v>151</v>
      </c>
      <c r="G72" s="10" t="s">
        <v>182</v>
      </c>
      <c r="H72" s="67" t="str">
        <f t="shared" si="2"/>
        <v>Portland (피합병)</v>
      </c>
      <c r="I72" s="11">
        <f>349627.030117465/(10^3)</f>
        <v>349.62703011746498</v>
      </c>
      <c r="J72" s="11">
        <f>361120.948995871/(10^3)</f>
        <v>361.120948995871</v>
      </c>
      <c r="K72" s="11">
        <v>364.55618564417688</v>
      </c>
      <c r="L72" s="11">
        <f>380778.021299192/(10^3)</f>
        <v>380.77802129919201</v>
      </c>
      <c r="M72" s="11">
        <f>390664.989324141/(10^3)</f>
        <v>390.664989324141</v>
      </c>
      <c r="N72" s="11">
        <f>393211.413223708/(10^3)</f>
        <v>393.21141322370801</v>
      </c>
      <c r="O72" s="11">
        <f>389652.358407022/(10^3)</f>
        <v>389.65235840702201</v>
      </c>
      <c r="P72" s="11">
        <f>390242.028702163/(10^3)</f>
        <v>390.242028702163</v>
      </c>
      <c r="Q72" s="11">
        <v>405.47744681469192</v>
      </c>
      <c r="R72" s="11">
        <f>401484.939432661/(10^3)</f>
        <v>401.48493943266101</v>
      </c>
      <c r="S72" s="11">
        <f>413654.982322098/(10^3)</f>
        <v>413.65498232209796</v>
      </c>
      <c r="T72" s="11">
        <f>405621.11593843/(10^3)</f>
        <v>405.62111593843002</v>
      </c>
      <c r="U72" s="11">
        <f>398058.705968366/(10^3)</f>
        <v>398.05870596836598</v>
      </c>
      <c r="V72" s="11">
        <f>394346.068271269/(10^3)</f>
        <v>394.34606827126896</v>
      </c>
      <c r="W72" s="11">
        <v>394.25407594683031</v>
      </c>
      <c r="X72" s="11">
        <f>389023.239454505/(10^3)</f>
        <v>389.02323945450496</v>
      </c>
      <c r="Y72" s="11">
        <f>398153.551559665/(10^3)</f>
        <v>398.153551559665</v>
      </c>
      <c r="Z72" s="11">
        <f>402324.512161694/(10^3)</f>
        <v>402.32451216169397</v>
      </c>
      <c r="AA72" s="11">
        <f>401673.844637318/(10^3)</f>
        <v>401.67384463731798</v>
      </c>
      <c r="AB72" s="11">
        <f>404478.40449539/(10^3)</f>
        <v>404.47840449539001</v>
      </c>
      <c r="AC72" s="11">
        <v>401.25075712123095</v>
      </c>
      <c r="AD72" s="11">
        <f>408933.149740626/(10^3)</f>
        <v>408.93314974062599</v>
      </c>
      <c r="AE72" s="11">
        <f>408355.337814573/(10^3)</f>
        <v>408.35533781457303</v>
      </c>
      <c r="AF72" s="11">
        <f>407212.920312006/(10^3)</f>
        <v>407.21292031200602</v>
      </c>
      <c r="AG72" s="11">
        <f>402348.764934616/(10^3)</f>
        <v>402.34876493461599</v>
      </c>
      <c r="AH72" s="11">
        <f>410136.807180814/(10^3)</f>
        <v>410.136807180814</v>
      </c>
      <c r="AI72" s="11">
        <v>425.32248366155494</v>
      </c>
      <c r="AJ72" s="11">
        <f>424882.617180661/(10^3)</f>
        <v>424.88261718066099</v>
      </c>
      <c r="AK72" s="11">
        <f>419245.105366194/(10^3)</f>
        <v>419.24510536619397</v>
      </c>
      <c r="AL72" s="11">
        <f>423058.167942014/(10^3)</f>
        <v>423.05816794201399</v>
      </c>
      <c r="AM72" s="11">
        <f>423980.168978113/(10^3)</f>
        <v>423.980168978113</v>
      </c>
      <c r="AN72" s="11">
        <f>430774.438004689/(10^3)</f>
        <v>430.77443800468899</v>
      </c>
      <c r="AO72" s="11">
        <v>422.65672025804378</v>
      </c>
      <c r="AP72" s="11">
        <f>420106.342477091/(10^3)</f>
        <v>420.106342477091</v>
      </c>
      <c r="AQ72" s="11">
        <f>415475.620643986/(10^3)</f>
        <v>415.47562064398596</v>
      </c>
      <c r="AR72" s="11">
        <f>411620.205440448/(10^3)</f>
        <v>411.62020544044799</v>
      </c>
      <c r="AS72" s="11">
        <f>416861.980768827/(10^3)</f>
        <v>416.86198076882704</v>
      </c>
      <c r="AT72" s="11">
        <f>423402.738808422/(10^3)</f>
        <v>423.40273880842199</v>
      </c>
      <c r="AU72" s="11">
        <v>423.90515373391196</v>
      </c>
      <c r="AV72" s="11">
        <f>438543.892175928/(10^3)</f>
        <v>438.54389217592797</v>
      </c>
      <c r="AW72" s="11">
        <f>431005.328048298/(10^3)</f>
        <v>431.005328048298</v>
      </c>
      <c r="AX72" s="11">
        <f>422809.500096934/(10^3)</f>
        <v>422.80950009693396</v>
      </c>
      <c r="AY72" s="11">
        <f>415248.165482429/(10^3)</f>
        <v>415.24816548242899</v>
      </c>
      <c r="AZ72" s="11">
        <f>433933.22603785/(10^3)</f>
        <v>433.93322603785003</v>
      </c>
      <c r="BA72" s="11">
        <v>441.27420823854561</v>
      </c>
      <c r="BB72" s="11">
        <f>459137.737033919/(10^3)</f>
        <v>459.13773703391905</v>
      </c>
      <c r="BC72" s="11">
        <f>450709.632156221/(10^3)</f>
        <v>450.70963215622101</v>
      </c>
      <c r="BD72" s="11">
        <f>461390.905757903/(10^3)</f>
        <v>461.390905757903</v>
      </c>
      <c r="BE72" s="11">
        <f>483759.973143125/(10^3)</f>
        <v>483.75997314312502</v>
      </c>
      <c r="BF72" s="11">
        <f>495151.567703107/(10^3)</f>
        <v>495.15156770310705</v>
      </c>
      <c r="BG72" s="11">
        <v>493.22459807077473</v>
      </c>
      <c r="BH72" s="11">
        <f>510087.22586088/(10^3)</f>
        <v>510.08722586087998</v>
      </c>
      <c r="BI72" s="11">
        <f>522472.586337657/(10^3)</f>
        <v>522.47258633765705</v>
      </c>
      <c r="BJ72" s="11">
        <f>542288.86603868/(10^3)</f>
        <v>542.28886603868</v>
      </c>
      <c r="BK72" s="11">
        <f>539720.442189168/(10^3)</f>
        <v>539.7204421891679</v>
      </c>
      <c r="BL72" s="11">
        <f>552058.543417683/(10^3)</f>
        <v>552.05854341768304</v>
      </c>
      <c r="BM72" s="11">
        <v>565.42979134655207</v>
      </c>
      <c r="BN72" s="11">
        <f>582653.684939717/(10^3)</f>
        <v>582.65368493971698</v>
      </c>
      <c r="BO72" s="11">
        <f>599388.518073601/(10^3)</f>
        <v>599.38851807360095</v>
      </c>
      <c r="BP72" s="11">
        <f>603291.463884374/(10^3)</f>
        <v>603.29146388437402</v>
      </c>
      <c r="BQ72" s="11">
        <f>614543.28504706/(10^3)</f>
        <v>614.54328504705995</v>
      </c>
      <c r="BR72" s="11">
        <f>644027.776816085/(10^3)</f>
        <v>644.02777681608495</v>
      </c>
      <c r="BS72" s="11">
        <v>650.2236338459162</v>
      </c>
      <c r="BT72" s="11">
        <f>639219.700020208/(10^3)</f>
        <v>639.21970002020805</v>
      </c>
      <c r="BU72" s="11">
        <f>659980.384299694/(10^3)</f>
        <v>659.98038429969392</v>
      </c>
      <c r="BV72" s="11">
        <f>678362.239631119/(10^3)</f>
        <v>678.362239631119</v>
      </c>
      <c r="BW72" s="11">
        <f>697970.535497234/(10^3)</f>
        <v>697.97053549723398</v>
      </c>
      <c r="BX72" s="11">
        <f>714410.096213114/(10^3)</f>
        <v>714.410096213114</v>
      </c>
      <c r="BY72" s="11">
        <v>739.57047048518007</v>
      </c>
      <c r="BZ72" s="11">
        <f>739570.47048518/(10^3)</f>
        <v>739.57047048518007</v>
      </c>
      <c r="CA72" s="11">
        <f>758644.549817691/(10^3)</f>
        <v>758.64454981769097</v>
      </c>
      <c r="CB72" s="11">
        <f>777553.437799999/(10^3)</f>
        <v>777.55343779999907</v>
      </c>
      <c r="CC72" s="12"/>
      <c r="DD72" s="11"/>
      <c r="DE72" s="11"/>
      <c r="DF72" s="11"/>
    </row>
    <row r="73" spans="4:110" ht="15.6" x14ac:dyDescent="0.25">
      <c r="D73" s="10" t="s">
        <v>134</v>
      </c>
      <c r="E73" s="10" t="s">
        <v>109</v>
      </c>
      <c r="F73" s="10" t="s">
        <v>151</v>
      </c>
      <c r="G73" s="10" t="s">
        <v>182</v>
      </c>
      <c r="H73" s="67" t="str">
        <f t="shared" si="2"/>
        <v>Salt Lake City (피합병)</v>
      </c>
      <c r="I73" s="11">
        <f>1074605.69795899/(10^3)</f>
        <v>1074.60569795899</v>
      </c>
      <c r="J73" s="11">
        <f>1118042.30357489/(10^3)</f>
        <v>1118.04230357489</v>
      </c>
      <c r="K73" s="11">
        <v>1149.7683611285388</v>
      </c>
      <c r="L73" s="11">
        <f>1196523.8775435/(10^3)</f>
        <v>1196.5238775435</v>
      </c>
      <c r="M73" s="11">
        <f>1243266.99660848/(10^3)</f>
        <v>1243.2669966084802</v>
      </c>
      <c r="N73" s="11">
        <f>1289464.62312136/(10^3)</f>
        <v>1289.4646231213601</v>
      </c>
      <c r="O73" s="11">
        <f>1349971.62834622/(10^3)</f>
        <v>1349.9716283462199</v>
      </c>
      <c r="P73" s="11">
        <f>1375671.9137872/(10^3)</f>
        <v>1375.6719137872001</v>
      </c>
      <c r="Q73" s="11">
        <v>1371.9975271353544</v>
      </c>
      <c r="R73" s="11">
        <f>1417201.68449066/(10^3)</f>
        <v>1417.20168449066</v>
      </c>
      <c r="S73" s="11">
        <f>1447087.10470323/(10^3)</f>
        <v>1447.0871047032301</v>
      </c>
      <c r="T73" s="11">
        <f>1477237.67930254/(10^3)</f>
        <v>1477.2376793025398</v>
      </c>
      <c r="U73" s="11">
        <f>1492334.64277442/(10^3)</f>
        <v>1492.33464277442</v>
      </c>
      <c r="V73" s="11">
        <f>1477076.95011789/(10^3)</f>
        <v>1477.07695011789</v>
      </c>
      <c r="W73" s="11">
        <v>1450.2975258481831</v>
      </c>
      <c r="X73" s="11">
        <f>1494150.0295319/(10^3)</f>
        <v>1494.1500295319001</v>
      </c>
      <c r="Y73" s="11">
        <f>1470771.26271425/(10^3)</f>
        <v>1470.77126271425</v>
      </c>
      <c r="Z73" s="11">
        <f>1454846.47056809/(10^3)</f>
        <v>1454.8464705680899</v>
      </c>
      <c r="AA73" s="11">
        <f>1526741.31326861/(10^3)</f>
        <v>1526.7413132686102</v>
      </c>
      <c r="AB73" s="11">
        <f>1507152.6261166/(10^3)</f>
        <v>1507.1526261165998</v>
      </c>
      <c r="AC73" s="11">
        <v>1502.1060421403415</v>
      </c>
      <c r="AD73" s="11">
        <f>1497347.92245389/(10^3)</f>
        <v>1497.3479224538901</v>
      </c>
      <c r="AE73" s="11">
        <f>1486098.71575152/(10^3)</f>
        <v>1486.0987157515199</v>
      </c>
      <c r="AF73" s="11">
        <f>1464546.35827388/(10^3)</f>
        <v>1464.5463582738801</v>
      </c>
      <c r="AG73" s="11">
        <f>1465217.05898665/(10^3)</f>
        <v>1465.21705898665</v>
      </c>
      <c r="AH73" s="11">
        <f>1510801.98949477/(10^3)</f>
        <v>1510.8019894947702</v>
      </c>
      <c r="AI73" s="11">
        <v>1501.2535790796219</v>
      </c>
      <c r="AJ73" s="11">
        <f>1494219.0439692/(10^3)</f>
        <v>1494.2190439691999</v>
      </c>
      <c r="AK73" s="11">
        <f>1485116.38715051/(10^3)</f>
        <v>1485.11638715051</v>
      </c>
      <c r="AL73" s="11">
        <f>1484055.84531443/(10^3)</f>
        <v>1484.0558453144301</v>
      </c>
      <c r="AM73" s="11">
        <f>1521366.68549757/(10^3)</f>
        <v>1521.3666854975702</v>
      </c>
      <c r="AN73" s="11">
        <f>1508119.80881616/(10^3)</f>
        <v>1508.11980881616</v>
      </c>
      <c r="AO73" s="11">
        <v>1482.5792049717388</v>
      </c>
      <c r="AP73" s="11">
        <f>1465290.33080047/(10^3)</f>
        <v>1465.29033080047</v>
      </c>
      <c r="AQ73" s="11">
        <f>1436784.66354094/(10^3)</f>
        <v>1436.7846635409401</v>
      </c>
      <c r="AR73" s="11">
        <f>1433998.53160753/(10^3)</f>
        <v>1433.9985316075301</v>
      </c>
      <c r="AS73" s="11">
        <f>1410069.28465549/(10^3)</f>
        <v>1410.06928465549</v>
      </c>
      <c r="AT73" s="11">
        <f>1460500.70612086/(10^3)</f>
        <v>1460.5007061208601</v>
      </c>
      <c r="AU73" s="11">
        <v>1519.5567450446858</v>
      </c>
      <c r="AV73" s="11">
        <f>1500121.73456393/(10^3)</f>
        <v>1500.12173456393</v>
      </c>
      <c r="AW73" s="11">
        <f>1563947.16681982/(10^3)</f>
        <v>1563.94716681982</v>
      </c>
      <c r="AX73" s="11">
        <f>1623341.8753929/(10^3)</f>
        <v>1623.3418753929002</v>
      </c>
      <c r="AY73" s="11">
        <f>1658858.48330901/(10^3)</f>
        <v>1658.8584833090101</v>
      </c>
      <c r="AZ73" s="11">
        <f>1627021.16605402/(10^3)</f>
        <v>1627.0211660540199</v>
      </c>
      <c r="BA73" s="11">
        <v>1613.4506748776005</v>
      </c>
      <c r="BB73" s="11">
        <f>1675996.77045351/(10^3)</f>
        <v>1675.9967704535102</v>
      </c>
      <c r="BC73" s="11">
        <f>1724122.65917765/(10^3)</f>
        <v>1724.1226591776499</v>
      </c>
      <c r="BD73" s="11">
        <f>1726954.80173339/(10^3)</f>
        <v>1726.95480173339</v>
      </c>
      <c r="BE73" s="11">
        <f>1736707.06304423/(10^3)</f>
        <v>1736.7070630442299</v>
      </c>
      <c r="BF73" s="11">
        <f>1771218.30434266/(10^3)</f>
        <v>1771.2183043426598</v>
      </c>
      <c r="BG73" s="11">
        <v>1758.4781410273999</v>
      </c>
      <c r="BH73" s="11">
        <f>1762961.46900978/(10^3)</f>
        <v>1762.9614690097801</v>
      </c>
      <c r="BI73" s="11">
        <f>1793763.36609607/(10^3)</f>
        <v>1793.7633660960701</v>
      </c>
      <c r="BJ73" s="11">
        <f>1797468.51421028/(10^3)</f>
        <v>1797.4685142102801</v>
      </c>
      <c r="BK73" s="11">
        <f>1829894.77378807/(10^3)</f>
        <v>1829.8947737880701</v>
      </c>
      <c r="BL73" s="11">
        <f>1879744.39905208/(10^3)</f>
        <v>1879.7443990520801</v>
      </c>
      <c r="BM73" s="11">
        <v>1853.6744623768686</v>
      </c>
      <c r="BN73" s="11">
        <f>1821018.6354273/(10^3)</f>
        <v>1821.0186354272998</v>
      </c>
      <c r="BO73" s="11">
        <f>1860946.85643851/(10^3)</f>
        <v>1860.9468564385099</v>
      </c>
      <c r="BP73" s="11">
        <f>1949780.92624324/(10^3)</f>
        <v>1949.7809262432399</v>
      </c>
      <c r="BQ73" s="11">
        <f>2033281.04719648/(10^3)</f>
        <v>2033.2810471964799</v>
      </c>
      <c r="BR73" s="11">
        <f>2128742.8473356/(10^3)</f>
        <v>2128.7428473355999</v>
      </c>
      <c r="BS73" s="11">
        <v>2109.0527803390601</v>
      </c>
      <c r="BT73" s="11">
        <f>2137726.9033876/(10^3)</f>
        <v>2137.7269033876</v>
      </c>
      <c r="BU73" s="11">
        <f>2217751.05163406/(10^3)</f>
        <v>2217.7510516340603</v>
      </c>
      <c r="BV73" s="11">
        <f>2220111.65518196/(10^3)</f>
        <v>2220.11165518196</v>
      </c>
      <c r="BW73" s="11">
        <f>2323118.92342899/(10^3)</f>
        <v>2323.11892342899</v>
      </c>
      <c r="BX73" s="11">
        <f>2282015.18935429/(10^3)</f>
        <v>2282.0151893542898</v>
      </c>
      <c r="BY73" s="11">
        <v>2301.6088058974133</v>
      </c>
      <c r="BZ73" s="11">
        <f>2301608.80589741/(10^3)</f>
        <v>2301.6088058974101</v>
      </c>
      <c r="CA73" s="11">
        <f>2274236.3506701/(10^3)</f>
        <v>2274.2363506701004</v>
      </c>
      <c r="CB73" s="11">
        <f>2343546.26221863/(10^3)</f>
        <v>2343.5462622186301</v>
      </c>
      <c r="CC73" s="12"/>
      <c r="DD73" s="11"/>
      <c r="DE73" s="11"/>
      <c r="DF73" s="11"/>
    </row>
    <row r="74" spans="4:110" ht="15.6" x14ac:dyDescent="0.25">
      <c r="D74" s="10" t="s">
        <v>135</v>
      </c>
      <c r="E74" s="10" t="s">
        <v>115</v>
      </c>
      <c r="F74" s="10" t="s">
        <v>151</v>
      </c>
      <c r="G74" s="10" t="s">
        <v>182</v>
      </c>
      <c r="H74" s="67" t="str">
        <f t="shared" si="2"/>
        <v>Olympia (피합병)</v>
      </c>
      <c r="I74" s="11">
        <f>76259.945519757/(10^3)</f>
        <v>76.259945519757011</v>
      </c>
      <c r="J74" s="11">
        <f>79360.9333025102/(10^3)</f>
        <v>79.36093330251019</v>
      </c>
      <c r="K74" s="11">
        <v>79.843869297705737</v>
      </c>
      <c r="L74" s="11">
        <f>79919.5773176923/(10^3)</f>
        <v>79.919577317692301</v>
      </c>
      <c r="M74" s="11">
        <f>78703.1467358984/(10^3)</f>
        <v>78.7031467358984</v>
      </c>
      <c r="N74" s="11">
        <f>81684.653325252/(10^3)</f>
        <v>81.684653325252</v>
      </c>
      <c r="O74" s="11">
        <f>84189.7563637018/(10^3)</f>
        <v>84.189756363701804</v>
      </c>
      <c r="P74" s="11">
        <f>85654.7079701202/(10^3)</f>
        <v>85.654707970120199</v>
      </c>
      <c r="Q74" s="11">
        <v>88.102666459602474</v>
      </c>
      <c r="R74" s="11">
        <f>89491.5852679946/(10^3)</f>
        <v>89.491585267994594</v>
      </c>
      <c r="S74" s="11">
        <f>90710.0889970225/(10^3)</f>
        <v>90.710088997022496</v>
      </c>
      <c r="T74" s="11">
        <f>90774.5007677884/(10^3)</f>
        <v>90.774500767788396</v>
      </c>
      <c r="U74" s="11">
        <f>89771.5242767641/(10^3)</f>
        <v>89.771524276764097</v>
      </c>
      <c r="V74" s="11">
        <f>88107.3519033291/(10^3)</f>
        <v>88.107351903329089</v>
      </c>
      <c r="W74" s="11">
        <v>87.637506355343064</v>
      </c>
      <c r="X74" s="11">
        <f>89671.81311227/(10^3)</f>
        <v>89.671813112270002</v>
      </c>
      <c r="Y74" s="11">
        <f>89277.3352854808/(10^3)</f>
        <v>89.277335285480802</v>
      </c>
      <c r="Z74" s="11">
        <f>92359.3725414476/(10^3)</f>
        <v>92.359372541447613</v>
      </c>
      <c r="AA74" s="11">
        <f>92143.3931495577/(10^3)</f>
        <v>92.143393149557696</v>
      </c>
      <c r="AB74" s="11">
        <f>91770.4941750673/(10^3)</f>
        <v>91.770494175067299</v>
      </c>
      <c r="AC74" s="11">
        <v>90.344910176110275</v>
      </c>
      <c r="AD74" s="11">
        <f>88605.73570468/(10^3)</f>
        <v>88.605735704680001</v>
      </c>
      <c r="AE74" s="11">
        <f>88640.5820561229/(10^3)</f>
        <v>88.640582056122909</v>
      </c>
      <c r="AF74" s="11">
        <f>91076.0175305885/(10^3)</f>
        <v>91.076017530588501</v>
      </c>
      <c r="AG74" s="11">
        <f>90542.8802493077/(10^3)</f>
        <v>90.5428802493077</v>
      </c>
      <c r="AH74" s="11">
        <f>90016.2601651653/(10^3)</f>
        <v>90.016260165165292</v>
      </c>
      <c r="AI74" s="11">
        <v>89.414697117389153</v>
      </c>
      <c r="AJ74" s="11">
        <f>87651.770379425/(10^3)</f>
        <v>87.651770379425002</v>
      </c>
      <c r="AK74" s="11">
        <f>85993.6218339904/(10^3)</f>
        <v>85.993621833990403</v>
      </c>
      <c r="AL74" s="11">
        <f>85348.6878082955/(10^3)</f>
        <v>85.348687808295495</v>
      </c>
      <c r="AM74" s="11">
        <f>83716.305691182/(10^3)</f>
        <v>83.716305691182001</v>
      </c>
      <c r="AN74" s="11">
        <f>83711.9610262307/(10^3)</f>
        <v>83.711961026230696</v>
      </c>
      <c r="AO74" s="11">
        <v>83.523554235209943</v>
      </c>
      <c r="AP74" s="11">
        <f>82986.7355726266/(10^3)</f>
        <v>82.9867355726266</v>
      </c>
      <c r="AQ74" s="11">
        <f>82928.8484009307/(10^3)</f>
        <v>82.928848400930704</v>
      </c>
      <c r="AR74" s="11">
        <f>81477.2222215025/(10^3)</f>
        <v>81.477222221502501</v>
      </c>
      <c r="AS74" s="11">
        <f>80534.1538187132/(10^3)</f>
        <v>80.534153818713193</v>
      </c>
      <c r="AT74" s="11">
        <f>79434.7043756627/(10^3)</f>
        <v>79.43470437566269</v>
      </c>
      <c r="AU74" s="11">
        <v>79.168367885477622</v>
      </c>
      <c r="AV74" s="11">
        <f>79032.4065425528/(10^3)</f>
        <v>79.032406542552792</v>
      </c>
      <c r="AW74" s="11">
        <f>78088.3046274609/(10^3)</f>
        <v>78.0883046274609</v>
      </c>
      <c r="AX74" s="11">
        <f>80979.9541356666/(10^3)</f>
        <v>80.979954135666603</v>
      </c>
      <c r="AY74" s="11">
        <f>80218.3188970243/(10^3)</f>
        <v>80.218318897024304</v>
      </c>
      <c r="AZ74" s="11">
        <f>79303.5696998805/(10^3)</f>
        <v>79.303569699880512</v>
      </c>
      <c r="BA74" s="11">
        <v>80.34822943298424</v>
      </c>
      <c r="BB74" s="11">
        <f>80041.2401506867/(10^3)</f>
        <v>80.041240150686704</v>
      </c>
      <c r="BC74" s="11">
        <f>79583.8128145425/(10^3)</f>
        <v>79.583812814542497</v>
      </c>
      <c r="BD74" s="11">
        <f>80126.6539032881/(10^3)</f>
        <v>80.126653903288101</v>
      </c>
      <c r="BE74" s="11">
        <f>80223.1606474332/(10^3)</f>
        <v>80.22316064743319</v>
      </c>
      <c r="BF74" s="11">
        <f>82345.5071389871/(10^3)</f>
        <v>82.345507138987102</v>
      </c>
      <c r="BG74" s="11">
        <v>86.302261137748786</v>
      </c>
      <c r="BH74" s="11">
        <f>88234.4121179843/(10^3)</f>
        <v>88.234412117984306</v>
      </c>
      <c r="BI74" s="11">
        <f>90277.9287863653/(10^3)</f>
        <v>90.277928786365294</v>
      </c>
      <c r="BJ74" s="11">
        <f>88988.2824404149/(10^3)</f>
        <v>88.988282440414906</v>
      </c>
      <c r="BK74" s="11">
        <f>88067.202719587/(10^3)</f>
        <v>88.067202719587002</v>
      </c>
      <c r="BL74" s="11">
        <f>89625.7168832263/(10^3)</f>
        <v>89.625716883226303</v>
      </c>
      <c r="BM74" s="11">
        <v>90.966727807885604</v>
      </c>
      <c r="BN74" s="11">
        <f>93123.3032020714/(10^3)</f>
        <v>93.123303202071398</v>
      </c>
      <c r="BO74" s="11">
        <f>97015.4552138384/(10^3)</f>
        <v>97.015455213838408</v>
      </c>
      <c r="BP74" s="11">
        <f>100113.270099786/(10^3)</f>
        <v>100.11327009978599</v>
      </c>
      <c r="BQ74" s="11">
        <f>100592.932956775/(10^3)</f>
        <v>100.592932956775</v>
      </c>
      <c r="BR74" s="11">
        <f>104582.385186769/(10^3)</f>
        <v>104.582385186769</v>
      </c>
      <c r="BS74" s="11">
        <v>106.23547317312784</v>
      </c>
      <c r="BT74" s="11">
        <f>108418.285307994/(10^3)</f>
        <v>108.418285307994</v>
      </c>
      <c r="BU74" s="11">
        <f>111194.065358305/(10^3)</f>
        <v>111.194065358305</v>
      </c>
      <c r="BV74" s="11">
        <f>112925.095067392/(10^3)</f>
        <v>112.92509506739201</v>
      </c>
      <c r="BW74" s="11">
        <f>117776.885943696/(10^3)</f>
        <v>117.776885943696</v>
      </c>
      <c r="BX74" s="11">
        <f>122958.179742856/(10^3)</f>
        <v>122.95817974285599</v>
      </c>
      <c r="BY74" s="11">
        <v>121.0749938843402</v>
      </c>
      <c r="BZ74" s="11">
        <f>121074.99388434/(10^3)</f>
        <v>121.07499388434</v>
      </c>
      <c r="CA74" s="11">
        <f>126277.683384516/(10^3)</f>
        <v>126.277683384516</v>
      </c>
      <c r="CB74" s="11">
        <f>128282.139617521/(10^3)</f>
        <v>128.28213961752098</v>
      </c>
      <c r="CC74" s="12"/>
      <c r="DD74" s="11"/>
      <c r="DE74" s="11"/>
      <c r="DF74" s="11"/>
    </row>
    <row r="75" spans="4:110" ht="15.6" x14ac:dyDescent="0.25">
      <c r="D75" s="10" t="s">
        <v>136</v>
      </c>
      <c r="E75" s="10" t="s">
        <v>115</v>
      </c>
      <c r="F75" s="10" t="s">
        <v>151</v>
      </c>
      <c r="G75" s="10" t="s">
        <v>182</v>
      </c>
      <c r="H75" s="67" t="str">
        <f t="shared" si="2"/>
        <v>Seattle (피합병)</v>
      </c>
      <c r="I75" s="11">
        <f>59947.8212184555/(10^3)</f>
        <v>59.947821218455502</v>
      </c>
      <c r="J75" s="11">
        <f>59071.5781084033/(10^3)</f>
        <v>59.071578108403301</v>
      </c>
      <c r="K75" s="11">
        <v>60.466405514595138</v>
      </c>
      <c r="L75" s="11">
        <f>61275.1724758865/(10^3)</f>
        <v>61.2751724758865</v>
      </c>
      <c r="M75" s="11">
        <f>60185.0577995936/(10^3)</f>
        <v>60.185057799593594</v>
      </c>
      <c r="N75" s="11">
        <f>63057.4135904125/(10^3)</f>
        <v>63.057413590412501</v>
      </c>
      <c r="O75" s="11">
        <f>65480.6755493476/(10^3)</f>
        <v>65.480675549347595</v>
      </c>
      <c r="P75" s="11">
        <f>67375.2103819953/(10^3)</f>
        <v>67.375210381995302</v>
      </c>
      <c r="Q75" s="11">
        <v>69.94821099849419</v>
      </c>
      <c r="R75" s="11">
        <f>68880.1524346275/(10^3)</f>
        <v>68.88015243462749</v>
      </c>
      <c r="S75" s="11">
        <f>67684.4176328737/(10^3)</f>
        <v>67.684417632873689</v>
      </c>
      <c r="T75" s="11">
        <f>66707.4865627755/(10^3)</f>
        <v>66.7074865627755</v>
      </c>
      <c r="U75" s="11">
        <f>65795.1784094747/(10^3)</f>
        <v>65.795178409474701</v>
      </c>
      <c r="V75" s="11">
        <f>65005.845289099/(10^3)</f>
        <v>65.005845289099</v>
      </c>
      <c r="W75" s="11">
        <v>67.761976988035997</v>
      </c>
      <c r="X75" s="11">
        <f>66746.2583012197/(10^3)</f>
        <v>66.746258301219697</v>
      </c>
      <c r="Y75" s="11">
        <f>66055.7803632752/(10^3)</f>
        <v>66.055780363275204</v>
      </c>
      <c r="Z75" s="11">
        <f>68155.8131189764/(10^3)</f>
        <v>68.155813118976397</v>
      </c>
      <c r="AA75" s="11">
        <f>68895.8233242461/(10^3)</f>
        <v>68.895823324246095</v>
      </c>
      <c r="AB75" s="11">
        <f>68264.7207620355/(10^3)</f>
        <v>68.264720762035509</v>
      </c>
      <c r="AC75" s="11">
        <v>67.87636755883581</v>
      </c>
      <c r="AD75" s="11">
        <f>67851.9905784084/(10^3)</f>
        <v>67.85199057840839</v>
      </c>
      <c r="AE75" s="11">
        <f>69119.2896550747/(10^3)</f>
        <v>69.119289655074695</v>
      </c>
      <c r="AF75" s="11">
        <f>70463.6070780957/(10^3)</f>
        <v>70.463607078095691</v>
      </c>
      <c r="AG75" s="11">
        <f>69083.2374785785/(10^3)</f>
        <v>69.083237478578511</v>
      </c>
      <c r="AH75" s="11">
        <f>68030.3816176191/(10^3)</f>
        <v>68.030381617619099</v>
      </c>
      <c r="AI75" s="11">
        <v>67.724649775118266</v>
      </c>
      <c r="AJ75" s="11">
        <f>70664.872683449/(10^3)</f>
        <v>70.664872683448991</v>
      </c>
      <c r="AK75" s="11">
        <f>69399.5146057022/(10^3)</f>
        <v>69.399514605702208</v>
      </c>
      <c r="AL75" s="11">
        <f>69307.1446236073/(10^3)</f>
        <v>69.3071446236073</v>
      </c>
      <c r="AM75" s="11">
        <f>69116.5372811867/(10^3)</f>
        <v>69.116537281186694</v>
      </c>
      <c r="AN75" s="11">
        <f>70337.7060731305/(10^3)</f>
        <v>70.337706073130491</v>
      </c>
      <c r="AO75" s="11">
        <v>69.363457553316366</v>
      </c>
      <c r="AP75" s="11">
        <f>71228.4510352643/(10^3)</f>
        <v>71.2284510352643</v>
      </c>
      <c r="AQ75" s="11">
        <f>74605.5410741218/(10^3)</f>
        <v>74.605541074121788</v>
      </c>
      <c r="AR75" s="11">
        <f>74310.6480228808/(10^3)</f>
        <v>74.310648022880812</v>
      </c>
      <c r="AS75" s="11">
        <f>77220.2862576085/(10^3)</f>
        <v>77.220286257608507</v>
      </c>
      <c r="AT75" s="11">
        <f>79948.1781666538/(10^3)</f>
        <v>79.948178166653804</v>
      </c>
      <c r="AU75" s="11">
        <v>78.558847908688719</v>
      </c>
      <c r="AV75" s="11">
        <f>77713.3087560902/(10^3)</f>
        <v>77.7133087560902</v>
      </c>
      <c r="AW75" s="11">
        <f>76660.8283330214/(10^3)</f>
        <v>76.660828333021399</v>
      </c>
      <c r="AX75" s="11">
        <f>75367.7893700664/(10^3)</f>
        <v>75.367789370066404</v>
      </c>
      <c r="AY75" s="11">
        <f>74790.40259918/(10^3)</f>
        <v>74.790402599179998</v>
      </c>
      <c r="AZ75" s="11">
        <f>77391.3507621815/(10^3)</f>
        <v>77.391350762181489</v>
      </c>
      <c r="BA75" s="11">
        <v>78.356756321740662</v>
      </c>
      <c r="BB75" s="11">
        <f>78552.1904779589/(10^3)</f>
        <v>78.552190477958888</v>
      </c>
      <c r="BC75" s="11">
        <f>78283.3228232569/(10^3)</f>
        <v>78.283322823256896</v>
      </c>
      <c r="BD75" s="11">
        <f>79673.9375959709/(10^3)</f>
        <v>79.673937595970898</v>
      </c>
      <c r="BE75" s="11">
        <f>79224.075759637/(10^3)</f>
        <v>79.224075759636989</v>
      </c>
      <c r="BF75" s="11">
        <f>80131.9484777233/(10^3)</f>
        <v>80.131948477723299</v>
      </c>
      <c r="BG75" s="11">
        <v>82.05473920837413</v>
      </c>
      <c r="BH75" s="11">
        <f>80777.4982436271/(10^3)</f>
        <v>80.777498243627093</v>
      </c>
      <c r="BI75" s="11">
        <f>83970.0658983566/(10^3)</f>
        <v>83.970065898356594</v>
      </c>
      <c r="BJ75" s="11">
        <f>84987.0177550235/(10^3)</f>
        <v>84.987017755023501</v>
      </c>
      <c r="BK75" s="11">
        <f>86811.9054206651/(10^3)</f>
        <v>86.811905420665099</v>
      </c>
      <c r="BL75" s="11">
        <f>91081.9395952147/(10^3)</f>
        <v>91.081939595214706</v>
      </c>
      <c r="BM75" s="11">
        <v>94.999087877339974</v>
      </c>
      <c r="BN75" s="11">
        <f>97992.2509048348/(10^3)</f>
        <v>97.992250904834805</v>
      </c>
      <c r="BO75" s="11">
        <f>99528.4836884341/(10^3)</f>
        <v>99.528483688434108</v>
      </c>
      <c r="BP75" s="11">
        <f>101977.825500781/(10^3)</f>
        <v>101.97782550078099</v>
      </c>
      <c r="BQ75" s="11">
        <f>102099.418696161/(10^3)</f>
        <v>102.099418696161</v>
      </c>
      <c r="BR75" s="11">
        <f>100522.356910936/(10^3)</f>
        <v>100.522356910936</v>
      </c>
      <c r="BS75" s="11">
        <v>103.72472564729647</v>
      </c>
      <c r="BT75" s="11">
        <f>102929.992799827/(10^3)</f>
        <v>102.92999279982701</v>
      </c>
      <c r="BU75" s="11">
        <f>104598.804904097/(10^3)</f>
        <v>104.59880490409701</v>
      </c>
      <c r="BV75" s="11">
        <f>108486.608332172/(10^3)</f>
        <v>108.48660833217201</v>
      </c>
      <c r="BW75" s="11">
        <f>108863.534224652/(10^3)</f>
        <v>108.863534224652</v>
      </c>
      <c r="BX75" s="11">
        <f>109814.248732557/(10^3)</f>
        <v>109.81424873255699</v>
      </c>
      <c r="BY75" s="11">
        <v>112.2343581682854</v>
      </c>
      <c r="BZ75" s="11">
        <f>112234.358168285/(10^3)</f>
        <v>112.234358168285</v>
      </c>
      <c r="CA75" s="11">
        <f>111196.981436724/(10^3)</f>
        <v>111.196981436724</v>
      </c>
      <c r="CB75" s="11">
        <f>113685.971503066/(10^3)</f>
        <v>113.685971503066</v>
      </c>
      <c r="CC75" s="12"/>
      <c r="DD75" s="11"/>
      <c r="DE75" s="11"/>
      <c r="DF75" s="11"/>
    </row>
    <row r="76" spans="4:110" ht="15.6" x14ac:dyDescent="0.25">
      <c r="D76" s="10" t="s">
        <v>36</v>
      </c>
      <c r="E76" s="10" t="s">
        <v>35</v>
      </c>
      <c r="F76" s="10" t="s">
        <v>150</v>
      </c>
      <c r="G76" s="10" t="s">
        <v>182</v>
      </c>
      <c r="H76" s="67" t="str">
        <f t="shared" si="2"/>
        <v>Jacksonville (피합병)</v>
      </c>
      <c r="I76" s="11">
        <f>27822.4382673376/(10^3)</f>
        <v>27.822438267337599</v>
      </c>
      <c r="J76" s="11">
        <f>29052.985766459/(10^3)</f>
        <v>29.052985766459003</v>
      </c>
      <c r="K76" s="11">
        <v>28.549713881285687</v>
      </c>
      <c r="L76" s="11">
        <f>28862.8892019859/(10^3)</f>
        <v>28.862889201985901</v>
      </c>
      <c r="M76" s="11">
        <f>28687.8797844462/(10^3)</f>
        <v>28.687879784446199</v>
      </c>
      <c r="N76" s="11">
        <f>28919.4793193046/(10^3)</f>
        <v>28.9194793193046</v>
      </c>
      <c r="O76" s="11">
        <f>29669.710949139/(10^3)</f>
        <v>29.669710949138999</v>
      </c>
      <c r="P76" s="11">
        <f>29105.0936545362/(10^3)</f>
        <v>29.105093654536198</v>
      </c>
      <c r="Q76" s="11">
        <v>29.207930657799441</v>
      </c>
      <c r="R76" s="11">
        <f>29807.2691803215/(10^3)</f>
        <v>29.807269180321498</v>
      </c>
      <c r="S76" s="11">
        <f>30917.397780355/(10^3)</f>
        <v>30.917397780355</v>
      </c>
      <c r="T76" s="11">
        <f>31319.0238982345/(10^3)</f>
        <v>31.319023898234502</v>
      </c>
      <c r="U76" s="11">
        <f>31908.4820640972/(10^3)</f>
        <v>31.9084820640972</v>
      </c>
      <c r="V76" s="11">
        <f>31363.1140227538/(10^3)</f>
        <v>31.363114022753802</v>
      </c>
      <c r="W76" s="11">
        <v>32.379781719235368</v>
      </c>
      <c r="X76" s="11">
        <f>32470.9853130936/(10^3)</f>
        <v>32.4709853130936</v>
      </c>
      <c r="Y76" s="11">
        <f>32434.9819840294/(10^3)</f>
        <v>32.434981984029399</v>
      </c>
      <c r="Z76" s="11">
        <f>31915.0637893392/(10^3)</f>
        <v>31.9150637893392</v>
      </c>
      <c r="AA76" s="11">
        <f>32590.0406020835/(10^3)</f>
        <v>32.590040602083498</v>
      </c>
      <c r="AB76" s="11">
        <f>32465.1467655529/(10^3)</f>
        <v>32.465146765552902</v>
      </c>
      <c r="AC76" s="11">
        <v>32.104432900464055</v>
      </c>
      <c r="AD76" s="11">
        <f>31476.8323248311/(10^3)</f>
        <v>31.476832324831101</v>
      </c>
      <c r="AE76" s="11">
        <f>32582.6551972782/(10^3)</f>
        <v>32.5826551972782</v>
      </c>
      <c r="AF76" s="11">
        <f>32483.6632017379/(10^3)</f>
        <v>32.483663201737905</v>
      </c>
      <c r="AG76" s="11">
        <f>32370.3487356028/(10^3)</f>
        <v>32.370348735602803</v>
      </c>
      <c r="AH76" s="11">
        <f>33923.6288293312/(10^3)</f>
        <v>33.9236288293312</v>
      </c>
      <c r="AI76" s="11">
        <v>33.513509015134147</v>
      </c>
      <c r="AJ76" s="11">
        <f>33143.6331599827/(10^3)</f>
        <v>33.143633159982706</v>
      </c>
      <c r="AK76" s="11">
        <f>32532.894956443/(10^3)</f>
        <v>32.532894956443002</v>
      </c>
      <c r="AL76" s="11">
        <f>34011.571925409/(10^3)</f>
        <v>34.011571925409001</v>
      </c>
      <c r="AM76" s="11">
        <f>34948.0041922638/(10^3)</f>
        <v>34.948004192263795</v>
      </c>
      <c r="AN76" s="11">
        <f>34911.346052347/(10^3)</f>
        <v>34.911346052347</v>
      </c>
      <c r="AO76" s="11">
        <v>36.119708840542607</v>
      </c>
      <c r="AP76" s="11">
        <f>37358.8371102128/(10^3)</f>
        <v>37.358837110212804</v>
      </c>
      <c r="AQ76" s="11">
        <f>36621.4650265943/(10^3)</f>
        <v>36.621465026594301</v>
      </c>
      <c r="AR76" s="11">
        <f>38409.7735237922/(10^3)</f>
        <v>38.409773523792204</v>
      </c>
      <c r="AS76" s="11">
        <f>40263.4450606433/(10^3)</f>
        <v>40.263445060643299</v>
      </c>
      <c r="AT76" s="11">
        <f>39697.4116820606/(10^3)</f>
        <v>39.697411682060597</v>
      </c>
      <c r="AU76" s="11">
        <v>41.568956386705864</v>
      </c>
      <c r="AV76" s="11">
        <f>42350.7945980012/(10^3)</f>
        <v>42.350794598001201</v>
      </c>
      <c r="AW76" s="11">
        <f>42241.7012670395/(10^3)</f>
        <v>42.241701267039495</v>
      </c>
      <c r="AX76" s="11">
        <f>41951.4146177815/(10^3)</f>
        <v>41.951414617781495</v>
      </c>
      <c r="AY76" s="11">
        <f>43967.7613678505/(10^3)</f>
        <v>43.9677613678505</v>
      </c>
      <c r="AZ76" s="11">
        <f>43350.8568970776/(10^3)</f>
        <v>43.350856897077605</v>
      </c>
      <c r="BA76" s="11">
        <v>44.547574772081049</v>
      </c>
      <c r="BB76" s="11">
        <f>44197.7393046677/(10^3)</f>
        <v>44.197739304667699</v>
      </c>
      <c r="BC76" s="11">
        <f>43367.4830662578/(10^3)</f>
        <v>43.367483066257805</v>
      </c>
      <c r="BD76" s="11">
        <f>45389.898604996/(10^3)</f>
        <v>45.389898604995999</v>
      </c>
      <c r="BE76" s="11">
        <f>46686.6265983206/(10^3)</f>
        <v>46.686626598320601</v>
      </c>
      <c r="BF76" s="11">
        <f>46568.3926963619/(10^3)</f>
        <v>46.568392696361904</v>
      </c>
      <c r="BG76" s="11">
        <v>46.738074852713837</v>
      </c>
      <c r="BH76" s="11">
        <f>47488.9702160161/(10^3)</f>
        <v>47.488970216016106</v>
      </c>
      <c r="BI76" s="11">
        <f>47378.4748772593/(10^3)</f>
        <v>47.378474877259301</v>
      </c>
      <c r="BJ76" s="11">
        <f>49012.8349418487/(10^3)</f>
        <v>49.012834941848695</v>
      </c>
      <c r="BK76" s="11">
        <f>49411.5777225504/(10^3)</f>
        <v>49.411577722550398</v>
      </c>
      <c r="BL76" s="11">
        <f>51484.9473349647/(10^3)</f>
        <v>51.484947334964701</v>
      </c>
      <c r="BM76" s="11">
        <v>53.63681264191797</v>
      </c>
      <c r="BN76" s="11">
        <f>54418.8817987928/(10^3)</f>
        <v>54.418881798792796</v>
      </c>
      <c r="BO76" s="11">
        <f>55213.7586145225/(10^3)</f>
        <v>55.213758614522497</v>
      </c>
      <c r="BP76" s="11">
        <f>56365.7632105184/(10^3)</f>
        <v>56.365763210518402</v>
      </c>
      <c r="BQ76" s="11">
        <f>56132.6395058889/(10^3)</f>
        <v>56.132639505888903</v>
      </c>
      <c r="BR76" s="11">
        <f>57910.0128099912/(10^3)</f>
        <v>57.910012809991201</v>
      </c>
      <c r="BS76" s="11">
        <v>59.433031501467738</v>
      </c>
      <c r="BT76" s="11">
        <f>59778.4056729022/(10^3)</f>
        <v>59.778405672902196</v>
      </c>
      <c r="BU76" s="11">
        <f>59867.4666825278/(10^3)</f>
        <v>59.867466682527798</v>
      </c>
      <c r="BV76" s="11">
        <f>59698.3618993576/(10^3)</f>
        <v>59.6983618993576</v>
      </c>
      <c r="BW76" s="11">
        <f>62309.5153449564/(10^3)</f>
        <v>62.309515344956402</v>
      </c>
      <c r="BX76" s="11">
        <f>61514.6821581454/(10^3)</f>
        <v>61.514682158145398</v>
      </c>
      <c r="BY76" s="11">
        <v>64.030913064433321</v>
      </c>
      <c r="BZ76" s="11">
        <f>64030.9130644333/(10^3)</f>
        <v>64.030913064433292</v>
      </c>
      <c r="CA76" s="11">
        <f>65342.4169275391/(10^3)</f>
        <v>65.342416927539105</v>
      </c>
      <c r="CB76" s="11">
        <f>68385.1135014378/(10^3)</f>
        <v>68.3851135014378</v>
      </c>
      <c r="CC76" s="12"/>
      <c r="DD76" s="11"/>
      <c r="DE76" s="11"/>
      <c r="DF76" s="11"/>
    </row>
    <row r="77" spans="4:110" ht="15.6" x14ac:dyDescent="0.25">
      <c r="D77" s="10" t="s">
        <v>38</v>
      </c>
      <c r="E77" s="10" t="s">
        <v>37</v>
      </c>
      <c r="F77" s="10" t="s">
        <v>149</v>
      </c>
      <c r="G77" s="10" t="s">
        <v>182</v>
      </c>
      <c r="H77" s="67" t="str">
        <f t="shared" si="2"/>
        <v>Jefferson City (피합병)</v>
      </c>
      <c r="I77" s="11">
        <f>42307.9681581058/(10^3)</f>
        <v>42.307968158105801</v>
      </c>
      <c r="J77" s="11">
        <f>42002.0361662022/(10^3)</f>
        <v>42.002036166202195</v>
      </c>
      <c r="K77" s="11">
        <v>41.726793994817598</v>
      </c>
      <c r="L77" s="11">
        <f>40947.2832239404/(10^3)</f>
        <v>40.947283223940403</v>
      </c>
      <c r="M77" s="11">
        <f>41663.660876781/(10^3)</f>
        <v>41.663660876781002</v>
      </c>
      <c r="N77" s="11">
        <f>42146.247247535/(10^3)</f>
        <v>42.146247247535001</v>
      </c>
      <c r="O77" s="11">
        <f>42755.2700122363/(10^3)</f>
        <v>42.755270012236302</v>
      </c>
      <c r="P77" s="11">
        <f>42336.9137230425/(10^3)</f>
        <v>42.3369137230425</v>
      </c>
      <c r="Q77" s="11">
        <v>42.679341275532281</v>
      </c>
      <c r="R77" s="11">
        <f>43887.9617376627/(10^3)</f>
        <v>43.8879617376627</v>
      </c>
      <c r="S77" s="11">
        <f>45181.8217333122/(10^3)</f>
        <v>45.181821733312198</v>
      </c>
      <c r="T77" s="11">
        <f>44776.1166920501/(10^3)</f>
        <v>44.776116692050095</v>
      </c>
      <c r="U77" s="11">
        <f>44170.5302234877/(10^3)</f>
        <v>44.170530223487702</v>
      </c>
      <c r="V77" s="11">
        <f>44066.4879064946/(10^3)</f>
        <v>44.066487906494601</v>
      </c>
      <c r="W77" s="11">
        <v>45.918857817190869</v>
      </c>
      <c r="X77" s="11">
        <f>46643.3855753117/(10^3)</f>
        <v>46.643385575311704</v>
      </c>
      <c r="Y77" s="11">
        <f>46335.3593782159/(10^3)</f>
        <v>46.335359378215898</v>
      </c>
      <c r="Z77" s="11">
        <f>46245.5771092424/(10^3)</f>
        <v>46.245577109242397</v>
      </c>
      <c r="AA77" s="11">
        <f>46960.6820618995/(10^3)</f>
        <v>46.960682061899497</v>
      </c>
      <c r="AB77" s="11">
        <f>48457.296924452/(10^3)</f>
        <v>48.457296924452002</v>
      </c>
      <c r="AC77" s="11">
        <v>49.903468086747495</v>
      </c>
      <c r="AD77" s="11">
        <f>49362.9026798871/(10^3)</f>
        <v>49.3629026798871</v>
      </c>
      <c r="AE77" s="11">
        <f>49559.0896950292/(10^3)</f>
        <v>49.559089695029201</v>
      </c>
      <c r="AF77" s="11">
        <f>51451.0574258673/(10^3)</f>
        <v>51.451057425867297</v>
      </c>
      <c r="AG77" s="11">
        <f>51964.4771451048/(10^3)</f>
        <v>51.964477145104802</v>
      </c>
      <c r="AH77" s="11">
        <f>50941.5936064711/(10^3)</f>
        <v>50.941593606471102</v>
      </c>
      <c r="AI77" s="11">
        <v>52.244567520219405</v>
      </c>
      <c r="AJ77" s="11">
        <f>52958.6345001228/(10^3)</f>
        <v>52.958634500122798</v>
      </c>
      <c r="AK77" s="11">
        <f>52746.9530774357/(10^3)</f>
        <v>52.746953077435698</v>
      </c>
      <c r="AL77" s="11">
        <f>51993.5773787526/(10^3)</f>
        <v>51.993577378752597</v>
      </c>
      <c r="AM77" s="11">
        <f>51957.4798034434/(10^3)</f>
        <v>51.957479803443398</v>
      </c>
      <c r="AN77" s="11">
        <f>54069.8993707777/(10^3)</f>
        <v>54.069899370777698</v>
      </c>
      <c r="AO77" s="11">
        <v>54.279923469099437</v>
      </c>
      <c r="AP77" s="11">
        <f>56838.8201840243/(10^3)</f>
        <v>56.8388201840243</v>
      </c>
      <c r="AQ77" s="11">
        <f>57943.9105337203/(10^3)</f>
        <v>57.943910533720299</v>
      </c>
      <c r="AR77" s="11">
        <f>58662.8883667232/(10^3)</f>
        <v>58.662888366723202</v>
      </c>
      <c r="AS77" s="11">
        <f>59389.3078147102/(10^3)</f>
        <v>59.3893078147102</v>
      </c>
      <c r="AT77" s="11">
        <f>58312.4900819976/(10^3)</f>
        <v>58.312490081997602</v>
      </c>
      <c r="AU77" s="11">
        <v>59.857721216178739</v>
      </c>
      <c r="AV77" s="11">
        <f>58765.3946907436/(10^3)</f>
        <v>58.765394690743598</v>
      </c>
      <c r="AW77" s="11">
        <f>58536.34934927/(10^3)</f>
        <v>58.536349349269997</v>
      </c>
      <c r="AX77" s="11">
        <f>60104.5486352345/(10^3)</f>
        <v>60.104548635234501</v>
      </c>
      <c r="AY77" s="11">
        <f>61819.5366524164/(10^3)</f>
        <v>61.819536652416396</v>
      </c>
      <c r="AZ77" s="11">
        <f>62176.5000395373/(10^3)</f>
        <v>62.176500039537302</v>
      </c>
      <c r="BA77" s="11">
        <v>61.652895363506261</v>
      </c>
      <c r="BB77" s="11">
        <f>62712.6119304955/(10^3)</f>
        <v>62.712611930495498</v>
      </c>
      <c r="BC77" s="11">
        <f>63514.4421447111/(10^3)</f>
        <v>63.514442144711104</v>
      </c>
      <c r="BD77" s="11">
        <f>65506.6106214254/(10^3)</f>
        <v>65.506610621425409</v>
      </c>
      <c r="BE77" s="11">
        <f>64813.4206460541/(10^3)</f>
        <v>64.813420646054098</v>
      </c>
      <c r="BF77" s="11">
        <f>67457.0282315532/(10^3)</f>
        <v>67.457028231553195</v>
      </c>
      <c r="BG77" s="11">
        <v>69.332667835593796</v>
      </c>
      <c r="BH77" s="11">
        <f>71161.9722411909/(10^3)</f>
        <v>71.161972241190909</v>
      </c>
      <c r="BI77" s="11">
        <f>73081.1235034623/(10^3)</f>
        <v>73.081123503462294</v>
      </c>
      <c r="BJ77" s="11">
        <f>71679.1308576759/(10^3)</f>
        <v>71.679130857675901</v>
      </c>
      <c r="BK77" s="11">
        <f>71809.4331805421/(10^3)</f>
        <v>71.809433180542101</v>
      </c>
      <c r="BL77" s="11">
        <f>72155.0551530552/(10^3)</f>
        <v>72.155055153055201</v>
      </c>
      <c r="BM77" s="11">
        <v>74.857536893687495</v>
      </c>
      <c r="BN77" s="11">
        <f>74788.1917292872/(10^3)</f>
        <v>74.788191729287192</v>
      </c>
      <c r="BO77" s="11">
        <f>77687.3850109328/(10^3)</f>
        <v>77.6873850109328</v>
      </c>
      <c r="BP77" s="11">
        <f>76540.9436123405/(10^3)</f>
        <v>76.540943612340499</v>
      </c>
      <c r="BQ77" s="11">
        <f>76753.7573759734/(10^3)</f>
        <v>76.753757375973393</v>
      </c>
      <c r="BR77" s="11">
        <f>78330.300357284/(10^3)</f>
        <v>78.330300357283988</v>
      </c>
      <c r="BS77" s="11">
        <v>79.780768442395356</v>
      </c>
      <c r="BT77" s="11">
        <f>81300.2191488517/(10^3)</f>
        <v>81.300219148851696</v>
      </c>
      <c r="BU77" s="11">
        <f>80792.7300165986/(10^3)</f>
        <v>80.792730016598597</v>
      </c>
      <c r="BV77" s="11">
        <f>82047.8411825962/(10^3)</f>
        <v>82.047841182596201</v>
      </c>
      <c r="BW77" s="11">
        <f>84686.9736130575/(10^3)</f>
        <v>84.686973613057503</v>
      </c>
      <c r="BX77" s="11">
        <f>85003.8663031284/(10^3)</f>
        <v>85.00386630312839</v>
      </c>
      <c r="BY77" s="11">
        <v>88.837039362288408</v>
      </c>
      <c r="BZ77" s="11">
        <f>88837.0393622884/(10^3)</f>
        <v>88.837039362288394</v>
      </c>
      <c r="CA77" s="11">
        <f>90544.9804154621/(10^3)</f>
        <v>90.544980415462092</v>
      </c>
      <c r="CB77" s="11">
        <f>92354.755561363/(10^3)</f>
        <v>92.354755561362992</v>
      </c>
      <c r="CC77" s="12"/>
      <c r="DD77" s="11"/>
      <c r="DE77" s="11"/>
      <c r="DF77" s="11"/>
    </row>
    <row r="78" spans="4:110" ht="15.6" x14ac:dyDescent="0.25">
      <c r="D78" s="10" t="s">
        <v>39</v>
      </c>
      <c r="E78" s="10" t="s">
        <v>37</v>
      </c>
      <c r="F78" s="10" t="s">
        <v>149</v>
      </c>
      <c r="G78" s="10" t="s">
        <v>182</v>
      </c>
      <c r="H78" s="67" t="str">
        <f t="shared" si="2"/>
        <v>Kansas City (피합병)</v>
      </c>
      <c r="I78" s="11">
        <f>88923.1449128844/(10^3)</f>
        <v>88.923144912884396</v>
      </c>
      <c r="J78" s="11">
        <f>89151.4042532849/(10^3)</f>
        <v>89.151404253284895</v>
      </c>
      <c r="K78" s="11">
        <v>89.692420488485013</v>
      </c>
      <c r="L78" s="11">
        <f>91959.6570884942/(10^3)</f>
        <v>91.959657088494211</v>
      </c>
      <c r="M78" s="11">
        <f>92447.4782413775/(10^3)</f>
        <v>92.447478241377496</v>
      </c>
      <c r="N78" s="11">
        <f>94222.3234719972/(10^3)</f>
        <v>94.2223234719972</v>
      </c>
      <c r="O78" s="11">
        <f>97311.8351424236/(10^3)</f>
        <v>97.311835142423604</v>
      </c>
      <c r="P78" s="11">
        <f>95767.6740796955/(10^3)</f>
        <v>95.767674079695496</v>
      </c>
      <c r="Q78" s="11">
        <v>94.995714682152467</v>
      </c>
      <c r="R78" s="11">
        <f>98719.4366686579/(10^3)</f>
        <v>98.719436668657906</v>
      </c>
      <c r="S78" s="11">
        <f>102765.344787133/(10^3)</f>
        <v>102.765344787133</v>
      </c>
      <c r="T78" s="11">
        <f>101523.752755401/(10^3)</f>
        <v>101.52375275540101</v>
      </c>
      <c r="U78" s="11">
        <f>103990.489076879/(10^3)</f>
        <v>103.990489076879</v>
      </c>
      <c r="V78" s="11">
        <f>106151.460536337/(10^3)</f>
        <v>106.15146053633701</v>
      </c>
      <c r="W78" s="11">
        <v>108.75191378772698</v>
      </c>
      <c r="X78" s="11">
        <f>109132.565963836/(10^3)</f>
        <v>109.132565963836</v>
      </c>
      <c r="Y78" s="11">
        <f>114129.803851794/(10^3)</f>
        <v>114.12980385179399</v>
      </c>
      <c r="Z78" s="11">
        <f>119795.411273374/(10^3)</f>
        <v>119.795411273374</v>
      </c>
      <c r="AA78" s="11">
        <f>125666.930717968/(10^3)</f>
        <v>125.666930717968</v>
      </c>
      <c r="AB78" s="11">
        <f>125438.821401734/(10^3)</f>
        <v>125.438821401734</v>
      </c>
      <c r="AC78" s="11">
        <v>124.58973817180234</v>
      </c>
      <c r="AD78" s="11">
        <f>123202.357208121/(10^3)</f>
        <v>123.202357208121</v>
      </c>
      <c r="AE78" s="11">
        <f>125772.818218812/(10^3)</f>
        <v>125.77281821881199</v>
      </c>
      <c r="AF78" s="11">
        <f>129651.086529007/(10^3)</f>
        <v>129.65108652900702</v>
      </c>
      <c r="AG78" s="11">
        <f>129123.149958039/(10^3)</f>
        <v>129.12314995803899</v>
      </c>
      <c r="AH78" s="11">
        <f>134041.269170418/(10^3)</f>
        <v>134.04126917041799</v>
      </c>
      <c r="AI78" s="11">
        <v>131.37214980350518</v>
      </c>
      <c r="AJ78" s="11">
        <f>134352.659043452/(10^3)</f>
        <v>134.35265904345201</v>
      </c>
      <c r="AK78" s="11">
        <f>135356.763311191/(10^3)</f>
        <v>135.356763311191</v>
      </c>
      <c r="AL78" s="11">
        <f>133530.577678784/(10^3)</f>
        <v>133.530577678784</v>
      </c>
      <c r="AM78" s="11">
        <f>132842.171602405/(10^3)</f>
        <v>132.84217160240499</v>
      </c>
      <c r="AN78" s="11">
        <f>131243.289906136/(10^3)</f>
        <v>131.243289906136</v>
      </c>
      <c r="AO78" s="11">
        <v>130.66269231473913</v>
      </c>
      <c r="AP78" s="11">
        <f>135284.952948261/(10^3)</f>
        <v>135.28495294826101</v>
      </c>
      <c r="AQ78" s="11">
        <f>133550.578105258/(10^3)</f>
        <v>133.55057810525801</v>
      </c>
      <c r="AR78" s="11">
        <f>132543.725871699/(10^3)</f>
        <v>132.543725871699</v>
      </c>
      <c r="AS78" s="11">
        <f>130761.372472654/(10^3)</f>
        <v>130.76137247265399</v>
      </c>
      <c r="AT78" s="11">
        <f>131843.07643453/(10^3)</f>
        <v>131.84307643452999</v>
      </c>
      <c r="AU78" s="11">
        <v>131.41328819826421</v>
      </c>
      <c r="AV78" s="11">
        <f>135648.88714012/(10^3)</f>
        <v>135.64888714012</v>
      </c>
      <c r="AW78" s="11">
        <f>139600.703997278/(10^3)</f>
        <v>139.600703997278</v>
      </c>
      <c r="AX78" s="11">
        <f>140681.635808962/(10^3)</f>
        <v>140.681635808962</v>
      </c>
      <c r="AY78" s="11">
        <f>138399.404617069/(10^3)</f>
        <v>138.399404617069</v>
      </c>
      <c r="AZ78" s="11">
        <f>139690.199133202/(10^3)</f>
        <v>139.69019913320199</v>
      </c>
      <c r="BA78" s="11">
        <v>140.4600854147757</v>
      </c>
      <c r="BB78" s="11">
        <f>143693.522025799/(10^3)</f>
        <v>143.69352202579901</v>
      </c>
      <c r="BC78" s="11">
        <f>142166.889935153/(10^3)</f>
        <v>142.16688993515302</v>
      </c>
      <c r="BD78" s="11">
        <f>147440.551863854/(10^3)</f>
        <v>147.44055186385398</v>
      </c>
      <c r="BE78" s="11">
        <f>146223.137033108/(10^3)</f>
        <v>146.223137033108</v>
      </c>
      <c r="BF78" s="11">
        <f>148865.868701352/(10^3)</f>
        <v>148.86586870135201</v>
      </c>
      <c r="BG78" s="11">
        <v>154.35687458932441</v>
      </c>
      <c r="BH78" s="11">
        <f>154597.004716991/(10^3)</f>
        <v>154.59700471699102</v>
      </c>
      <c r="BI78" s="11">
        <f>156224.174379094/(10^3)</f>
        <v>156.22417437909399</v>
      </c>
      <c r="BJ78" s="11">
        <f>153761.682421582/(10^3)</f>
        <v>153.76168242158198</v>
      </c>
      <c r="BK78" s="11">
        <f>156308.259251965/(10^3)</f>
        <v>156.30825925196501</v>
      </c>
      <c r="BL78" s="11">
        <f>155302.146715872/(10^3)</f>
        <v>155.302146715872</v>
      </c>
      <c r="BM78" s="11">
        <v>153.8112567133708</v>
      </c>
      <c r="BN78" s="11">
        <f>159760.454335934/(10^3)</f>
        <v>159.76045433593399</v>
      </c>
      <c r="BO78" s="11">
        <f>165646.508735321/(10^3)</f>
        <v>165.64650873532099</v>
      </c>
      <c r="BP78" s="11">
        <f>168103.516673319/(10^3)</f>
        <v>168.10351667331901</v>
      </c>
      <c r="BQ78" s="11">
        <f>165209.276671377/(10^3)</f>
        <v>165.20927667137701</v>
      </c>
      <c r="BR78" s="11">
        <f>162281.907171139/(10^3)</f>
        <v>162.28190717113901</v>
      </c>
      <c r="BS78" s="11">
        <v>168.81577951567294</v>
      </c>
      <c r="BT78" s="11">
        <f>170445.962360651/(10^3)</f>
        <v>170.44596236065101</v>
      </c>
      <c r="BU78" s="11">
        <f>170306.974477383/(10^3)</f>
        <v>170.30697447738299</v>
      </c>
      <c r="BV78" s="11">
        <f>175492.063947426/(10^3)</f>
        <v>175.492063947426</v>
      </c>
      <c r="BW78" s="11">
        <f>176855.485432149/(10^3)</f>
        <v>176.85548543214901</v>
      </c>
      <c r="BX78" s="11">
        <f>174403.313925016/(10^3)</f>
        <v>174.40331392501599</v>
      </c>
      <c r="BY78" s="11">
        <v>169.46781881580876</v>
      </c>
      <c r="BZ78" s="11">
        <f>169467.818815809/(10^3)</f>
        <v>169.46781881580901</v>
      </c>
      <c r="CA78" s="11">
        <f>175938.474012264/(10^3)</f>
        <v>175.93847401226398</v>
      </c>
      <c r="CB78" s="11">
        <f>177969.911004386/(10^3)</f>
        <v>177.96991100438601</v>
      </c>
      <c r="CC78" s="12"/>
      <c r="DD78" s="11"/>
      <c r="DE78" s="11"/>
      <c r="DF78" s="11"/>
    </row>
    <row r="79" spans="4:110" ht="15.6" x14ac:dyDescent="0.25">
      <c r="D79" s="10" t="s">
        <v>40</v>
      </c>
      <c r="E79" s="10" t="s">
        <v>25</v>
      </c>
      <c r="F79" s="10" t="s">
        <v>149</v>
      </c>
      <c r="G79" s="10" t="s">
        <v>182</v>
      </c>
      <c r="H79" s="67" t="str">
        <f t="shared" si="2"/>
        <v>Lansing (피합병)</v>
      </c>
      <c r="I79" s="11">
        <f>81931.7188285175/(10^3)</f>
        <v>81.931718828517504</v>
      </c>
      <c r="J79" s="11">
        <f>84586.8498762539/(10^3)</f>
        <v>84.586849876253893</v>
      </c>
      <c r="K79" s="11">
        <v>84.404459146295281</v>
      </c>
      <c r="L79" s="11">
        <f>86274.1006346862/(10^3)</f>
        <v>86.274100634686192</v>
      </c>
      <c r="M79" s="11">
        <f>90235.2336045863/(10^3)</f>
        <v>90.235233604586298</v>
      </c>
      <c r="N79" s="11">
        <f>93796.0665321939/(10^3)</f>
        <v>93.796066532193905</v>
      </c>
      <c r="O79" s="11">
        <f>92273.3545562106/(10^3)</f>
        <v>92.273354556210606</v>
      </c>
      <c r="P79" s="11">
        <f>93747.3570573341/(10^3)</f>
        <v>93.747357057334099</v>
      </c>
      <c r="Q79" s="11">
        <v>94.797155574370578</v>
      </c>
      <c r="R79" s="11">
        <f>98357.0821059094/(10^3)</f>
        <v>98.357082105909399</v>
      </c>
      <c r="S79" s="11">
        <f>101462.071092758/(10^3)</f>
        <v>101.46207109275799</v>
      </c>
      <c r="T79" s="11">
        <f>100404.142901499/(10^3)</f>
        <v>100.404142901499</v>
      </c>
      <c r="U79" s="11">
        <f>99366.5352035747/(10^3)</f>
        <v>99.366535203574699</v>
      </c>
      <c r="V79" s="11">
        <f>99510.9579272405/(10^3)</f>
        <v>99.510957927240497</v>
      </c>
      <c r="W79" s="11">
        <v>98.519849238592045</v>
      </c>
      <c r="X79" s="11">
        <f>98825.0537608485/(10^3)</f>
        <v>98.825053760848505</v>
      </c>
      <c r="Y79" s="11">
        <f>99695.247760203/(10^3)</f>
        <v>99.695247760203003</v>
      </c>
      <c r="Z79" s="11">
        <f>99801.8970429706/(10^3)</f>
        <v>99.801897042970594</v>
      </c>
      <c r="AA79" s="11">
        <f>98600.2292143065/(10^3)</f>
        <v>98.600229214306495</v>
      </c>
      <c r="AB79" s="11">
        <f>100564.044890864/(10^3)</f>
        <v>100.564044890864</v>
      </c>
      <c r="AC79" s="11">
        <v>100.11362430070776</v>
      </c>
      <c r="AD79" s="11">
        <f>102524.612424862/(10^3)</f>
        <v>102.524612424862</v>
      </c>
      <c r="AE79" s="11">
        <f>106139.818097442/(10^3)</f>
        <v>106.13981809744199</v>
      </c>
      <c r="AF79" s="11">
        <f>105627.11081211/(10^3)</f>
        <v>105.62711081210999</v>
      </c>
      <c r="AG79" s="11">
        <f>105142.722607435/(10^3)</f>
        <v>105.142722607435</v>
      </c>
      <c r="AH79" s="11">
        <f>104164.57123644/(10^3)</f>
        <v>104.16457123644</v>
      </c>
      <c r="AI79" s="11">
        <v>103.53688236386638</v>
      </c>
      <c r="AJ79" s="11">
        <f>102862.589589089/(10^3)</f>
        <v>102.862589589089</v>
      </c>
      <c r="AK79" s="11">
        <f>100830.137936841/(10^3)</f>
        <v>100.830137936841</v>
      </c>
      <c r="AL79" s="11">
        <f>99986.9809686516/(10^3)</f>
        <v>99.986980968651594</v>
      </c>
      <c r="AM79" s="11">
        <f>104179.160985723/(10^3)</f>
        <v>104.179160985723</v>
      </c>
      <c r="AN79" s="11">
        <f>102102.622464074/(10^3)</f>
        <v>102.102622464074</v>
      </c>
      <c r="AO79" s="11">
        <v>104.39083156544292</v>
      </c>
      <c r="AP79" s="11">
        <f>108562.544475457/(10^3)</f>
        <v>108.562544475457</v>
      </c>
      <c r="AQ79" s="11">
        <f>108028.014992838/(10^3)</f>
        <v>108.028014992838</v>
      </c>
      <c r="AR79" s="11">
        <f>106428.773582857/(10^3)</f>
        <v>106.428773582857</v>
      </c>
      <c r="AS79" s="11">
        <f>105885.991181005/(10^3)</f>
        <v>105.885991181005</v>
      </c>
      <c r="AT79" s="11">
        <f>105719.207503445/(10^3)</f>
        <v>105.71920750344499</v>
      </c>
      <c r="AU79" s="11">
        <v>109.1088031684901</v>
      </c>
      <c r="AV79" s="11">
        <f>107405.035602886/(10^3)</f>
        <v>107.405035602886</v>
      </c>
      <c r="AW79" s="11">
        <f>108247.000457088/(10^3)</f>
        <v>108.24700045708799</v>
      </c>
      <c r="AX79" s="11">
        <f>107151.372183925/(10^3)</f>
        <v>107.15137218392501</v>
      </c>
      <c r="AY79" s="11">
        <f>105835.545970189/(10^3)</f>
        <v>105.835545970189</v>
      </c>
      <c r="AZ79" s="11">
        <f>108146.567063383/(10^3)</f>
        <v>108.146567063383</v>
      </c>
      <c r="BA79" s="11">
        <v>108.13651633992198</v>
      </c>
      <c r="BB79" s="11">
        <f>110374.207235749/(10^3)</f>
        <v>110.374207235749</v>
      </c>
      <c r="BC79" s="11">
        <f>111766.735102422/(10^3)</f>
        <v>111.766735102422</v>
      </c>
      <c r="BD79" s="11">
        <f>116269.061584938/(10^3)</f>
        <v>116.269061584938</v>
      </c>
      <c r="BE79" s="11">
        <f>115060.699608659/(10^3)</f>
        <v>115.06069960865899</v>
      </c>
      <c r="BF79" s="11">
        <f>113252.778023794/(10^3)</f>
        <v>113.25277802379401</v>
      </c>
      <c r="BG79" s="11">
        <v>116.13198538433231</v>
      </c>
      <c r="BH79" s="11">
        <f>114906.418318839/(10^3)</f>
        <v>114.906418318839</v>
      </c>
      <c r="BI79" s="11">
        <f>116514.069434367/(10^3)</f>
        <v>116.514069434367</v>
      </c>
      <c r="BJ79" s="11">
        <f>121591.872967368/(10^3)</f>
        <v>121.591872967368</v>
      </c>
      <c r="BK79" s="11">
        <f>124570.635627353/(10^3)</f>
        <v>124.570635627353</v>
      </c>
      <c r="BL79" s="11">
        <f>128346.092017772/(10^3)</f>
        <v>128.34609201777201</v>
      </c>
      <c r="BM79" s="11">
        <v>128.39918009938327</v>
      </c>
      <c r="BN79" s="11">
        <f>131177.01246646/(10^3)</f>
        <v>131.17701246646001</v>
      </c>
      <c r="BO79" s="11">
        <f>129510.682199089/(10^3)</f>
        <v>129.51068219908899</v>
      </c>
      <c r="BP79" s="11">
        <f>131483.006143801/(10^3)</f>
        <v>131.48300614380099</v>
      </c>
      <c r="BQ79" s="11">
        <f>131584.178415852/(10^3)</f>
        <v>131.58417841585199</v>
      </c>
      <c r="BR79" s="11">
        <f>135422.837040738/(10^3)</f>
        <v>135.42283704073799</v>
      </c>
      <c r="BS79" s="11">
        <v>141.04425157685722</v>
      </c>
      <c r="BT79" s="11">
        <f>144012.877876857/(10^3)</f>
        <v>144.012877876857</v>
      </c>
      <c r="BU79" s="11">
        <f>146915.752394811/(10^3)</f>
        <v>146.91575239481099</v>
      </c>
      <c r="BV79" s="11">
        <f>146488.847647124/(10^3)</f>
        <v>146.488847647124</v>
      </c>
      <c r="BW79" s="11">
        <f>146132.776031896/(10^3)</f>
        <v>146.13277603189601</v>
      </c>
      <c r="BX79" s="11">
        <f>146780.571091692/(10^3)</f>
        <v>146.780571091692</v>
      </c>
      <c r="BY79" s="11">
        <v>151.68418106055969</v>
      </c>
      <c r="BZ79" s="11">
        <f>151684.18106056/(10^3)</f>
        <v>151.68418106055998</v>
      </c>
      <c r="CA79" s="11">
        <f>149626.403199847/(10^3)</f>
        <v>149.626403199847</v>
      </c>
      <c r="CB79" s="11">
        <f>156042.429197623/(10^3)</f>
        <v>156.04242919762299</v>
      </c>
      <c r="CC79" s="12"/>
      <c r="DD79" s="11"/>
      <c r="DE79" s="11"/>
      <c r="DF79" s="11"/>
    </row>
    <row r="80" spans="4:110" ht="15.6" x14ac:dyDescent="0.25">
      <c r="D80" s="10" t="s">
        <v>42</v>
      </c>
      <c r="E80" s="10" t="s">
        <v>41</v>
      </c>
      <c r="F80" s="10" t="s">
        <v>149</v>
      </c>
      <c r="G80" s="10" t="s">
        <v>182</v>
      </c>
      <c r="H80" s="67" t="str">
        <f t="shared" si="2"/>
        <v>Lincoln (피합병)</v>
      </c>
      <c r="I80" s="11">
        <f>38324.8107758515/(10^3)</f>
        <v>38.324810775851503</v>
      </c>
      <c r="J80" s="11">
        <f>38391.0272814847/(10^3)</f>
        <v>38.391027281484696</v>
      </c>
      <c r="K80" s="11">
        <v>40.091444257181138</v>
      </c>
      <c r="L80" s="11">
        <f>41751.6312662651/(10^3)</f>
        <v>41.7516312662651</v>
      </c>
      <c r="M80" s="11">
        <f>41133.5340546668/(10^3)</f>
        <v>41.133534054666804</v>
      </c>
      <c r="N80" s="11">
        <f>40987.7467161601/(10^3)</f>
        <v>40.987746716160103</v>
      </c>
      <c r="O80" s="11">
        <f>40405.6576846206/(10^3)</f>
        <v>40.4056576846206</v>
      </c>
      <c r="P80" s="11">
        <f>40620.8286541671/(10^3)</f>
        <v>40.620828654167099</v>
      </c>
      <c r="Q80" s="11">
        <v>40.923875111073009</v>
      </c>
      <c r="R80" s="11">
        <f>41966.1482936086/(10^3)</f>
        <v>41.966148293608605</v>
      </c>
      <c r="S80" s="11">
        <f>43628.672658068/(10^3)</f>
        <v>43.628672658067998</v>
      </c>
      <c r="T80" s="11">
        <f>43434.9788735633/(10^3)</f>
        <v>43.434978873563296</v>
      </c>
      <c r="U80" s="11">
        <f>43053.4144842405/(10^3)</f>
        <v>43.053414484240498</v>
      </c>
      <c r="V80" s="11">
        <f>43923.8122658624/(10^3)</f>
        <v>43.923812265862395</v>
      </c>
      <c r="W80" s="11">
        <v>43.121103414908269</v>
      </c>
      <c r="X80" s="11">
        <f>44380.8262598799/(10^3)</f>
        <v>44.380826259879896</v>
      </c>
      <c r="Y80" s="11">
        <f>43879.9946031118/(10^3)</f>
        <v>43.879994603111804</v>
      </c>
      <c r="Z80" s="11">
        <f>45190.2241575347/(10^3)</f>
        <v>45.190224157534701</v>
      </c>
      <c r="AA80" s="11">
        <f>44857.142369882/(10^3)</f>
        <v>44.857142369881998</v>
      </c>
      <c r="AB80" s="11">
        <f>44014.0672705078/(10^3)</f>
        <v>44.014067270507802</v>
      </c>
      <c r="AC80" s="11">
        <v>43.14036873949204</v>
      </c>
      <c r="AD80" s="11">
        <f>42299.2268273678/(10^3)</f>
        <v>42.299226827367796</v>
      </c>
      <c r="AE80" s="11">
        <f>43190.5014595755/(10^3)</f>
        <v>43.190501459575501</v>
      </c>
      <c r="AF80" s="11">
        <f>43336.3033804189/(10^3)</f>
        <v>43.336303380418904</v>
      </c>
      <c r="AG80" s="11">
        <f>43052.3497817428/(10^3)</f>
        <v>43.052349781742798</v>
      </c>
      <c r="AH80" s="11">
        <f>44762.1395591233/(10^3)</f>
        <v>44.762139559123298</v>
      </c>
      <c r="AI80" s="11">
        <v>43.965467026517352</v>
      </c>
      <c r="AJ80" s="11">
        <f>45600.5080941261/(10^3)</f>
        <v>45.600508094126099</v>
      </c>
      <c r="AK80" s="11">
        <f>45082.6528623531/(10^3)</f>
        <v>45.0826528623531</v>
      </c>
      <c r="AL80" s="11">
        <f>44200.7448801429/(10^3)</f>
        <v>44.200744880142899</v>
      </c>
      <c r="AM80" s="11">
        <f>44435.4715187967/(10^3)</f>
        <v>44.435471518796703</v>
      </c>
      <c r="AN80" s="11">
        <f>44249.1120763545/(10^3)</f>
        <v>44.2491120763545</v>
      </c>
      <c r="AO80" s="11">
        <v>44.326906664604394</v>
      </c>
      <c r="AP80" s="11">
        <f>43891.8231602055/(10^3)</f>
        <v>43.891823160205504</v>
      </c>
      <c r="AQ80" s="11">
        <f>45359.8326072182/(10^3)</f>
        <v>45.359832607218202</v>
      </c>
      <c r="AR80" s="11">
        <f>46163.7350798689/(10^3)</f>
        <v>46.1637350798689</v>
      </c>
      <c r="AS80" s="11">
        <f>45428.7698279777/(10^3)</f>
        <v>45.428769827977703</v>
      </c>
      <c r="AT80" s="11">
        <f>45997.9156966617/(10^3)</f>
        <v>45.9979156966617</v>
      </c>
      <c r="AU80" s="11">
        <v>45.995188447033719</v>
      </c>
      <c r="AV80" s="11">
        <f>45115.1629311827/(10^3)</f>
        <v>45.115162931182695</v>
      </c>
      <c r="AW80" s="11">
        <f>44921.2372300932/(10^3)</f>
        <v>44.921237230093197</v>
      </c>
      <c r="AX80" s="11">
        <f>46306.9074673033/(10^3)</f>
        <v>46.306907467303304</v>
      </c>
      <c r="AY80" s="11">
        <f>48214.8613189126/(10^3)</f>
        <v>48.214861318912597</v>
      </c>
      <c r="AZ80" s="11">
        <f>48247.7616577743/(10^3)</f>
        <v>48.247761657774305</v>
      </c>
      <c r="BA80" s="11">
        <v>48.395970622075922</v>
      </c>
      <c r="BB80" s="11">
        <f>47581.8595201777/(10^3)</f>
        <v>47.581859520177701</v>
      </c>
      <c r="BC80" s="11">
        <f>47907.4448995846/(10^3)</f>
        <v>47.907444899584604</v>
      </c>
      <c r="BD80" s="11">
        <f>46984.0301528383/(10^3)</f>
        <v>46.984030152838301</v>
      </c>
      <c r="BE80" s="11">
        <f>48214.3897160467/(10^3)</f>
        <v>48.214389716046703</v>
      </c>
      <c r="BF80" s="11">
        <f>50585.8730128346/(10^3)</f>
        <v>50.585873012834597</v>
      </c>
      <c r="BG80" s="11">
        <v>51.204874923587084</v>
      </c>
      <c r="BH80" s="11">
        <f>53321.8244715813/(10^3)</f>
        <v>53.321824471581301</v>
      </c>
      <c r="BI80" s="11">
        <f>53426.9872519131/(10^3)</f>
        <v>53.426987251913104</v>
      </c>
      <c r="BJ80" s="11">
        <f>52616.0281570743/(10^3)</f>
        <v>52.616028157074304</v>
      </c>
      <c r="BK80" s="11">
        <f>54424.8916227586/(10^3)</f>
        <v>54.424891622758601</v>
      </c>
      <c r="BL80" s="11">
        <f>53685.4277697262/(10^3)</f>
        <v>53.685427769726203</v>
      </c>
      <c r="BM80" s="11">
        <v>53.929407441428467</v>
      </c>
      <c r="BN80" s="11">
        <f>56242.7069002885/(10^3)</f>
        <v>56.242706900288496</v>
      </c>
      <c r="BO80" s="11">
        <f>56549.7681990504/(10^3)</f>
        <v>56.549768199050398</v>
      </c>
      <c r="BP80" s="11">
        <f>57950.0037356615/(10^3)</f>
        <v>57.950003735661497</v>
      </c>
      <c r="BQ80" s="11">
        <f>57707.0553310254/(10^3)</f>
        <v>57.707055331025401</v>
      </c>
      <c r="BR80" s="11">
        <f>58121.2066977728/(10^3)</f>
        <v>58.121206697772806</v>
      </c>
      <c r="BS80" s="11">
        <v>60.318230704938081</v>
      </c>
      <c r="BT80" s="11">
        <f>61955.9941769326/(10^3)</f>
        <v>61.955994176932606</v>
      </c>
      <c r="BU80" s="11">
        <f>64541.4205453903/(10^3)</f>
        <v>64.541420545390295</v>
      </c>
      <c r="BV80" s="11">
        <f>65133.5323048169/(10^3)</f>
        <v>65.133532304816896</v>
      </c>
      <c r="BW80" s="11">
        <f>64770.4169170754/(10^3)</f>
        <v>64.770416917075408</v>
      </c>
      <c r="BX80" s="11">
        <f>67675.389277587/(10^3)</f>
        <v>67.675389277587001</v>
      </c>
      <c r="BY80" s="11">
        <v>71.07386654889828</v>
      </c>
      <c r="BZ80" s="11">
        <f>71073.8665488983/(10^3)</f>
        <v>71.073866548898295</v>
      </c>
      <c r="CA80" s="11">
        <f>72115.7306944119/(10^3)</f>
        <v>72.115730694411909</v>
      </c>
      <c r="CB80" s="11">
        <f>74464.9391240163/(10^3)</f>
        <v>74.464939124016297</v>
      </c>
      <c r="CC80" s="12"/>
      <c r="DD80" s="11"/>
      <c r="DE80" s="11"/>
      <c r="DF80" s="11"/>
    </row>
    <row r="81" spans="4:110" ht="15.6" x14ac:dyDescent="0.25">
      <c r="D81" s="10" t="s">
        <v>44</v>
      </c>
      <c r="E81" s="10" t="s">
        <v>43</v>
      </c>
      <c r="F81" s="10" t="s">
        <v>150</v>
      </c>
      <c r="G81" s="10" t="s">
        <v>182</v>
      </c>
      <c r="H81" s="67" t="str">
        <f t="shared" si="2"/>
        <v>Little Rock (피합병)</v>
      </c>
      <c r="I81" s="11">
        <f>57297.034965035/(10^3)</f>
        <v>57.297034965035003</v>
      </c>
      <c r="J81" s="11">
        <f>59809.5729976603/(10^3)</f>
        <v>59.809572997660304</v>
      </c>
      <c r="K81" s="11">
        <v>60.710447338433426</v>
      </c>
      <c r="L81" s="11">
        <f>60466.0638359707/(10^3)</f>
        <v>60.466063835970701</v>
      </c>
      <c r="M81" s="11">
        <f>60236.9569714568/(10^3)</f>
        <v>60.236956971456799</v>
      </c>
      <c r="N81" s="11">
        <f>60796.2775562819/(10^3)</f>
        <v>60.7962775562819</v>
      </c>
      <c r="O81" s="11">
        <f>61133.7870040218/(10^3)</f>
        <v>61.133787004021798</v>
      </c>
      <c r="P81" s="11">
        <f>63051.2067503427/(10^3)</f>
        <v>63.051206750342701</v>
      </c>
      <c r="Q81" s="11">
        <v>65.371313256489614</v>
      </c>
      <c r="R81" s="11">
        <f>67397.1625066892/(10^3)</f>
        <v>67.397162506689199</v>
      </c>
      <c r="S81" s="11">
        <f>68243.5406252613/(10^3)</f>
        <v>68.243540625261303</v>
      </c>
      <c r="T81" s="11">
        <f>68564.8683757999/(10^3)</f>
        <v>68.56486837579989</v>
      </c>
      <c r="U81" s="11">
        <f>68996.033583226/(10^3)</f>
        <v>68.996033583226009</v>
      </c>
      <c r="V81" s="11">
        <f>67617.1486403459/(10^3)</f>
        <v>67.617148640345903</v>
      </c>
      <c r="W81" s="11">
        <v>67.185116973279406</v>
      </c>
      <c r="X81" s="11">
        <f>66747.6543433695/(10^3)</f>
        <v>66.747654343369504</v>
      </c>
      <c r="Y81" s="11">
        <f>68118.6423839125/(10^3)</f>
        <v>68.118642383912501</v>
      </c>
      <c r="Z81" s="11">
        <f>67855.2038928096/(10^3)</f>
        <v>67.855203892809598</v>
      </c>
      <c r="AA81" s="11">
        <f>70753.8620103722/(10^3)</f>
        <v>70.753862010372202</v>
      </c>
      <c r="AB81" s="11">
        <f>69990.676593679/(10^3)</f>
        <v>69.990676593678998</v>
      </c>
      <c r="AC81" s="11">
        <v>73.454152572334209</v>
      </c>
      <c r="AD81" s="11">
        <f>73453.6036417972/(10^3)</f>
        <v>73.453603641797201</v>
      </c>
      <c r="AE81" s="11">
        <f>74242.0564802389/(10^3)</f>
        <v>74.242056480238901</v>
      </c>
      <c r="AF81" s="11">
        <f>73218.9034017998/(10^3)</f>
        <v>73.218903401799807</v>
      </c>
      <c r="AG81" s="11">
        <f>73036.8138490534/(10^3)</f>
        <v>73.036813849053402</v>
      </c>
      <c r="AH81" s="11">
        <f>74122.4241108713/(10^3)</f>
        <v>74.122424110871307</v>
      </c>
      <c r="AI81" s="11">
        <v>77.541898348393005</v>
      </c>
      <c r="AJ81" s="11">
        <f>76924.6174258929/(10^3)</f>
        <v>76.92461742589289</v>
      </c>
      <c r="AK81" s="11">
        <f>75991.0137845106/(10^3)</f>
        <v>75.991013784510599</v>
      </c>
      <c r="AL81" s="11">
        <f>74892.9065349984/(10^3)</f>
        <v>74.892906534998403</v>
      </c>
      <c r="AM81" s="11">
        <f>77972.3806816701/(10^3)</f>
        <v>77.972380681670103</v>
      </c>
      <c r="AN81" s="11">
        <f>78641.0696810455/(10^3)</f>
        <v>78.641069681045494</v>
      </c>
      <c r="AO81" s="11">
        <v>78.808272883013231</v>
      </c>
      <c r="AP81" s="11">
        <f>78208.2141269251/(10^3)</f>
        <v>78.2082141269251</v>
      </c>
      <c r="AQ81" s="11">
        <f>77928.7955661253/(10^3)</f>
        <v>77.928795566125302</v>
      </c>
      <c r="AR81" s="11">
        <f>77660.7647016869/(10^3)</f>
        <v>77.660764701686901</v>
      </c>
      <c r="AS81" s="11">
        <f>76985.162265238/(10^3)</f>
        <v>76.985162265238003</v>
      </c>
      <c r="AT81" s="11">
        <f>76231.7669232099/(10^3)</f>
        <v>76.231766923209904</v>
      </c>
      <c r="AU81" s="11">
        <v>77.601008402177257</v>
      </c>
      <c r="AV81" s="11">
        <f>77281.4525599845/(10^3)</f>
        <v>77.281452559984487</v>
      </c>
      <c r="AW81" s="11">
        <f>75964.2780113327/(10^3)</f>
        <v>75.964278011332709</v>
      </c>
      <c r="AX81" s="11">
        <f>76477.9312112716/(10^3)</f>
        <v>76.477931211271596</v>
      </c>
      <c r="AY81" s="11">
        <f>75426.1416900446/(10^3)</f>
        <v>75.426141690044602</v>
      </c>
      <c r="AZ81" s="11">
        <f>75416.8886361848/(10^3)</f>
        <v>75.416888636184794</v>
      </c>
      <c r="BA81" s="11">
        <v>74.397451248677257</v>
      </c>
      <c r="BB81" s="11">
        <f>74812.7165192815/(10^3)</f>
        <v>74.812716519281494</v>
      </c>
      <c r="BC81" s="11">
        <f>76821.3890987183/(10^3)</f>
        <v>76.821389098718299</v>
      </c>
      <c r="BD81" s="11">
        <f>77001.8080655768/(10^3)</f>
        <v>77.001808065576796</v>
      </c>
      <c r="BE81" s="11">
        <f>79059.7771235252/(10^3)</f>
        <v>79.059777123525194</v>
      </c>
      <c r="BF81" s="11">
        <f>81514.7115428716/(10^3)</f>
        <v>81.514711542871609</v>
      </c>
      <c r="BG81" s="11">
        <v>82.531350963665375</v>
      </c>
      <c r="BH81" s="11">
        <f>85889.9487813638/(10^3)</f>
        <v>85.889948781363799</v>
      </c>
      <c r="BI81" s="11">
        <f>89139.9479873377/(10^3)</f>
        <v>89.139947987337692</v>
      </c>
      <c r="BJ81" s="11">
        <f>91136.6868296148/(10^3)</f>
        <v>91.136686829614803</v>
      </c>
      <c r="BK81" s="11">
        <f>91427.8870293075/(10^3)</f>
        <v>91.427887029307499</v>
      </c>
      <c r="BL81" s="11">
        <f>95017.411482605/(10^3)</f>
        <v>95.017411482605013</v>
      </c>
      <c r="BM81" s="11">
        <v>95.664021477959153</v>
      </c>
      <c r="BN81" s="11">
        <f>94667.309686069/(10^3)</f>
        <v>94.667309686069004</v>
      </c>
      <c r="BO81" s="11">
        <f>93525.8785332471/(10^3)</f>
        <v>93.525878533247095</v>
      </c>
      <c r="BP81" s="11">
        <f>91687.119525916/(10^3)</f>
        <v>91.687119525916003</v>
      </c>
      <c r="BQ81" s="11">
        <f>89934.078501333/(10^3)</f>
        <v>89.934078501333005</v>
      </c>
      <c r="BR81" s="11">
        <f>89490.7986819796/(10^3)</f>
        <v>89.490798681979612</v>
      </c>
      <c r="BS81" s="11">
        <v>93.838926587288853</v>
      </c>
      <c r="BT81" s="11">
        <f>92958.3087089829/(10^3)</f>
        <v>92.958308708982912</v>
      </c>
      <c r="BU81" s="11">
        <f>96456.8709930965/(10^3)</f>
        <v>96.456870993096501</v>
      </c>
      <c r="BV81" s="11">
        <f>97252.6704743465/(10^3)</f>
        <v>97.252670474346488</v>
      </c>
      <c r="BW81" s="11">
        <f>95798.5030844042/(10^3)</f>
        <v>95.798503084404203</v>
      </c>
      <c r="BX81" s="11">
        <f>95914.2187370308/(10^3)</f>
        <v>95.914218737030794</v>
      </c>
      <c r="BY81" s="11">
        <v>101.46177164872802</v>
      </c>
      <c r="BZ81" s="11">
        <f>101461.771648728/(10^3)</f>
        <v>101.461771648728</v>
      </c>
      <c r="CA81" s="11">
        <f>104181.792037104/(10^3)</f>
        <v>104.18179203710399</v>
      </c>
      <c r="CB81" s="11">
        <f>106193.470691532/(10^3)</f>
        <v>106.193470691532</v>
      </c>
      <c r="CC81" s="12"/>
      <c r="DD81" s="11"/>
      <c r="DE81" s="11"/>
      <c r="DF81" s="11"/>
    </row>
    <row r="82" spans="4:110" ht="15.6" x14ac:dyDescent="0.25">
      <c r="D82" s="10" t="s">
        <v>45</v>
      </c>
      <c r="E82" s="10" t="s">
        <v>29</v>
      </c>
      <c r="F82" s="10" t="s">
        <v>150</v>
      </c>
      <c r="G82" s="10" t="s">
        <v>182</v>
      </c>
      <c r="H82" s="67" t="str">
        <f t="shared" si="2"/>
        <v>Louisville (피합병)</v>
      </c>
      <c r="I82" s="11">
        <f>83874.4723488853/(10^3)</f>
        <v>83.874472348885305</v>
      </c>
      <c r="J82" s="11">
        <f>86031.2551324584/(10^3)</f>
        <v>86.031255132458412</v>
      </c>
      <c r="K82" s="11">
        <v>89.759938398789771</v>
      </c>
      <c r="L82" s="11">
        <f>94141.8444528519/(10^3)</f>
        <v>94.141844452851899</v>
      </c>
      <c r="M82" s="11">
        <f>94785.8600885857/(10^3)</f>
        <v>94.785860088585707</v>
      </c>
      <c r="N82" s="11">
        <f>94590.8487538572/(10^3)</f>
        <v>94.590848753857188</v>
      </c>
      <c r="O82" s="11">
        <f>93844.7663446769/(10^3)</f>
        <v>93.844766344676898</v>
      </c>
      <c r="P82" s="11">
        <f>98419.7234538724/(10^3)</f>
        <v>98.419723453872408</v>
      </c>
      <c r="Q82" s="11">
        <v>98.841566953392189</v>
      </c>
      <c r="R82" s="11">
        <f>100368.117934799/(10^3)</f>
        <v>100.368117934799</v>
      </c>
      <c r="S82" s="11">
        <f>103568.251838429/(10^3)</f>
        <v>103.56825183842901</v>
      </c>
      <c r="T82" s="11">
        <f>102161.167821137/(10^3)</f>
        <v>102.161167821137</v>
      </c>
      <c r="U82" s="11">
        <f>101863.833396366/(10^3)</f>
        <v>101.86383339636599</v>
      </c>
      <c r="V82" s="11">
        <f>104890.420624485/(10^3)</f>
        <v>104.890420624485</v>
      </c>
      <c r="W82" s="11">
        <v>107.85342346428673</v>
      </c>
      <c r="X82" s="11">
        <f>107022.167701667/(10^3)</f>
        <v>107.022167701667</v>
      </c>
      <c r="Y82" s="11">
        <f>105454.201681733/(10^3)</f>
        <v>105.454201681733</v>
      </c>
      <c r="Z82" s="11">
        <f>103705.611483509/(10^3)</f>
        <v>103.705611483509</v>
      </c>
      <c r="AA82" s="11">
        <f>102620.888245278/(10^3)</f>
        <v>102.620888245278</v>
      </c>
      <c r="AB82" s="11">
        <f>102831.889124334/(10^3)</f>
        <v>102.831889124334</v>
      </c>
      <c r="AC82" s="11">
        <v>102.58136698961441</v>
      </c>
      <c r="AD82" s="11">
        <f>106024.97177777/(10^3)</f>
        <v>106.02497177777001</v>
      </c>
      <c r="AE82" s="11">
        <f>104600.28143708/(10^3)</f>
        <v>104.60028143708</v>
      </c>
      <c r="AF82" s="11">
        <f>103698.531479405/(10^3)</f>
        <v>103.69853147940501</v>
      </c>
      <c r="AG82" s="11">
        <f>107962.147467854/(10^3)</f>
        <v>107.962147467854</v>
      </c>
      <c r="AH82" s="11">
        <f>105900.151104235/(10^3)</f>
        <v>105.90015110423501</v>
      </c>
      <c r="AI82" s="11">
        <v>105.09965775402804</v>
      </c>
      <c r="AJ82" s="11">
        <f>105043.888199166/(10^3)</f>
        <v>105.04388819916601</v>
      </c>
      <c r="AK82" s="11">
        <f>106948.56362678/(10^3)</f>
        <v>106.94856362678</v>
      </c>
      <c r="AL82" s="11">
        <f>105689.267554079/(10^3)</f>
        <v>105.689267554079</v>
      </c>
      <c r="AM82" s="11">
        <f>104878.669925296/(10^3)</f>
        <v>104.87866992529599</v>
      </c>
      <c r="AN82" s="11">
        <f>106205.92204131/(10^3)</f>
        <v>106.20592204131</v>
      </c>
      <c r="AO82" s="11">
        <v>106.1572781638753</v>
      </c>
      <c r="AP82" s="11">
        <f>109796.104784416/(10^3)</f>
        <v>109.796104784416</v>
      </c>
      <c r="AQ82" s="11">
        <f>107641.56674332/(10^3)</f>
        <v>107.64156674332</v>
      </c>
      <c r="AR82" s="11">
        <f>106217.699212258/(10^3)</f>
        <v>106.217699212258</v>
      </c>
      <c r="AS82" s="11">
        <f>106392.281251468/(10^3)</f>
        <v>106.39228125146799</v>
      </c>
      <c r="AT82" s="11">
        <f>108258.625930989/(10^3)</f>
        <v>108.258625930989</v>
      </c>
      <c r="AU82" s="11">
        <v>109.09365822991977</v>
      </c>
      <c r="AV82" s="11">
        <f>113825.838782562/(10^3)</f>
        <v>113.825838782562</v>
      </c>
      <c r="AW82" s="11">
        <f>113224.0337674/(10^3)</f>
        <v>113.2240337674</v>
      </c>
      <c r="AX82" s="11">
        <f>112617.853689085/(10^3)</f>
        <v>112.617853689085</v>
      </c>
      <c r="AY82" s="11">
        <f>112414.691950975/(10^3)</f>
        <v>112.414691950975</v>
      </c>
      <c r="AZ82" s="11">
        <f>115004.622648664/(10^3)</f>
        <v>115.004622648664</v>
      </c>
      <c r="BA82" s="11">
        <v>116.34937755002855</v>
      </c>
      <c r="BB82" s="11">
        <f>120974.023012582/(10^3)</f>
        <v>120.97402301258199</v>
      </c>
      <c r="BC82" s="11">
        <f>118861.479731559/(10^3)</f>
        <v>118.861479731559</v>
      </c>
      <c r="BD82" s="11">
        <f>120340.662523563/(10^3)</f>
        <v>120.34066252356301</v>
      </c>
      <c r="BE82" s="11">
        <f>120749.913760873/(10^3)</f>
        <v>120.749913760873</v>
      </c>
      <c r="BF82" s="11">
        <f>119529.849265731/(10^3)</f>
        <v>119.529849265731</v>
      </c>
      <c r="BG82" s="11">
        <v>118.82792049699584</v>
      </c>
      <c r="BH82" s="11">
        <f>116675.423584963/(10^3)</f>
        <v>116.675423584963</v>
      </c>
      <c r="BI82" s="11">
        <f>115446.086351941/(10^3)</f>
        <v>115.44608635194101</v>
      </c>
      <c r="BJ82" s="11">
        <f>118607.585035692/(10^3)</f>
        <v>118.607585035692</v>
      </c>
      <c r="BK82" s="11">
        <f>117767.349489588/(10^3)</f>
        <v>117.767349489588</v>
      </c>
      <c r="BL82" s="11">
        <f>115516.961892681/(10^3)</f>
        <v>115.51696189268101</v>
      </c>
      <c r="BM82" s="11">
        <v>116.78580769497091</v>
      </c>
      <c r="BN82" s="11">
        <f>117568.997929512/(10^3)</f>
        <v>117.56899792951199</v>
      </c>
      <c r="BO82" s="11">
        <f>122013.035369706/(10^3)</f>
        <v>122.013035369706</v>
      </c>
      <c r="BP82" s="11">
        <f>122041.083954497/(10^3)</f>
        <v>122.041083954497</v>
      </c>
      <c r="BQ82" s="11">
        <f>123103.713980791/(10^3)</f>
        <v>123.103713980791</v>
      </c>
      <c r="BR82" s="11">
        <f>125036.22739696/(10^3)</f>
        <v>125.03622739696</v>
      </c>
      <c r="BS82" s="11">
        <v>130.72285706730037</v>
      </c>
      <c r="BT82" s="11">
        <f>130009.534918648/(10^3)</f>
        <v>130.009534918648</v>
      </c>
      <c r="BU82" s="11">
        <f>135902.45480379/(10^3)</f>
        <v>135.90245480378999</v>
      </c>
      <c r="BV82" s="11">
        <f>140271.041697955/(10^3)</f>
        <v>140.27104169795498</v>
      </c>
      <c r="BW82" s="11">
        <f>141746.907282713/(10^3)</f>
        <v>141.74690728271298</v>
      </c>
      <c r="BX82" s="11">
        <f>139713.403238097/(10^3)</f>
        <v>139.71340323809702</v>
      </c>
      <c r="BY82" s="11">
        <v>145.74414560630373</v>
      </c>
      <c r="BZ82" s="11">
        <f>145744.145606304/(10^3)</f>
        <v>145.74414560630399</v>
      </c>
      <c r="CA82" s="11">
        <f>147371.557068084/(10^3)</f>
        <v>147.371557068084</v>
      </c>
      <c r="CB82" s="11">
        <f>151233.88658738/(10^3)</f>
        <v>151.23388658738</v>
      </c>
      <c r="CC82" s="12"/>
      <c r="DD82" s="11"/>
      <c r="DE82" s="11"/>
      <c r="DF82" s="11"/>
    </row>
    <row r="83" spans="4:110" ht="15.6" x14ac:dyDescent="0.25">
      <c r="D83" s="10" t="s">
        <v>55</v>
      </c>
      <c r="E83" s="10" t="s">
        <v>54</v>
      </c>
      <c r="F83" s="10" t="s">
        <v>149</v>
      </c>
      <c r="G83" s="10" t="s">
        <v>182</v>
      </c>
      <c r="H83" s="67" t="str">
        <f t="shared" si="2"/>
        <v>Madison (피합병)</v>
      </c>
      <c r="I83" s="11">
        <f>9484.61126333822/(10^3)</f>
        <v>9.4846112633382198</v>
      </c>
      <c r="J83" s="11">
        <f>9356.41943514837/(10^3)</f>
        <v>9.3564194351483696</v>
      </c>
      <c r="K83" s="11">
        <v>9.5114908545239434</v>
      </c>
      <c r="L83" s="11">
        <f>9925.49731518269/(10^3)</f>
        <v>9.9254973151826906</v>
      </c>
      <c r="M83" s="11">
        <f>10217.1682182947/(10^3)</f>
        <v>10.217168218294701</v>
      </c>
      <c r="N83" s="11">
        <f>10050.7210756941/(10^3)</f>
        <v>10.050721075694101</v>
      </c>
      <c r="O83" s="11">
        <f>9972.3250053334/(10^3)</f>
        <v>9.9723250053333992</v>
      </c>
      <c r="P83" s="11">
        <f>10308.2145734174/(10^3)</f>
        <v>10.308214573417398</v>
      </c>
      <c r="Q83" s="11">
        <v>10.250642286972916</v>
      </c>
      <c r="R83" s="11">
        <f>10605.676214625/(10^3)</f>
        <v>10.605676214624999</v>
      </c>
      <c r="S83" s="11">
        <f>10564.060894623/(10^3)</f>
        <v>10.564060894623001</v>
      </c>
      <c r="T83" s="11">
        <f>10973.3002311398/(10^3)</f>
        <v>10.973300231139799</v>
      </c>
      <c r="U83" s="11">
        <f>10954.748294597/(10^3)</f>
        <v>10.954748294597</v>
      </c>
      <c r="V83" s="11">
        <f>11414.4323015954/(10^3)</f>
        <v>11.414432301595399</v>
      </c>
      <c r="W83" s="11">
        <v>11.824393197519969</v>
      </c>
      <c r="X83" s="11">
        <f>11703.8378247927/(10^3)</f>
        <v>11.7038378247927</v>
      </c>
      <c r="Y83" s="11">
        <f>12254.8731694891/(10^3)</f>
        <v>12.2548731694891</v>
      </c>
      <c r="Z83" s="11">
        <f>12655.1371137681/(10^3)</f>
        <v>12.655137113768101</v>
      </c>
      <c r="AA83" s="11">
        <f>12466.0511425369/(10^3)</f>
        <v>12.4660511425369</v>
      </c>
      <c r="AB83" s="11">
        <f>12320.6725670159/(10^3)</f>
        <v>12.320672567015899</v>
      </c>
      <c r="AC83" s="11">
        <v>12.279213264695338</v>
      </c>
      <c r="AD83" s="11">
        <f>12248.7703944638/(10^3)</f>
        <v>12.248770394463799</v>
      </c>
      <c r="AE83" s="11">
        <f>12231.1570126402/(10^3)</f>
        <v>12.2311570126402</v>
      </c>
      <c r="AF83" s="11">
        <f>12131.2149378148/(10^3)</f>
        <v>12.1312149378148</v>
      </c>
      <c r="AG83" s="11">
        <f>12029.5650366632/(10^3)</f>
        <v>12.0295650366632</v>
      </c>
      <c r="AH83" s="11">
        <f>12473.7386332181/(10^3)</f>
        <v>12.473738633218099</v>
      </c>
      <c r="AI83" s="11">
        <v>12.742998594533512</v>
      </c>
      <c r="AJ83" s="11">
        <f>12568.5711507419/(10^3)</f>
        <v>12.568571150741899</v>
      </c>
      <c r="AK83" s="11">
        <f>12683.6291673473/(10^3)</f>
        <v>12.6836291673473</v>
      </c>
      <c r="AL83" s="11">
        <f>12524.8248916973/(10^3)</f>
        <v>12.524824891697302</v>
      </c>
      <c r="AM83" s="11">
        <f>12331.3994325994/(10^3)</f>
        <v>12.331399432599401</v>
      </c>
      <c r="AN83" s="11">
        <f>12270.5873927788/(10^3)</f>
        <v>12.270587392778801</v>
      </c>
      <c r="AO83" s="11">
        <v>12.29712339595299</v>
      </c>
      <c r="AP83" s="11">
        <f>12265.4156850665/(10^3)</f>
        <v>12.2654156850665</v>
      </c>
      <c r="AQ83" s="11">
        <f>12032.9713591214/(10^3)</f>
        <v>12.032971359121401</v>
      </c>
      <c r="AR83" s="11">
        <f>12479.3042652756/(10^3)</f>
        <v>12.4793042652756</v>
      </c>
      <c r="AS83" s="11">
        <f>12473.4704339901/(10^3)</f>
        <v>12.4734704339901</v>
      </c>
      <c r="AT83" s="11">
        <f>12245.330825369/(10^3)</f>
        <v>12.245330825368999</v>
      </c>
      <c r="AU83" s="11">
        <v>12.375328677468621</v>
      </c>
      <c r="AV83" s="11">
        <f>12162.9315894776/(10^3)</f>
        <v>12.1629315894776</v>
      </c>
      <c r="AW83" s="11">
        <f>12081.9760245501/(10^3)</f>
        <v>12.0819760245501</v>
      </c>
      <c r="AX83" s="11">
        <f>11848.2381007526/(10^3)</f>
        <v>11.848238100752599</v>
      </c>
      <c r="AY83" s="11">
        <f>12375.8791621038/(10^3)</f>
        <v>12.3758791621038</v>
      </c>
      <c r="AZ83" s="11">
        <f>12750.1531326336/(10^3)</f>
        <v>12.750153132633601</v>
      </c>
      <c r="BA83" s="11">
        <v>12.616253446283437</v>
      </c>
      <c r="BB83" s="11">
        <f>13031.8747793139/(10^3)</f>
        <v>13.031874779313899</v>
      </c>
      <c r="BC83" s="11">
        <f>12970.9591018803/(10^3)</f>
        <v>12.9709591018803</v>
      </c>
      <c r="BD83" s="11">
        <f>13104.5224718875/(10^3)</f>
        <v>13.104522471887499</v>
      </c>
      <c r="BE83" s="11">
        <f>13117.5805549043/(10^3)</f>
        <v>13.117580554904301</v>
      </c>
      <c r="BF83" s="11">
        <f>13062.2866978843/(10^3)</f>
        <v>13.0622866978843</v>
      </c>
      <c r="BG83" s="11">
        <v>13.712518473551635</v>
      </c>
      <c r="BH83" s="11">
        <f>14109.0498532201/(10^3)</f>
        <v>14.1090498532201</v>
      </c>
      <c r="BI83" s="11">
        <f>14526.9981153623/(10^3)</f>
        <v>14.5269981153623</v>
      </c>
      <c r="BJ83" s="11">
        <f>14676.4282805217/(10^3)</f>
        <v>14.676428280521701</v>
      </c>
      <c r="BK83" s="11">
        <f>14640.7104600615/(10^3)</f>
        <v>14.6407104600615</v>
      </c>
      <c r="BL83" s="11">
        <f>14460.1342559692/(10^3)</f>
        <v>14.4601342559692</v>
      </c>
      <c r="BM83" s="11">
        <v>14.596393045876695</v>
      </c>
      <c r="BN83" s="11">
        <f>15210.1620058839/(10^3)</f>
        <v>15.2101620058839</v>
      </c>
      <c r="BO83" s="11">
        <f>15270.7456553193/(10^3)</f>
        <v>15.270745655319301</v>
      </c>
      <c r="BP83" s="11">
        <f>15559.990803919/(10^3)</f>
        <v>15.559990803919</v>
      </c>
      <c r="BQ83" s="11">
        <f>16318.3517964742/(10^3)</f>
        <v>16.3183517964742</v>
      </c>
      <c r="BR83" s="11">
        <f>16435.2750700513/(10^3)</f>
        <v>16.435275070051297</v>
      </c>
      <c r="BS83" s="11">
        <v>17.012258236930062</v>
      </c>
      <c r="BT83" s="11">
        <f>17470.4688198033/(10^3)</f>
        <v>17.470468819803301</v>
      </c>
      <c r="BU83" s="11">
        <f>17350.3541757678/(10^3)</f>
        <v>17.350354175767798</v>
      </c>
      <c r="BV83" s="11">
        <f>17618.2699853357/(10^3)</f>
        <v>17.618269985335701</v>
      </c>
      <c r="BW83" s="11">
        <f>18033.9978776554/(10^3)</f>
        <v>18.033997877655402</v>
      </c>
      <c r="BX83" s="11">
        <f>18793.8314550445/(10^3)</f>
        <v>18.793831455044501</v>
      </c>
      <c r="BY83" s="11">
        <v>19.358437488498868</v>
      </c>
      <c r="BZ83" s="11">
        <f>19358.4374884989/(10^3)</f>
        <v>19.3584374884989</v>
      </c>
      <c r="CA83" s="11">
        <f>20005.1103163107/(10^3)</f>
        <v>20.005110316310699</v>
      </c>
      <c r="CB83" s="11">
        <f>19777.5555168742/(10^3)</f>
        <v>19.777555516874198</v>
      </c>
      <c r="CC83" s="12"/>
      <c r="DD83" s="11"/>
      <c r="DE83" s="11"/>
      <c r="DF83" s="11"/>
    </row>
    <row r="84" spans="4:110" ht="15.6" x14ac:dyDescent="0.25">
      <c r="D84" s="10" t="s">
        <v>57</v>
      </c>
      <c r="E84" s="10" t="s">
        <v>56</v>
      </c>
      <c r="F84" s="10" t="s">
        <v>150</v>
      </c>
      <c r="G84" s="10" t="s">
        <v>182</v>
      </c>
      <c r="H84" s="67" t="str">
        <f t="shared" si="2"/>
        <v>Memphis (피합병)</v>
      </c>
      <c r="I84" s="11"/>
      <c r="J84" s="14"/>
      <c r="K84" s="11">
        <v>3.3177943845706674</v>
      </c>
      <c r="L84" s="11"/>
      <c r="M84" s="11"/>
      <c r="N84" s="11"/>
      <c r="O84" s="11"/>
      <c r="P84" s="11"/>
      <c r="Q84" s="11">
        <v>3.5997902348112065</v>
      </c>
      <c r="R84" s="11"/>
      <c r="S84" s="11"/>
      <c r="T84" s="11"/>
      <c r="U84" s="11"/>
      <c r="V84" s="11">
        <f>3619.61286375147/(10^3)</f>
        <v>3.61961286375147</v>
      </c>
      <c r="W84" s="11">
        <v>3.7637815249727642</v>
      </c>
      <c r="X84" s="11">
        <f>3764.58109232424/(10^3)</f>
        <v>3.7645810923242404</v>
      </c>
      <c r="Y84" s="11">
        <f>3751.52521789066/(10^3)</f>
        <v>3.7515252178906597</v>
      </c>
      <c r="Z84" s="11">
        <f>3874.79027315057/(10^3)</f>
        <v>3.8747902731505701</v>
      </c>
      <c r="AA84" s="11">
        <f>3865.19945262066/(10^3)</f>
        <v>3.8651994526206601</v>
      </c>
      <c r="AB84" s="11">
        <f>3859.76074805478/(10^3)</f>
        <v>3.85976074805478</v>
      </c>
      <c r="AC84" s="11">
        <v>3.7948924665686872</v>
      </c>
      <c r="AD84" s="11">
        <f>3774.3728389752/(10^3)</f>
        <v>3.7743728389752</v>
      </c>
      <c r="AE84" s="11">
        <f>3707.20514172876/(10^3)</f>
        <v>3.7072051417287599</v>
      </c>
      <c r="AF84" s="11">
        <f>3661.86334631888/(10^3)</f>
        <v>3.6618633463188797</v>
      </c>
      <c r="AG84" s="11">
        <f>3663.34062946147/(10^3)</f>
        <v>3.6633406294614703</v>
      </c>
      <c r="AH84" s="11">
        <f>3689.51985558318/(10^3)</f>
        <v>3.6895198555831796</v>
      </c>
      <c r="AI84" s="11">
        <v>3.6581572468539978</v>
      </c>
      <c r="AJ84" s="11">
        <f>3610.27895752278/(10^3)</f>
        <v>3.6102789575227798</v>
      </c>
      <c r="AK84" s="11">
        <f>3573.22183840542/(10^3)</f>
        <v>3.57322183840542</v>
      </c>
      <c r="AL84" s="11">
        <f>3570.59935086059/(10^3)</f>
        <v>3.5705993508605904</v>
      </c>
      <c r="AM84" s="11">
        <f>3608.85827668914/(10^3)</f>
        <v>3.6088582766891402</v>
      </c>
      <c r="AN84" s="11">
        <f>3621.08188972059/(10^3)</f>
        <v>3.6210818897205899</v>
      </c>
      <c r="AO84" s="11">
        <v>3.5496066306557839</v>
      </c>
      <c r="AP84" s="11">
        <f>3489.53078336591/(10^3)</f>
        <v>3.4895307833659097</v>
      </c>
      <c r="AQ84" s="11">
        <f>3636.73398952697/(10^3)</f>
        <v>3.6367339895269701</v>
      </c>
      <c r="AR84" s="11">
        <f>3609.82044979089/(10^3)</f>
        <v>3.6098204497908899</v>
      </c>
      <c r="AS84" s="11">
        <f>3578.1022145905/(10^3)</f>
        <v>3.5781022145904999</v>
      </c>
      <c r="AT84" s="11">
        <f>3622.16019328728/(10^3)</f>
        <v>3.62216019328728</v>
      </c>
      <c r="AU84" s="11">
        <v>3.5809148592766396</v>
      </c>
      <c r="AV84" s="11">
        <f>3619.60615583201/(10^3)</f>
        <v>3.6196061558320096</v>
      </c>
      <c r="AW84" s="11">
        <f>3608.67735781608/(10^3)</f>
        <v>3.60867735781608</v>
      </c>
      <c r="AX84" s="11">
        <f>3561.99004632494/(10^3)</f>
        <v>3.5619900463249401</v>
      </c>
      <c r="AY84" s="11">
        <f>3521.14551187999/(10^3)</f>
        <v>3.5211455118799901</v>
      </c>
      <c r="AZ84" s="11">
        <f>3481.73366380169/(10^3)</f>
        <v>3.4817336638016898</v>
      </c>
      <c r="BA84" s="11">
        <v>3.4281353422310108</v>
      </c>
      <c r="BB84" s="11">
        <f>3411.5743625853/(10^3)</f>
        <v>3.4115743625853003</v>
      </c>
      <c r="BC84" s="11">
        <f>3444.86916134423/(10^3)</f>
        <v>3.4448691613442302</v>
      </c>
      <c r="BD84" s="11">
        <f>3610.76045897359/(10^3)</f>
        <v>3.6107604589735902</v>
      </c>
      <c r="BE84" s="11">
        <f>3545.00268456942/(10^3)</f>
        <v>3.54500268456942</v>
      </c>
      <c r="BF84" s="11">
        <f>3582.97903662837/(10^3)</f>
        <v>3.58297903662837</v>
      </c>
      <c r="BG84" s="11">
        <v>3.6900672986051428</v>
      </c>
      <c r="BH84" s="11">
        <f>3734.92171380072/(10^3)</f>
        <v>3.7349217138007202</v>
      </c>
      <c r="BI84" s="11">
        <f>3882.31667264065/(10^3)</f>
        <v>3.8823166726406497</v>
      </c>
      <c r="BJ84" s="11">
        <f>4059.02010913817/(10^3)</f>
        <v>4.0590201091381699</v>
      </c>
      <c r="BK84" s="11">
        <f>3979.76912417851/(10^3)</f>
        <v>3.9797691241785103</v>
      </c>
      <c r="BL84" s="11">
        <f>4118.38430494552/(10^3)</f>
        <v>4.1183843049455202</v>
      </c>
      <c r="BM84" s="11">
        <v>4.2964301556184559</v>
      </c>
      <c r="BN84" s="11">
        <f>4373.89652083819/(10^3)</f>
        <v>4.3738965208381897</v>
      </c>
      <c r="BO84" s="11">
        <f>4540.85344102859/(10^3)</f>
        <v>4.5408534410285899</v>
      </c>
      <c r="BP84" s="11">
        <f>4766.65543909749/(10^3)</f>
        <v>4.76665543909749</v>
      </c>
      <c r="BQ84" s="11">
        <f>4723.24146160982/(10^3)</f>
        <v>4.7232414616098204</v>
      </c>
      <c r="BR84" s="11">
        <f>4801.94284779565/(10^3)</f>
        <v>4.8019428477956501</v>
      </c>
      <c r="BS84" s="11">
        <v>4.7103482366300566</v>
      </c>
      <c r="BT84" s="11">
        <f>4765.1380611873/(10^3)</f>
        <v>4.7651380611873</v>
      </c>
      <c r="BU84" s="11">
        <f>4978.2492254691/(10^3)</f>
        <v>4.9782492254690993</v>
      </c>
      <c r="BV84" s="11">
        <f>5201.60567606012/(10^3)</f>
        <v>5.2016056760601197</v>
      </c>
      <c r="BW84" s="11">
        <f>5193.31526817914/(10^3)</f>
        <v>5.1933152681791395</v>
      </c>
      <c r="BX84" s="11">
        <f>5175.58396129738/(10^3)</f>
        <v>5.17558396129738</v>
      </c>
      <c r="BY84" s="11">
        <v>5.3617835686808846</v>
      </c>
      <c r="BZ84" s="11">
        <f>5361.78356868088/(10^3)</f>
        <v>5.3617835686808801</v>
      </c>
      <c r="CA84" s="11">
        <f>5538.63616759946/(10^3)</f>
        <v>5.53863616759946</v>
      </c>
      <c r="CB84" s="11">
        <f>5708.4668210205/(10^3)</f>
        <v>5.7084668210205001</v>
      </c>
      <c r="CC84" s="12"/>
      <c r="DD84" s="11"/>
      <c r="DE84" s="11"/>
      <c r="DF84" s="11"/>
    </row>
    <row r="85" spans="4:110" ht="15.6" x14ac:dyDescent="0.25">
      <c r="D85" s="10" t="s">
        <v>58</v>
      </c>
      <c r="E85" s="10" t="s">
        <v>54</v>
      </c>
      <c r="F85" s="10" t="s">
        <v>149</v>
      </c>
      <c r="G85" s="10" t="s">
        <v>182</v>
      </c>
      <c r="H85" s="67" t="str">
        <f t="shared" si="2"/>
        <v>Milwaukee (피합병)</v>
      </c>
      <c r="I85" s="11">
        <f>8974.6131664211/(10^3)</f>
        <v>8.9746131664211006</v>
      </c>
      <c r="J85" s="11">
        <f>8910.69915213803/(10^3)</f>
        <v>8.9106991521380294</v>
      </c>
      <c r="K85" s="11">
        <v>9.179783297338064</v>
      </c>
      <c r="L85" s="11">
        <f>9144.83216207034/(10^3)</f>
        <v>9.1448321620703386</v>
      </c>
      <c r="M85" s="11">
        <f>9352.33037182267/(10^3)</f>
        <v>9.3523303718226707</v>
      </c>
      <c r="N85" s="11">
        <f>9251.48706270927/(10^3)</f>
        <v>9.2514870627092698</v>
      </c>
      <c r="O85" s="11">
        <f>9437.89129247226/(10^3)</f>
        <v>9.4378912924722602</v>
      </c>
      <c r="P85" s="11">
        <f>9672.32622053629/(10^3)</f>
        <v>9.6723262205362897</v>
      </c>
      <c r="Q85" s="11">
        <v>9.7336270883281308</v>
      </c>
      <c r="R85" s="11">
        <f>10078.9577297124/(10^3)</f>
        <v>10.0789577297124</v>
      </c>
      <c r="S85" s="11">
        <f>10458.4842362328/(10^3)</f>
        <v>10.458484236232801</v>
      </c>
      <c r="T85" s="11">
        <f>10566.3836061632/(10^3)</f>
        <v>10.5663836061632</v>
      </c>
      <c r="U85" s="11">
        <f>10548.2017048798/(10^3)</f>
        <v>10.548201704879801</v>
      </c>
      <c r="V85" s="11">
        <f>10429.3652330725/(10^3)</f>
        <v>10.429365233072501</v>
      </c>
      <c r="W85" s="11">
        <v>10.247376109529764</v>
      </c>
      <c r="X85" s="11">
        <f>10082.5626224757/(10^3)</f>
        <v>10.082562622475701</v>
      </c>
      <c r="Y85" s="11">
        <f>9929.09865999043/(10^3)</f>
        <v>9.9290986599904301</v>
      </c>
      <c r="Z85" s="11">
        <f>9827.69074887761/(10^3)</f>
        <v>9.8276907488776111</v>
      </c>
      <c r="AA85" s="11">
        <f>9808.31497438543/(10^3)</f>
        <v>9.8083149743854303</v>
      </c>
      <c r="AB85" s="11">
        <f>10264.4355607885/(10^3)</f>
        <v>10.264435560788501</v>
      </c>
      <c r="AC85" s="11">
        <v>10.47719958498001</v>
      </c>
      <c r="AD85" s="11">
        <f>10810.0609503214/(10^3)</f>
        <v>10.8100609503214</v>
      </c>
      <c r="AE85" s="11">
        <f>10599.4508533729/(10^3)</f>
        <v>10.5994508533729</v>
      </c>
      <c r="AF85" s="11">
        <f>10701.4844609944/(10^3)</f>
        <v>10.701484460994399</v>
      </c>
      <c r="AG85" s="11">
        <f>10997.7691752431/(10^3)</f>
        <v>10.9977691752431</v>
      </c>
      <c r="AH85" s="11">
        <f>11202.4552935376/(10^3)</f>
        <v>11.2024552935376</v>
      </c>
      <c r="AI85" s="11">
        <v>11.440364070818568</v>
      </c>
      <c r="AJ85" s="11">
        <f>11278.379166565/(10^3)</f>
        <v>11.278379166565001</v>
      </c>
      <c r="AK85" s="11">
        <f>11776.3597151981/(10^3)</f>
        <v>11.776359715198099</v>
      </c>
      <c r="AL85" s="11">
        <f>11729.3647280371/(10^3)</f>
        <v>11.729364728037101</v>
      </c>
      <c r="AM85" s="11">
        <f>12243.7826707893/(10^3)</f>
        <v>12.243782670789299</v>
      </c>
      <c r="AN85" s="11">
        <f>12842.1771783675/(10^3)</f>
        <v>12.8421771783675</v>
      </c>
      <c r="AO85" s="11">
        <v>13.371316725972218</v>
      </c>
      <c r="AP85" s="11">
        <f>13903.6256129612/(10^3)</f>
        <v>13.9036256129612</v>
      </c>
      <c r="AQ85" s="11">
        <f>13814.1926844865/(10^3)</f>
        <v>13.8141926844865</v>
      </c>
      <c r="AR85" s="11">
        <f>13618.5802217997/(10^3)</f>
        <v>13.6185802217997</v>
      </c>
      <c r="AS85" s="11">
        <f>14045.3111645236/(10^3)</f>
        <v>14.0453111645236</v>
      </c>
      <c r="AT85" s="11">
        <f>14630.1063827344/(10^3)</f>
        <v>14.6301063827344</v>
      </c>
      <c r="AU85" s="11">
        <v>14.901630149433283</v>
      </c>
      <c r="AV85" s="11">
        <f>14796.5520933448/(10^3)</f>
        <v>14.7965520933448</v>
      </c>
      <c r="AW85" s="11">
        <f>14788.4493488135/(10^3)</f>
        <v>14.788449348813499</v>
      </c>
      <c r="AX85" s="11">
        <f>15272.6145279213/(10^3)</f>
        <v>15.2726145279213</v>
      </c>
      <c r="AY85" s="11">
        <f>15165.8325298595/(10^3)</f>
        <v>15.165832529859498</v>
      </c>
      <c r="AZ85" s="11">
        <f>15336.6914510834/(10^3)</f>
        <v>15.3366914510834</v>
      </c>
      <c r="BA85" s="11">
        <v>15.153849718048006</v>
      </c>
      <c r="BB85" s="11">
        <f>15404.2743165968/(10^3)</f>
        <v>15.404274316596801</v>
      </c>
      <c r="BC85" s="11">
        <f>15433.0661983057/(10^3)</f>
        <v>15.433066198305699</v>
      </c>
      <c r="BD85" s="11">
        <f>15782.6765808446/(10^3)</f>
        <v>15.782676580844599</v>
      </c>
      <c r="BE85" s="11">
        <f>16475.880862171/(10^3)</f>
        <v>16.475880862171003</v>
      </c>
      <c r="BF85" s="11">
        <f>16559.3308940916/(10^3)</f>
        <v>16.559330894091598</v>
      </c>
      <c r="BG85" s="11">
        <v>17.367768152331386</v>
      </c>
      <c r="BH85" s="11">
        <f>17541.4404356764/(10^3)</f>
        <v>17.5414404356764</v>
      </c>
      <c r="BI85" s="11">
        <f>17970.9234884285/(10^3)</f>
        <v>17.9709234884285</v>
      </c>
      <c r="BJ85" s="11">
        <f>18753.1878557192/(10^3)</f>
        <v>18.753187855719201</v>
      </c>
      <c r="BK85" s="11">
        <f>18695.2011818195/(10^3)</f>
        <v>18.695201181819499</v>
      </c>
      <c r="BL85" s="11">
        <f>18678.9038892068/(10^3)</f>
        <v>18.678903889206797</v>
      </c>
      <c r="BM85" s="11">
        <v>19.29805410899235</v>
      </c>
      <c r="BN85" s="11">
        <f>19527.5957816046/(10^3)</f>
        <v>19.5275957816046</v>
      </c>
      <c r="BO85" s="11">
        <f>19298.698997492/(10^3)</f>
        <v>19.298698997492</v>
      </c>
      <c r="BP85" s="11">
        <f>19180.6230756168/(10^3)</f>
        <v>19.180623075616801</v>
      </c>
      <c r="BQ85" s="11">
        <f>19882.32763349/(10^3)</f>
        <v>19.88232763349</v>
      </c>
      <c r="BR85" s="11">
        <f>20842.6317634011/(10^3)</f>
        <v>20.842631763401098</v>
      </c>
      <c r="BS85" s="11">
        <v>20.777539454900399</v>
      </c>
      <c r="BT85" s="11">
        <f>21422.9800149253/(10^3)</f>
        <v>21.422980014925297</v>
      </c>
      <c r="BU85" s="11">
        <f>21984.7186435683/(10^3)</f>
        <v>21.9847186435683</v>
      </c>
      <c r="BV85" s="11">
        <f>22859.7976253841/(10^3)</f>
        <v>22.8597976253841</v>
      </c>
      <c r="BW85" s="11">
        <f>23562.1785373533/(10^3)</f>
        <v>23.562178537353297</v>
      </c>
      <c r="BX85" s="11">
        <f>24250.3435390137/(10^3)</f>
        <v>24.250343539013699</v>
      </c>
      <c r="BY85" s="11">
        <v>25.669189311587335</v>
      </c>
      <c r="BZ85" s="11">
        <f>25669.1893115873/(10^3)</f>
        <v>25.669189311587299</v>
      </c>
      <c r="CA85" s="11">
        <f>25657.0637678991/(10^3)</f>
        <v>25.6570637678991</v>
      </c>
      <c r="CB85" s="11">
        <f>25617.1027445085/(10^3)</f>
        <v>25.617102744508497</v>
      </c>
      <c r="CC85" s="12"/>
      <c r="DD85" s="11"/>
      <c r="DE85" s="11"/>
      <c r="DF85" s="11"/>
    </row>
    <row r="86" spans="4:110" ht="15.6" x14ac:dyDescent="0.25">
      <c r="D86" s="10" t="s">
        <v>60</v>
      </c>
      <c r="E86" s="10" t="s">
        <v>59</v>
      </c>
      <c r="F86" s="10" t="s">
        <v>149</v>
      </c>
      <c r="G86" s="10" t="s">
        <v>182</v>
      </c>
      <c r="H86" s="67" t="str">
        <f t="shared" si="2"/>
        <v>Minneapolis (피합병)</v>
      </c>
      <c r="I86" s="11">
        <f>5331.88595412559/(10^3)</f>
        <v>5.3318859541255899</v>
      </c>
      <c r="J86" s="11">
        <f>5372.42984036324/(10^3)</f>
        <v>5.3724298403632398</v>
      </c>
      <c r="K86" s="11">
        <v>5.4297155657566405</v>
      </c>
      <c r="L86" s="11">
        <f>5359.76430237416/(10^3)</f>
        <v>5.3597643023741606</v>
      </c>
      <c r="M86" s="11">
        <f>5268.16924859216/(10^3)</f>
        <v>5.2681692485921605</v>
      </c>
      <c r="N86" s="11">
        <f>5439.19066620843/(10^3)</f>
        <v>5.4391906662084306</v>
      </c>
      <c r="O86" s="11">
        <f>5381.9045937999/(10^3)</f>
        <v>5.3819045937998995</v>
      </c>
      <c r="P86" s="11">
        <f>5642.40965899973/(10^3)</f>
        <v>5.6424096589997301</v>
      </c>
      <c r="Q86" s="11">
        <v>5.5961420220502145</v>
      </c>
      <c r="R86" s="11">
        <f>5658.12321236324/(10^3)</f>
        <v>5.6581232123632397</v>
      </c>
      <c r="S86" s="11">
        <f>5684.30045038994/(10^3)</f>
        <v>5.6843004503899399</v>
      </c>
      <c r="T86" s="11">
        <f>5625.24427118512/(10^3)</f>
        <v>5.62524427118512</v>
      </c>
      <c r="U86" s="11">
        <f>5525.43132197838/(10^3)</f>
        <v>5.5254313219783802</v>
      </c>
      <c r="V86" s="11">
        <f>5639.2868752876/(10^3)</f>
        <v>5.6392868752876</v>
      </c>
      <c r="W86" s="11">
        <v>5.7451694240358337</v>
      </c>
      <c r="X86" s="11">
        <f>5744.19964507982/(10^3)</f>
        <v>5.7441996450798198</v>
      </c>
      <c r="Y86" s="11">
        <f>5683.82595593098/(10^3)</f>
        <v>5.6838259559309803</v>
      </c>
      <c r="Z86" s="11">
        <f>5751.80898047715/(10^3)</f>
        <v>5.7518089804771497</v>
      </c>
      <c r="AA86" s="11">
        <f>5720.4888472749/(10^3)</f>
        <v>5.7204888472748996</v>
      </c>
      <c r="AB86" s="11">
        <f>5689.85386604913/(10^3)</f>
        <v>5.6898538660491305</v>
      </c>
      <c r="AC86" s="11">
        <v>5.6012787597204818</v>
      </c>
      <c r="AD86" s="11">
        <f>5880.96786071004/(10^3)</f>
        <v>5.8809678607100402</v>
      </c>
      <c r="AE86" s="11">
        <f>5864.54773854546/(10^3)</f>
        <v>5.8645477385454594</v>
      </c>
      <c r="AF86" s="11">
        <f>5807.24500323616/(10^3)</f>
        <v>5.8072450032361607</v>
      </c>
      <c r="AG86" s="11">
        <f>5702.94002212528/(10^3)</f>
        <v>5.7029400221252802</v>
      </c>
      <c r="AH86" s="11">
        <f>5803.42213233618/(10^3)</f>
        <v>5.8034221323361797</v>
      </c>
      <c r="AI86" s="11">
        <v>5.8920548832425039</v>
      </c>
      <c r="AJ86" s="11">
        <f>5896.96214982972/(10^3)</f>
        <v>5.8969621498297204</v>
      </c>
      <c r="AK86" s="11">
        <f>5860.84528252713/(10^3)</f>
        <v>5.86084528252713</v>
      </c>
      <c r="AL86" s="11">
        <f>6098.83897865842/(10^3)</f>
        <v>6.0988389786584198</v>
      </c>
      <c r="AM86" s="11">
        <f>6219.83077438798/(10^3)</f>
        <v>6.2198307743879795</v>
      </c>
      <c r="AN86" s="11">
        <f>6278.32775448606/(10^3)</f>
        <v>6.2783277544860603</v>
      </c>
      <c r="AO86" s="11">
        <v>6.2508117868351087</v>
      </c>
      <c r="AP86" s="11">
        <f>6551.18867269114/(10^3)</f>
        <v>6.5511886726911399</v>
      </c>
      <c r="AQ86" s="11">
        <f>6842.81960120764/(10^3)</f>
        <v>6.8428196012076397</v>
      </c>
      <c r="AR86" s="11">
        <f>6955.8704107727/(10^3)</f>
        <v>6.9558704107727003</v>
      </c>
      <c r="AS86" s="11">
        <f>6823.00156704031/(10^3)</f>
        <v>6.8230015670403104</v>
      </c>
      <c r="AT86" s="11">
        <f>6799.91289995363/(10^3)</f>
        <v>6.7999128999536298</v>
      </c>
      <c r="AU86" s="11">
        <v>6.7036613652572088</v>
      </c>
      <c r="AV86" s="11">
        <f>6635.42028448586/(10^3)</f>
        <v>6.6354202844858596</v>
      </c>
      <c r="AW86" s="11">
        <f>6651.06983833468/(10^3)</f>
        <v>6.6510698383346796</v>
      </c>
      <c r="AX86" s="11">
        <f>6719.93336902461/(10^3)</f>
        <v>6.7199333690246101</v>
      </c>
      <c r="AY86" s="11">
        <f>7011.41702451613/(10^3)</f>
        <v>7.0114170245161302</v>
      </c>
      <c r="AZ86" s="11">
        <f>7013.41931172995/(10^3)</f>
        <v>7.0134193117299501</v>
      </c>
      <c r="BA86" s="11">
        <v>7.1035161780584994</v>
      </c>
      <c r="BB86" s="11">
        <f>7281.85324785478/(10^3)</f>
        <v>7.2818532478547802</v>
      </c>
      <c r="BC86" s="11">
        <f>7248.85093861238/(10^3)</f>
        <v>7.2488509386123798</v>
      </c>
      <c r="BD86" s="11">
        <f>7611.05785482154/(10^3)</f>
        <v>7.6110578548215395</v>
      </c>
      <c r="BE86" s="11">
        <f>7884.26240330471/(10^3)</f>
        <v>7.8842624033047093</v>
      </c>
      <c r="BF86" s="11">
        <f>8202.89415718443/(10^3)</f>
        <v>8.2028941571844296</v>
      </c>
      <c r="BG86" s="11">
        <v>8.086497217611015</v>
      </c>
      <c r="BH86" s="11">
        <f>8403.65192060503/(10^3)</f>
        <v>8.4036519206050304</v>
      </c>
      <c r="BI86" s="11">
        <f>8707.30285906081/(10^3)</f>
        <v>8.7073028590608104</v>
      </c>
      <c r="BJ86" s="11">
        <f>8685.19420289511/(10^3)</f>
        <v>8.6851942028951115</v>
      </c>
      <c r="BK86" s="11">
        <f>8961.84939066686/(10^3)</f>
        <v>8.9618493906668597</v>
      </c>
      <c r="BL86" s="11">
        <f>8889.39730059891/(10^3)</f>
        <v>8.88939730059891</v>
      </c>
      <c r="BM86" s="11">
        <v>8.9272977368694484</v>
      </c>
      <c r="BN86" s="11">
        <f>9244.79992800048/(10^3)</f>
        <v>9.2447999280004804</v>
      </c>
      <c r="BO86" s="11">
        <f>9553.23134744929/(10^3)</f>
        <v>9.5532313474492891</v>
      </c>
      <c r="BP86" s="11">
        <f>9499.03693976737/(10^3)</f>
        <v>9.49903693976737</v>
      </c>
      <c r="BQ86" s="11">
        <f>9642.07308063477/(10^3)</f>
        <v>9.6420730806347699</v>
      </c>
      <c r="BR86" s="11">
        <f>9531.30408036209/(10^3)</f>
        <v>9.531304080362089</v>
      </c>
      <c r="BS86" s="11">
        <v>9.7795800649715332</v>
      </c>
      <c r="BT86" s="11">
        <f>10223.9053874415/(10^3)</f>
        <v>10.2239053874415</v>
      </c>
      <c r="BU86" s="11">
        <f>10319.203386088/(10^3)</f>
        <v>10.319203386088001</v>
      </c>
      <c r="BV86" s="11">
        <f>10408.4171892022/(10^3)</f>
        <v>10.408417189202201</v>
      </c>
      <c r="BW86" s="11">
        <f>10257.1170140602/(10^3)</f>
        <v>10.257117014060201</v>
      </c>
      <c r="BX86" s="11">
        <f>10614.5650684546/(10^3)</f>
        <v>10.614565068454599</v>
      </c>
      <c r="BY86" s="11">
        <v>11.103704141813164</v>
      </c>
      <c r="BZ86" s="11">
        <f>11103.7041418132/(10^3)</f>
        <v>11.1037041418132</v>
      </c>
      <c r="CA86" s="11">
        <f>11039.8806757234/(10^3)</f>
        <v>11.039880675723399</v>
      </c>
      <c r="CB86" s="11">
        <f>10978.2638249628/(10^3)</f>
        <v>10.9782638249628</v>
      </c>
      <c r="CC86" s="12"/>
      <c r="DD86" s="11"/>
      <c r="DE86" s="11"/>
      <c r="DF86" s="11"/>
    </row>
    <row r="87" spans="4:110" ht="15.6" x14ac:dyDescent="0.25">
      <c r="D87" s="10" t="s">
        <v>61</v>
      </c>
      <c r="E87" s="10" t="s">
        <v>2</v>
      </c>
      <c r="F87" s="10" t="s">
        <v>150</v>
      </c>
      <c r="G87" s="10" t="s">
        <v>182</v>
      </c>
      <c r="H87" s="67" t="str">
        <f t="shared" si="2"/>
        <v>Montgomery (피합병)</v>
      </c>
      <c r="I87" s="11">
        <f>2688.84586555825/(10^3)</f>
        <v>2.6888458655582501</v>
      </c>
      <c r="J87" s="11">
        <f>2781.8589011331/(10^3)</f>
        <v>2.7818589011330999</v>
      </c>
      <c r="K87" s="11">
        <v>2.7753088803585508</v>
      </c>
      <c r="L87" s="11">
        <f>2752.9988784565/(10^3)</f>
        <v>2.7529988784564998</v>
      </c>
      <c r="M87" s="11">
        <f>2719.97834330957/(10^3)</f>
        <v>2.7199783433095699</v>
      </c>
      <c r="N87" s="11">
        <f>2675.66290383489/(10^3)</f>
        <v>2.67566290383489</v>
      </c>
      <c r="O87" s="11">
        <f>2648.38615947625/(10^3)</f>
        <v>2.6483861594762503</v>
      </c>
      <c r="P87" s="11">
        <f>2740.26362952145/(10^3)</f>
        <v>2.7402636295214502</v>
      </c>
      <c r="Q87" s="11">
        <v>2.7181684582511294</v>
      </c>
      <c r="R87" s="11">
        <f>2837.71074301518/(10^3)</f>
        <v>2.83771074301518</v>
      </c>
      <c r="S87" s="11">
        <f>2908.80374232835/(10^3)</f>
        <v>2.9088037423283497</v>
      </c>
      <c r="T87" s="11">
        <f>2958.38797266631/(10^3)</f>
        <v>2.9583879726663098</v>
      </c>
      <c r="U87" s="11">
        <f>2904.49643255908/(10^3)</f>
        <v>2.9044964325590801</v>
      </c>
      <c r="V87" s="11">
        <f>3026.97764282849/(10^3)</f>
        <v>3.02697764282849</v>
      </c>
      <c r="W87" s="11">
        <v>3.0092942805929779</v>
      </c>
      <c r="X87" s="11">
        <f>2951.36803870844/(10^3)</f>
        <v>2.95136803870844</v>
      </c>
      <c r="Y87" s="11">
        <f>2892.57189245876/(10^3)</f>
        <v>2.89257189245876</v>
      </c>
      <c r="Z87" s="11">
        <f>2979.62130179852/(10^3)</f>
        <v>2.9796213017985202</v>
      </c>
      <c r="AA87" s="11">
        <f>2966.19468718398/(10^3)</f>
        <v>2.9661946871839802</v>
      </c>
      <c r="AB87" s="11">
        <f>2940.81702742412/(10^3)</f>
        <v>2.9408170274241203</v>
      </c>
      <c r="AC87" s="11">
        <v>2.8870037317118511</v>
      </c>
      <c r="AD87" s="11">
        <f>2863.71183053935/(10^3)</f>
        <v>2.8637118305393501</v>
      </c>
      <c r="AE87" s="11">
        <f>2849.40849156375/(10^3)</f>
        <v>2.8494084915637501</v>
      </c>
      <c r="AF87" s="11">
        <f>2903.13689573723/(10^3)</f>
        <v>2.9031368957372301</v>
      </c>
      <c r="AG87" s="11">
        <f>2922.52177273369/(10^3)</f>
        <v>2.9225217727336901</v>
      </c>
      <c r="AH87" s="11">
        <f>2886.15177247554/(10^3)</f>
        <v>2.8861517724755399</v>
      </c>
      <c r="AI87" s="11">
        <v>2.9689630690784292</v>
      </c>
      <c r="AJ87" s="11">
        <f>2959.83302858662/(10^3)</f>
        <v>2.9598330285866199</v>
      </c>
      <c r="AK87" s="11">
        <f>2937.8662810846/(10^3)</f>
        <v>2.9378662810845997</v>
      </c>
      <c r="AL87" s="11">
        <f>2884.31419907246/(10^3)</f>
        <v>2.8843141990724597</v>
      </c>
      <c r="AM87" s="11">
        <f>2915.06611754374/(10^3)</f>
        <v>2.91506611754374</v>
      </c>
      <c r="AN87" s="11">
        <f>2864.55023276495/(10^3)</f>
        <v>2.8645502327649499</v>
      </c>
      <c r="AO87" s="11">
        <v>2.9592980053258251</v>
      </c>
      <c r="AP87" s="11">
        <f>3058.47395271484/(10^3)</f>
        <v>3.0584739527148401</v>
      </c>
      <c r="AQ87" s="11">
        <f>3025.47893460486/(10^3)</f>
        <v>3.0254789346048603</v>
      </c>
      <c r="AR87" s="11">
        <f>3011.86198797861/(10^3)</f>
        <v>3.0118619879786102</v>
      </c>
      <c r="AS87" s="11">
        <f>2977.00130852889/(10^3)</f>
        <v>2.97700130852889</v>
      </c>
      <c r="AT87" s="11">
        <f>3012.45281884757/(10^3)</f>
        <v>3.0124528188475703</v>
      </c>
      <c r="AU87" s="11">
        <v>3.0551245263462525</v>
      </c>
      <c r="AV87" s="11">
        <f>3015.72810511135/(10^3)</f>
        <v>3.01572810511135</v>
      </c>
      <c r="AW87" s="11">
        <f>3049.58409749178/(10^3)</f>
        <v>3.0495840974917803</v>
      </c>
      <c r="AX87" s="11">
        <f>3160.57915539351/(10^3)</f>
        <v>3.1605791553935099</v>
      </c>
      <c r="AY87" s="11">
        <f>3290.03717527133/(10^3)</f>
        <v>3.2900371752713298</v>
      </c>
      <c r="AZ87" s="11">
        <f>3246.72482202462/(10^3)</f>
        <v>3.2467248220246203</v>
      </c>
      <c r="BA87" s="11">
        <v>3.3956908720589585</v>
      </c>
      <c r="BB87" s="11">
        <f>3358.18519252102/(10^3)</f>
        <v>3.3581851925210198</v>
      </c>
      <c r="BC87" s="11">
        <f>3446.59065943711/(10^3)</f>
        <v>3.4465906594371098</v>
      </c>
      <c r="BD87" s="11">
        <f>3404.26487014796/(10^3)</f>
        <v>3.4042648701479603</v>
      </c>
      <c r="BE87" s="11">
        <f>3468.49516629719/(10^3)</f>
        <v>3.4684951662971897</v>
      </c>
      <c r="BF87" s="11">
        <f>3568.7720544059/(10^3)</f>
        <v>3.5687720544058998</v>
      </c>
      <c r="BG87" s="11">
        <v>3.6389936444150952</v>
      </c>
      <c r="BH87" s="11">
        <f>3726.64776276911/(10^3)</f>
        <v>3.7266477627691104</v>
      </c>
      <c r="BI87" s="11">
        <f>3832.55732555597/(10^3)</f>
        <v>3.8325573255559697</v>
      </c>
      <c r="BJ87" s="11">
        <f>3887.5453326912/(10^3)</f>
        <v>3.8875453326912002</v>
      </c>
      <c r="BK87" s="11">
        <f>3842.33643124904/(10^3)</f>
        <v>3.84233643124904</v>
      </c>
      <c r="BL87" s="11">
        <f>4033.97472839266/(10^3)</f>
        <v>4.0339747283926597</v>
      </c>
      <c r="BM87" s="11">
        <v>4.0070819833288756</v>
      </c>
      <c r="BN87" s="11">
        <f>4032.4975839008/(10^3)</f>
        <v>4.0324975839007999</v>
      </c>
      <c r="BO87" s="11">
        <f>3984.2615071126/(10^3)</f>
        <v>3.9842615071126</v>
      </c>
      <c r="BP87" s="11">
        <f>3957.81113228841/(10^3)</f>
        <v>3.95781113228841</v>
      </c>
      <c r="BQ87" s="11">
        <f>4143.07965474619/(10^3)</f>
        <v>4.1430796547461899</v>
      </c>
      <c r="BR87" s="11">
        <f>4262.62559224842/(10^3)</f>
        <v>4.26262559224842</v>
      </c>
      <c r="BS87" s="11">
        <v>4.2792574873217397</v>
      </c>
      <c r="BT87" s="11">
        <f>4199.92079505/(10^3)</f>
        <v>4.1999207950500006</v>
      </c>
      <c r="BU87" s="11">
        <f>4335.98152743814/(10^3)</f>
        <v>4.3359815274381397</v>
      </c>
      <c r="BV87" s="11">
        <f>4411.20495192707/(10^3)</f>
        <v>4.4112049519270702</v>
      </c>
      <c r="BW87" s="11">
        <f>4404.75565437803/(10^3)</f>
        <v>4.4047556543780297</v>
      </c>
      <c r="BX87" s="11">
        <f>4486.3594979998/(10^3)</f>
        <v>4.4863594979997998</v>
      </c>
      <c r="BY87" s="11">
        <v>4.8740266256081339</v>
      </c>
      <c r="BZ87" s="11">
        <f>4874.02662560813/(10^3)</f>
        <v>4.8740266256081304</v>
      </c>
      <c r="CA87" s="11">
        <f>5078.54291664149/(10^3)</f>
        <v>5.0785429166414895</v>
      </c>
      <c r="CB87" s="11">
        <f>5210.30664716812/(10^3)</f>
        <v>5.2103066471681201</v>
      </c>
      <c r="CC87" s="12"/>
      <c r="DD87" s="11"/>
      <c r="DE87" s="11"/>
      <c r="DF87" s="11"/>
    </row>
    <row r="88" spans="4:110" ht="15.6" x14ac:dyDescent="0.25">
      <c r="D88" s="10" t="s">
        <v>62</v>
      </c>
      <c r="E88" s="10" t="s">
        <v>56</v>
      </c>
      <c r="F88" s="10" t="s">
        <v>150</v>
      </c>
      <c r="G88" s="10" t="s">
        <v>182</v>
      </c>
      <c r="H88" s="67" t="str">
        <f t="shared" si="2"/>
        <v>Nashville (피합병)</v>
      </c>
      <c r="I88" s="11"/>
      <c r="J88" s="11"/>
      <c r="K88" s="11">
        <v>3.705041700924685</v>
      </c>
      <c r="L88" s="11">
        <f>3720.78333499496/(10^3)</f>
        <v>3.7207833349949602</v>
      </c>
      <c r="M88" s="11">
        <f>3772.11729982731/(10^3)</f>
        <v>3.7721172998273103</v>
      </c>
      <c r="N88" s="11">
        <f>3825.32451070483/(10^3)</f>
        <v>3.8253245107048301</v>
      </c>
      <c r="O88" s="11">
        <f>3846.47368289439/(10^3)</f>
        <v>3.84647368289439</v>
      </c>
      <c r="P88" s="11">
        <f>3886.99058290881/(10^3)</f>
        <v>3.8869905829088101</v>
      </c>
      <c r="Q88" s="11">
        <v>3.9963159835304323</v>
      </c>
      <c r="R88" s="11">
        <f>4194.36662962625/(10^3)</f>
        <v>4.1943666296262503</v>
      </c>
      <c r="S88" s="11">
        <f>4401.62804273975/(10^3)</f>
        <v>4.4016280427397501</v>
      </c>
      <c r="T88" s="11">
        <f>4611.37432737559/(10^3)</f>
        <v>4.6113743273755903</v>
      </c>
      <c r="U88" s="11">
        <f>4554.29271019875/(10^3)</f>
        <v>4.5542927101987498</v>
      </c>
      <c r="V88" s="11">
        <f>4551.77873630078/(10^3)</f>
        <v>4.55177873630078</v>
      </c>
      <c r="W88" s="11">
        <v>4.5276291386177965</v>
      </c>
      <c r="X88" s="11">
        <f>4659.06767908146/(10^3)</f>
        <v>4.6590676790814598</v>
      </c>
      <c r="Y88" s="11">
        <f>4744.70017055941/(10^3)</f>
        <v>4.7447001705594101</v>
      </c>
      <c r="Z88" s="11">
        <f>4967.75786990767/(10^3)</f>
        <v>4.9677578699076701</v>
      </c>
      <c r="AA88" s="11">
        <f>4893.26465890194/(10^3)</f>
        <v>4.8932646589019395</v>
      </c>
      <c r="AB88" s="11">
        <f>4876.7322296937/(10^3)</f>
        <v>4.8767322296937001</v>
      </c>
      <c r="AC88" s="11">
        <v>4.8175383706007802</v>
      </c>
      <c r="AD88" s="11">
        <f>4960.07349831614/(10^3)</f>
        <v>4.9600734983161399</v>
      </c>
      <c r="AE88" s="11">
        <f>4929.60339728609/(10^3)</f>
        <v>4.9296033972860895</v>
      </c>
      <c r="AF88" s="11">
        <f>4858.35683654567/(10^3)</f>
        <v>4.8583568365456706</v>
      </c>
      <c r="AG88" s="11">
        <f>5085.90021434882/(10^3)</f>
        <v>5.0859002143488192</v>
      </c>
      <c r="AH88" s="11">
        <f>5089.43221694043/(10^3)</f>
        <v>5.0894322169404305</v>
      </c>
      <c r="AI88" s="11">
        <v>5.1275800312842952</v>
      </c>
      <c r="AJ88" s="11">
        <f>5119.78165440213/(10^3)</f>
        <v>5.1197816544021295</v>
      </c>
      <c r="AK88" s="11">
        <f>5163.16075901146/(10^3)</f>
        <v>5.1631607590114603</v>
      </c>
      <c r="AL88" s="11">
        <f>5074.98676844877/(10^3)</f>
        <v>5.0749867684487695</v>
      </c>
      <c r="AM88" s="11">
        <f>5051.04897197902/(10^3)</f>
        <v>5.0510489719790206</v>
      </c>
      <c r="AN88" s="11">
        <f>5027.088259342/(10^3)</f>
        <v>5.0270882593420003</v>
      </c>
      <c r="AO88" s="11">
        <v>4.9328642687782684</v>
      </c>
      <c r="AP88" s="11">
        <f>4907.69667772099/(10^3)</f>
        <v>4.9076966777209901</v>
      </c>
      <c r="AQ88" s="11">
        <f>4896.85614390351/(10^3)</f>
        <v>4.8968561439035101</v>
      </c>
      <c r="AR88" s="11">
        <f>4919.68291796552/(10^3)</f>
        <v>4.9196829179655195</v>
      </c>
      <c r="AS88" s="11">
        <f>4918.95497384122/(10^3)</f>
        <v>4.9189549738412195</v>
      </c>
      <c r="AT88" s="11">
        <f>4914.85520172302/(10^3)</f>
        <v>4.9148552017230207</v>
      </c>
      <c r="AU88" s="11">
        <v>5.1491591825436007</v>
      </c>
      <c r="AV88" s="11">
        <f>5214.14335268576/(10^3)</f>
        <v>5.2141433526857597</v>
      </c>
      <c r="AW88" s="11">
        <f>5472.72732079847/(10^3)</f>
        <v>5.4727273207984704</v>
      </c>
      <c r="AX88" s="11">
        <f>5604.88071386377/(10^3)</f>
        <v>5.6048807138637704</v>
      </c>
      <c r="AY88" s="11">
        <f>5604.94446127861/(10^3)</f>
        <v>5.6049444612786097</v>
      </c>
      <c r="AZ88" s="11">
        <f>5496.41815826662/(10^3)</f>
        <v>5.4964181582666196</v>
      </c>
      <c r="BA88" s="11">
        <v>5.6373949079179528</v>
      </c>
      <c r="BB88" s="11">
        <f>5760.77290522859/(10^3)</f>
        <v>5.7607729052285901</v>
      </c>
      <c r="BC88" s="11">
        <f>5739.42868759313/(10^3)</f>
        <v>5.7394286875931302</v>
      </c>
      <c r="BD88" s="11">
        <f>5678.58590888545/(10^3)</f>
        <v>5.6785859088854505</v>
      </c>
      <c r="BE88" s="11">
        <f>5885.17694572843/(10^3)</f>
        <v>5.8851769457284302</v>
      </c>
      <c r="BF88" s="11">
        <f>6010.14581889524/(10^3)</f>
        <v>6.0101458188952401</v>
      </c>
      <c r="BG88" s="11">
        <v>6.2302514852578197</v>
      </c>
      <c r="BH88" s="11">
        <f>6453.40888650706/(10^3)</f>
        <v>6.4534088865070602</v>
      </c>
      <c r="BI88" s="11">
        <f>6379.95672339383/(10^3)</f>
        <v>6.3799567233938292</v>
      </c>
      <c r="BJ88" s="11">
        <f>6367.38349658655/(10^3)</f>
        <v>6.3673834965865499</v>
      </c>
      <c r="BK88" s="11">
        <f>6378.84827502489/(10^3)</f>
        <v>6.3788482750248905</v>
      </c>
      <c r="BL88" s="11">
        <f>6677.2651490502/(10^3)</f>
        <v>6.6772651490502</v>
      </c>
      <c r="BM88" s="11">
        <v>6.6114218057316041</v>
      </c>
      <c r="BN88" s="11">
        <f>6622.28258822834/(10^3)</f>
        <v>6.6222825882283392</v>
      </c>
      <c r="BO88" s="11">
        <f>6865.32371317313/(10^3)</f>
        <v>6.8653237131731304</v>
      </c>
      <c r="BP88" s="11">
        <f>7024.29421657527/(10^3)</f>
        <v>7.02429421657527</v>
      </c>
      <c r="BQ88" s="11">
        <f>7075.86199470945/(10^3)</f>
        <v>7.0758619947094505</v>
      </c>
      <c r="BR88" s="11">
        <f>7282.27110776871/(10^3)</f>
        <v>7.2822711077687101</v>
      </c>
      <c r="BS88" s="11">
        <v>7.1633752971667866</v>
      </c>
      <c r="BT88" s="11">
        <f>7306.63677379338/(10^3)</f>
        <v>7.3066367737933797</v>
      </c>
      <c r="BU88" s="11">
        <f>7557.36106983269/(10^3)</f>
        <v>7.5573610698326901</v>
      </c>
      <c r="BV88" s="11">
        <f>7449.53215097372/(10^3)</f>
        <v>7.4495321509737193</v>
      </c>
      <c r="BW88" s="11">
        <f>7568.53728224414/(10^3)</f>
        <v>7.5685372822441401</v>
      </c>
      <c r="BX88" s="11">
        <f>7787.51360534319/(10^3)</f>
        <v>7.7875136053431895</v>
      </c>
      <c r="BY88" s="11">
        <v>7.8222438836445436</v>
      </c>
      <c r="BZ88" s="11">
        <f>7822.24388364454/(10^3)</f>
        <v>7.82224388364454</v>
      </c>
      <c r="CA88" s="11">
        <f>8093.09436656413/(10^3)</f>
        <v>8.0930943665641291</v>
      </c>
      <c r="CB88" s="11">
        <f>8073.17343347902/(10^3)</f>
        <v>8.0731734334790204</v>
      </c>
      <c r="CC88" s="12"/>
      <c r="DD88" s="11"/>
      <c r="DE88" s="11"/>
      <c r="DF88" s="11"/>
    </row>
    <row r="89" spans="4:110" ht="15.6" x14ac:dyDescent="0.25">
      <c r="D89" s="10" t="s">
        <v>63</v>
      </c>
      <c r="E89" s="10" t="s">
        <v>14</v>
      </c>
      <c r="F89" s="10" t="s">
        <v>150</v>
      </c>
      <c r="G89" s="10" t="s">
        <v>182</v>
      </c>
      <c r="H89" s="67" t="str">
        <f t="shared" si="2"/>
        <v>New Orleans (피합병)</v>
      </c>
      <c r="I89" s="11"/>
      <c r="J89" s="11"/>
      <c r="K89" s="11">
        <v>3.09526343668617</v>
      </c>
      <c r="L89" s="11"/>
      <c r="M89" s="11"/>
      <c r="N89" s="11"/>
      <c r="O89" s="11">
        <f>3129.01498469202/(10^3)</f>
        <v>3.1290149846920197</v>
      </c>
      <c r="P89" s="11">
        <f>3211.06658661605/(10^3)</f>
        <v>3.2110665866160497</v>
      </c>
      <c r="Q89" s="11">
        <v>3.1610384278675459</v>
      </c>
      <c r="R89" s="11">
        <f>3317.369748748/(10^3)</f>
        <v>3.3173697487479998</v>
      </c>
      <c r="S89" s="11">
        <f>3412.87040734967/(10^3)</f>
        <v>3.4128704073496703</v>
      </c>
      <c r="T89" s="11">
        <f>3402.06205218566/(10^3)</f>
        <v>3.4020620521856597</v>
      </c>
      <c r="U89" s="11">
        <f>3569.66886922126/(10^3)</f>
        <v>3.5696688692212599</v>
      </c>
      <c r="V89" s="11">
        <f>3592.01517177546/(10^3)</f>
        <v>3.59201517177546</v>
      </c>
      <c r="W89" s="11">
        <v>3.5321517898321417</v>
      </c>
      <c r="X89" s="11">
        <f>3678.89452709454/(10^3)</f>
        <v>3.6788945270945401</v>
      </c>
      <c r="Y89" s="11">
        <f>3626.73898666082/(10^3)</f>
        <v>3.6267389866608202</v>
      </c>
      <c r="Z89" s="11">
        <f>3599.20032875765/(10^3)</f>
        <v>3.5992003287576497</v>
      </c>
      <c r="AA89" s="11">
        <f>3591.63064809528/(10^3)</f>
        <v>3.59163064809528</v>
      </c>
      <c r="AB89" s="11">
        <f>3587.96752077855/(10^3)</f>
        <v>3.58796752077855</v>
      </c>
      <c r="AC89" s="11">
        <v>3.6259581247515831</v>
      </c>
      <c r="AD89" s="11">
        <f>3623.1898931059/(10^3)</f>
        <v>3.6231898931058999</v>
      </c>
      <c r="AE89" s="11">
        <f>3648.03533897468/(10^3)</f>
        <v>3.64803533897468</v>
      </c>
      <c r="AF89" s="11">
        <f>3763.48995266014/(10^3)</f>
        <v>3.76348995266014</v>
      </c>
      <c r="AG89" s="11">
        <f>3737.25448507108/(10^3)</f>
        <v>3.7372544850710803</v>
      </c>
      <c r="AH89" s="11">
        <f>3897.31220607259/(10^3)</f>
        <v>3.89731220607259</v>
      </c>
      <c r="AI89" s="11">
        <v>3.8264775569414606</v>
      </c>
      <c r="AJ89" s="11">
        <f>3811.5493101391/(10^3)</f>
        <v>3.8115493101391</v>
      </c>
      <c r="AK89" s="11">
        <f>3755.14467799315/(10^3)</f>
        <v>3.7551446779931497</v>
      </c>
      <c r="AL89" s="11">
        <f>3734.28803958099/(10^3)</f>
        <v>3.7342880395809899</v>
      </c>
      <c r="AM89" s="11">
        <f>3703.16619386521/(10^3)</f>
        <v>3.7031661938652101</v>
      </c>
      <c r="AN89" s="11">
        <f>3630.29298735939/(10^3)</f>
        <v>3.6302929873593897</v>
      </c>
      <c r="AO89" s="11">
        <v>3.5911928156966231</v>
      </c>
      <c r="AP89" s="11">
        <f>3582.02966183797/(10^3)</f>
        <v>3.5820296618379697</v>
      </c>
      <c r="AQ89" s="11">
        <f>3540.52165536623/(10^3)</f>
        <v>3.5405216553662298</v>
      </c>
      <c r="AR89" s="11">
        <f>3549.4056062593/(10^3)</f>
        <v>3.5494056062592998</v>
      </c>
      <c r="AS89" s="11">
        <f>3603.19309884267/(10^3)</f>
        <v>3.6031930988426701</v>
      </c>
      <c r="AT89" s="11">
        <f>3678.77252683164/(10^3)</f>
        <v>3.67877252683164</v>
      </c>
      <c r="AU89" s="11">
        <v>3.6575369128089261</v>
      </c>
      <c r="AV89" s="11">
        <f>3759.30812715639/(10^3)</f>
        <v>3.7593081271563902</v>
      </c>
      <c r="AW89" s="11">
        <f>3751.82412040988/(10^3)</f>
        <v>3.7518241204098799</v>
      </c>
      <c r="AX89" s="11">
        <f>3871.31981055566/(10^3)</f>
        <v>3.8713198105556597</v>
      </c>
      <c r="AY89" s="11">
        <f>3800.41117618627/(10^3)</f>
        <v>3.80041117618627</v>
      </c>
      <c r="AZ89" s="11">
        <f>3729.69226283811/(10^3)</f>
        <v>3.72969226283811</v>
      </c>
      <c r="BA89" s="11">
        <v>3.758608852946939</v>
      </c>
      <c r="BB89" s="11">
        <f>3691.08121044745/(10^3)</f>
        <v>3.6910812104474497</v>
      </c>
      <c r="BC89" s="11">
        <f>3667.29826917623/(10^3)</f>
        <v>3.6672982691762299</v>
      </c>
      <c r="BD89" s="11">
        <f>3814.84713801991/(10^3)</f>
        <v>3.81484713801991</v>
      </c>
      <c r="BE89" s="11">
        <f>3897.74545210265/(10^3)</f>
        <v>3.89774545210265</v>
      </c>
      <c r="BF89" s="11">
        <f>3865.80652404421/(10^3)</f>
        <v>3.8658065240442103</v>
      </c>
      <c r="BG89" s="11">
        <v>4.0562939565439189</v>
      </c>
      <c r="BH89" s="11">
        <f>3992.32208504592/(10^3)</f>
        <v>3.9923220850459202</v>
      </c>
      <c r="BI89" s="11">
        <f>4088.86277166142/(10^3)</f>
        <v>4.0888627716614199</v>
      </c>
      <c r="BJ89" s="11">
        <f>4157.05238638603/(10^3)</f>
        <v>4.15705238638603</v>
      </c>
      <c r="BK89" s="11">
        <f>4094.96141216293/(10^3)</f>
        <v>4.0949614121629301</v>
      </c>
      <c r="BL89" s="11">
        <f>4072.58034439423/(10^3)</f>
        <v>4.0725803443942299</v>
      </c>
      <c r="BM89" s="11">
        <v>4.1166309402626595</v>
      </c>
      <c r="BN89" s="11">
        <f>4093.2832038099/(10^3)</f>
        <v>4.0932832038099001</v>
      </c>
      <c r="BO89" s="11">
        <f>4026.89129410206/(10^3)</f>
        <v>4.02689129410206</v>
      </c>
      <c r="BP89" s="11">
        <f>4084.19137708927/(10^3)</f>
        <v>4.0841913770892706</v>
      </c>
      <c r="BQ89" s="11">
        <f>4285.4338481999/(10^3)</f>
        <v>4.2854338481998999</v>
      </c>
      <c r="BR89" s="11">
        <f>4318.49952055739/(10^3)</f>
        <v>4.3184995205573893</v>
      </c>
      <c r="BS89" s="11">
        <v>4.5191398298543408</v>
      </c>
      <c r="BT89" s="11">
        <f>4685.79467485342/(10^3)</f>
        <v>4.6857946748534198</v>
      </c>
      <c r="BU89" s="11">
        <f>4868.38707041054/(10^3)</f>
        <v>4.8683870704105399</v>
      </c>
      <c r="BV89" s="11">
        <f>4871.36673377971/(10^3)</f>
        <v>4.87136673377971</v>
      </c>
      <c r="BW89" s="11">
        <f>4863.85207538724/(10^3)</f>
        <v>4.8638520753872401</v>
      </c>
      <c r="BX89" s="11">
        <f>5007.83114308937/(10^3)</f>
        <v>5.0078311430893701</v>
      </c>
      <c r="BY89" s="11">
        <v>5.1765799160123755</v>
      </c>
      <c r="BZ89" s="11">
        <f>5176.57991601238/(10^3)</f>
        <v>5.17657991601238</v>
      </c>
      <c r="CA89" s="11">
        <f>5204.32054264709/(10^3)</f>
        <v>5.20432054264709</v>
      </c>
      <c r="CB89" s="11">
        <f>5260.5039118843/(10^3)</f>
        <v>5.2605039118842996</v>
      </c>
      <c r="CC89" s="12"/>
      <c r="DD89" s="11"/>
      <c r="DE89" s="11"/>
      <c r="DF89" s="11"/>
    </row>
    <row r="90" spans="4:110" ht="15.6" x14ac:dyDescent="0.25">
      <c r="D90" s="10" t="s">
        <v>65</v>
      </c>
      <c r="E90" s="10" t="s">
        <v>64</v>
      </c>
      <c r="F90" s="10" t="s">
        <v>150</v>
      </c>
      <c r="G90" s="10" t="s">
        <v>182</v>
      </c>
      <c r="H90" s="67" t="str">
        <f t="shared" si="2"/>
        <v>Oklahoma City (피합병)</v>
      </c>
      <c r="I90" s="11">
        <f>10700.0367321067/(10^3)</f>
        <v>10.700036732106701</v>
      </c>
      <c r="J90" s="11">
        <f>11139.5347336821/(10^3)</f>
        <v>11.139534733682099</v>
      </c>
      <c r="K90" s="11">
        <v>11.674031413158438</v>
      </c>
      <c r="L90" s="11">
        <f>11883.1514390068/(10^3)</f>
        <v>11.8831514390068</v>
      </c>
      <c r="M90" s="11">
        <f>12282.1119746874/(10^3)</f>
        <v>12.2821119746874</v>
      </c>
      <c r="N90" s="11">
        <f>12636.3437317278/(10^3)</f>
        <v>12.6363437317278</v>
      </c>
      <c r="O90" s="11">
        <f>12718.2146549008/(10^3)</f>
        <v>12.7182146549008</v>
      </c>
      <c r="P90" s="11">
        <f>12532.4435044797/(10^3)</f>
        <v>12.5324435044797</v>
      </c>
      <c r="Q90" s="11">
        <v>12.982484316506028</v>
      </c>
      <c r="R90" s="11">
        <f>12986.3072963049/(10^3)</f>
        <v>12.986307296304901</v>
      </c>
      <c r="S90" s="11">
        <f>13547.2437130766/(10^3)</f>
        <v>13.547243713076599</v>
      </c>
      <c r="T90" s="11">
        <f>13334.9551179712/(10^3)</f>
        <v>13.3349551179712</v>
      </c>
      <c r="U90" s="11">
        <f>13262.8695351078/(10^3)</f>
        <v>13.2628695351078</v>
      </c>
      <c r="V90" s="11">
        <f>13240.3812688222/(10^3)</f>
        <v>13.240381268822201</v>
      </c>
      <c r="W90" s="11">
        <v>13.150473930592653</v>
      </c>
      <c r="X90" s="11">
        <f>13142.6991717374/(10^3)</f>
        <v>13.1426991717374</v>
      </c>
      <c r="Y90" s="11">
        <f>12941.0622414889/(10^3)</f>
        <v>12.9410622414889</v>
      </c>
      <c r="Z90" s="11">
        <f>13386.9096052066/(10^3)</f>
        <v>13.386909605206601</v>
      </c>
      <c r="AA90" s="11">
        <f>14031.9336438831/(10^3)</f>
        <v>14.0319336438831</v>
      </c>
      <c r="AB90" s="11">
        <f>13852.3946795136/(10^3)</f>
        <v>13.852394679513599</v>
      </c>
      <c r="AC90" s="11">
        <v>13.651634780812385</v>
      </c>
      <c r="AD90" s="11">
        <f>13433.2984358916/(10^3)</f>
        <v>13.433298435891601</v>
      </c>
      <c r="AE90" s="11">
        <f>13877.2156343867/(10^3)</f>
        <v>13.877215634386699</v>
      </c>
      <c r="AF90" s="11">
        <f>13661.2284177018/(10^3)</f>
        <v>13.6612284177018</v>
      </c>
      <c r="AG90" s="11">
        <f>13732.3272558571/(10^3)</f>
        <v>13.732327255857101</v>
      </c>
      <c r="AH90" s="11">
        <f>13622.9241136633/(10^3)</f>
        <v>13.6229241136633</v>
      </c>
      <c r="AI90" s="11">
        <v>13.58644400955461</v>
      </c>
      <c r="AJ90" s="11">
        <f>14199.4392566327/(10^3)</f>
        <v>14.199439256632701</v>
      </c>
      <c r="AK90" s="11">
        <f>14137.6520073972/(10^3)</f>
        <v>14.1376520073972</v>
      </c>
      <c r="AL90" s="11">
        <f>14360.8588827403/(10^3)</f>
        <v>14.360858882740301</v>
      </c>
      <c r="AM90" s="11">
        <f>14087.2439221503/(10^3)</f>
        <v>14.087243922150298</v>
      </c>
      <c r="AN90" s="11">
        <f>13962.4712933734/(10^3)</f>
        <v>13.962471293373401</v>
      </c>
      <c r="AO90" s="11">
        <v>13.752549015562064</v>
      </c>
      <c r="AP90" s="11">
        <f>13961.0926040331/(10^3)</f>
        <v>13.9610926040331</v>
      </c>
      <c r="AQ90" s="11">
        <f>13858.8089193377/(10^3)</f>
        <v>13.858808919337701</v>
      </c>
      <c r="AR90" s="11">
        <f>13797.0435492301/(10^3)</f>
        <v>13.7970435492301</v>
      </c>
      <c r="AS90" s="11">
        <f>13899.1438361698/(10^3)</f>
        <v>13.899143836169801</v>
      </c>
      <c r="AT90" s="11">
        <f>13925.3973254826/(10^3)</f>
        <v>13.925397325482599</v>
      </c>
      <c r="AU90" s="11">
        <v>13.930468798153814</v>
      </c>
      <c r="AV90" s="11">
        <f>13794.7781921198/(10^3)</f>
        <v>13.7947781921198</v>
      </c>
      <c r="AW90" s="11">
        <f>13575.2034064181/(10^3)</f>
        <v>13.575203406418101</v>
      </c>
      <c r="AX90" s="11">
        <f>13559.6552213792/(10^3)</f>
        <v>13.559655221379201</v>
      </c>
      <c r="AY90" s="11">
        <f>13290.8919919695/(10^3)</f>
        <v>13.290891991969501</v>
      </c>
      <c r="AZ90" s="11">
        <f>13195.3723635271/(10^3)</f>
        <v>13.195372363527101</v>
      </c>
      <c r="BA90" s="11">
        <v>13.214700210716105</v>
      </c>
      <c r="BB90" s="11">
        <f>13441.9322163689/(10^3)</f>
        <v>13.441932216368899</v>
      </c>
      <c r="BC90" s="11">
        <f>13542.8338129434/(10^3)</f>
        <v>13.5428338129434</v>
      </c>
      <c r="BD90" s="11">
        <f>13607.0239414511/(10^3)</f>
        <v>13.6070239414511</v>
      </c>
      <c r="BE90" s="11">
        <f>13390.7544575893/(10^3)</f>
        <v>13.390754457589301</v>
      </c>
      <c r="BF90" s="11">
        <f>13720.8341614655/(10^3)</f>
        <v>13.720834161465501</v>
      </c>
      <c r="BG90" s="11">
        <v>14.188689240213748</v>
      </c>
      <c r="BH90" s="11">
        <f>14176.9953562718/(10^3)</f>
        <v>14.176995356271799</v>
      </c>
      <c r="BI90" s="11">
        <f>14217.3590506146/(10^3)</f>
        <v>14.217359050614599</v>
      </c>
      <c r="BJ90" s="11">
        <f>14262.3766292611/(10^3)</f>
        <v>14.2623766292611</v>
      </c>
      <c r="BK90" s="11">
        <f>14578.9234043834/(10^3)</f>
        <v>14.578923404383401</v>
      </c>
      <c r="BL90" s="11">
        <f>15081.0998923873/(10^3)</f>
        <v>15.0810998923873</v>
      </c>
      <c r="BM90" s="11">
        <v>14.819935240307087</v>
      </c>
      <c r="BN90" s="11">
        <f>15507.3035747501/(10^3)</f>
        <v>15.5073035747501</v>
      </c>
      <c r="BO90" s="11">
        <f>16059.1235998018/(10^3)</f>
        <v>16.059123599801801</v>
      </c>
      <c r="BP90" s="11">
        <f>16125.7149416829/(10^3)</f>
        <v>16.125714941682901</v>
      </c>
      <c r="BQ90" s="11">
        <f>16610.2435636094/(10^3)</f>
        <v>16.610243563609401</v>
      </c>
      <c r="BR90" s="11">
        <f>16955.4565089324/(10^3)</f>
        <v>16.9554565089324</v>
      </c>
      <c r="BS90" s="11">
        <v>17.609954266870037</v>
      </c>
      <c r="BT90" s="11">
        <f>17696.2447537213/(10^3)</f>
        <v>17.696244753721302</v>
      </c>
      <c r="BU90" s="11">
        <f>17362.9778642203/(10^3)</f>
        <v>17.362977864220298</v>
      </c>
      <c r="BV90" s="11">
        <f>17220.8437942379/(10^3)</f>
        <v>17.220843794237897</v>
      </c>
      <c r="BW90" s="11">
        <f>17977.0048068133/(10^3)</f>
        <v>17.977004806813301</v>
      </c>
      <c r="BX90" s="11">
        <f>17659.8371190015/(10^3)</f>
        <v>17.659837119001498</v>
      </c>
      <c r="BY90" s="11">
        <v>17.779376779303096</v>
      </c>
      <c r="BZ90" s="11">
        <f>17779.3767793031/(10^3)</f>
        <v>17.779376779303099</v>
      </c>
      <c r="CA90" s="11">
        <f>18198.6012141417/(10^3)</f>
        <v>18.1986012141417</v>
      </c>
      <c r="CB90" s="11">
        <f>18244.7480243743/(10^3)</f>
        <v>18.244748024374299</v>
      </c>
      <c r="CC90" s="12"/>
      <c r="DD90" s="11"/>
      <c r="DE90" s="11"/>
      <c r="DF90" s="11"/>
    </row>
    <row r="91" spans="4:110" ht="15.6" x14ac:dyDescent="0.25">
      <c r="D91" s="10" t="s">
        <v>66</v>
      </c>
      <c r="E91" s="10" t="s">
        <v>41</v>
      </c>
      <c r="F91" s="10" t="s">
        <v>149</v>
      </c>
      <c r="G91" s="10" t="s">
        <v>182</v>
      </c>
      <c r="H91" s="67" t="str">
        <f t="shared" si="2"/>
        <v>Omaha (피합병)</v>
      </c>
      <c r="I91" s="11">
        <f>8324.36430211968/(10^3)</f>
        <v>8.3243643021196796</v>
      </c>
      <c r="J91" s="11">
        <f>8236.86919598423/(10^3)</f>
        <v>8.2368691959842302</v>
      </c>
      <c r="K91" s="11">
        <v>8.6251536948785184</v>
      </c>
      <c r="L91" s="11">
        <f>8848.66361986284/(10^3)</f>
        <v>8.8486636198628403</v>
      </c>
      <c r="M91" s="11">
        <f>8999.72496854869/(10^3)</f>
        <v>8.9997249685486889</v>
      </c>
      <c r="N91" s="11">
        <f>9130.25651913729/(10^3)</f>
        <v>9.1302565191372906</v>
      </c>
      <c r="O91" s="11">
        <f>9462.86819643079/(10^3)</f>
        <v>9.4628681964307901</v>
      </c>
      <c r="P91" s="11">
        <f>9785.49141205523/(10^3)</f>
        <v>9.7854914120552294</v>
      </c>
      <c r="Q91" s="11">
        <v>9.8217064555397755</v>
      </c>
      <c r="R91" s="11">
        <f>10240.8504439219/(10^3)</f>
        <v>10.2408504439219</v>
      </c>
      <c r="S91" s="11">
        <f>10175.8509322949/(10^3)</f>
        <v>10.1758509322949</v>
      </c>
      <c r="T91" s="11">
        <f>10112.886587637/(10^3)</f>
        <v>10.112886587637</v>
      </c>
      <c r="U91" s="11">
        <f>9912.93699376745/(10^3)</f>
        <v>9.912936993767449</v>
      </c>
      <c r="V91" s="11">
        <f>10064.9616643781/(10^3)</f>
        <v>10.064961664378099</v>
      </c>
      <c r="W91" s="11">
        <v>10.380578951956293</v>
      </c>
      <c r="X91" s="11">
        <f>10246.6202609759/(10^3)</f>
        <v>10.246620260975901</v>
      </c>
      <c r="Y91" s="11">
        <f>10486.5779398128/(10^3)</f>
        <v>10.486577939812801</v>
      </c>
      <c r="Z91" s="11">
        <f>10533.7005547959/(10^3)</f>
        <v>10.5337005547959</v>
      </c>
      <c r="AA91" s="11">
        <f>10495.8880317522/(10^3)</f>
        <v>10.4958880317522</v>
      </c>
      <c r="AB91" s="11">
        <f>10308.0419977662/(10^3)</f>
        <v>10.3080419977662</v>
      </c>
      <c r="AC91" s="11">
        <v>10.336478122990497</v>
      </c>
      <c r="AD91" s="11">
        <f>10156.304615994/(10^3)</f>
        <v>10.156304615994001</v>
      </c>
      <c r="AE91" s="11">
        <f>10147.6529382544/(10^3)</f>
        <v>10.147652938254399</v>
      </c>
      <c r="AF91" s="11">
        <f>10015.8827920556/(10^3)</f>
        <v>10.015882792055599</v>
      </c>
      <c r="AG91" s="11">
        <f>9909.29271128824/(10^3)</f>
        <v>9.9092927112882414</v>
      </c>
      <c r="AH91" s="11">
        <f>9860.28487907833/(10^3)</f>
        <v>9.8602848790783302</v>
      </c>
      <c r="AI91" s="11">
        <v>9.7021530148219881</v>
      </c>
      <c r="AJ91" s="11">
        <f>9900.2628995847/(10^3)</f>
        <v>9.9002628995847015</v>
      </c>
      <c r="AK91" s="11">
        <f>9725.86473733096/(10^3)</f>
        <v>9.7258647373309604</v>
      </c>
      <c r="AL91" s="11">
        <f>9850.57238510949/(10^3)</f>
        <v>9.8505723851094906</v>
      </c>
      <c r="AM91" s="11">
        <f>9891.98014472213/(10^3)</f>
        <v>9.8919801447221314</v>
      </c>
      <c r="AN91" s="11">
        <f>9733.54570721135/(10^3)</f>
        <v>9.7335457072113503</v>
      </c>
      <c r="AO91" s="11">
        <v>9.5697749964210974</v>
      </c>
      <c r="AP91" s="11">
        <f>9471.10496051838/(10^3)</f>
        <v>9.4711049605183799</v>
      </c>
      <c r="AQ91" s="11">
        <f>9329.6142056529/(10^3)</f>
        <v>9.3296142056529003</v>
      </c>
      <c r="AR91" s="11">
        <f>9352.6946662435/(10^3)</f>
        <v>9.3526946662435009</v>
      </c>
      <c r="AS91" s="11">
        <f>9242.9408633612/(10^3)</f>
        <v>9.2429408633612002</v>
      </c>
      <c r="AT91" s="11">
        <f>9531.17876994431/(10^3)</f>
        <v>9.5311787699443098</v>
      </c>
      <c r="AU91" s="11">
        <v>9.3509007362994616</v>
      </c>
      <c r="AV91" s="11">
        <f>9772.59416890491/(10^3)</f>
        <v>9.7725941689049112</v>
      </c>
      <c r="AW91" s="11">
        <f>9649.12995499727/(10^3)</f>
        <v>9.6491299549972709</v>
      </c>
      <c r="AX91" s="11">
        <f>9572.65654539379/(10^3)</f>
        <v>9.5726565453937891</v>
      </c>
      <c r="AY91" s="11">
        <f>9953.56553134002/(10^3)</f>
        <v>9.9535655313400202</v>
      </c>
      <c r="AZ91" s="11">
        <f>9788.41192135289/(10^3)</f>
        <v>9.7884119213528908</v>
      </c>
      <c r="BA91" s="11">
        <v>9.8736403901416061</v>
      </c>
      <c r="BB91" s="11">
        <f>10099.4235110226/(10^3)</f>
        <v>10.0994235110226</v>
      </c>
      <c r="BC91" s="11">
        <f>10082.9513203694/(10^3)</f>
        <v>10.0829513203694</v>
      </c>
      <c r="BD91" s="11">
        <f>10357.0206668432/(10^3)</f>
        <v>10.3570206668432</v>
      </c>
      <c r="BE91" s="11">
        <f>10200.2109703705/(10^3)</f>
        <v>10.200210970370499</v>
      </c>
      <c r="BF91" s="11">
        <f>10010.7819108282/(10^3)</f>
        <v>10.0107819108282</v>
      </c>
      <c r="BG91" s="11">
        <v>10.021885314682754</v>
      </c>
      <c r="BH91" s="11">
        <f>10169.0598682862/(10^3)</f>
        <v>10.169059868286199</v>
      </c>
      <c r="BI91" s="11">
        <f>10318.7259799957/(10^3)</f>
        <v>10.318725979995699</v>
      </c>
      <c r="BJ91" s="11">
        <f>10221.8842608741/(10^3)</f>
        <v>10.2218842608741</v>
      </c>
      <c r="BK91" s="11">
        <f>10416.0510641964/(10^3)</f>
        <v>10.416051064196399</v>
      </c>
      <c r="BL91" s="11">
        <f>10649.8197790862/(10^3)</f>
        <v>10.649819779086199</v>
      </c>
      <c r="BM91" s="11">
        <v>11.025372058633984</v>
      </c>
      <c r="BN91" s="11">
        <f>10836.3878964636/(10^3)</f>
        <v>10.8363878964636</v>
      </c>
      <c r="BO91" s="11">
        <f>11311.3304926612/(10^3)</f>
        <v>11.311330492661201</v>
      </c>
      <c r="BP91" s="11">
        <f>11377.1734085647/(10^3)</f>
        <v>11.377173408564701</v>
      </c>
      <c r="BQ91" s="11">
        <f>11920.6027700181/(10^3)</f>
        <v>11.9206027700181</v>
      </c>
      <c r="BR91" s="11">
        <f>12187.393120022/(10^3)</f>
        <v>12.187393120022</v>
      </c>
      <c r="BS91" s="11">
        <v>12.592926457026687</v>
      </c>
      <c r="BT91" s="11">
        <f>13006.7222041546/(10^3)</f>
        <v>13.006722204154599</v>
      </c>
      <c r="BU91" s="11">
        <f>13328.3568843865/(10^3)</f>
        <v>13.328356884386499</v>
      </c>
      <c r="BV91" s="11">
        <f>13516.007723903/(10^3)</f>
        <v>13.516007723903</v>
      </c>
      <c r="BW91" s="11">
        <f>13780.4772629383/(10^3)</f>
        <v>13.7804772629383</v>
      </c>
      <c r="BX91" s="11">
        <f>13879.2171926224/(10^3)</f>
        <v>13.8792171926224</v>
      </c>
      <c r="BY91" s="11">
        <v>14.228897124800222</v>
      </c>
      <c r="BZ91" s="11">
        <f>14228.8971248002/(10^3)</f>
        <v>14.2288971248002</v>
      </c>
      <c r="CA91" s="11">
        <f>14398.7254782117/(10^3)</f>
        <v>14.3987254782117</v>
      </c>
      <c r="CB91" s="11">
        <f>14753.1265457582/(10^3)</f>
        <v>14.753126545758199</v>
      </c>
      <c r="CC91" s="12"/>
      <c r="DD91" s="11"/>
      <c r="DE91" s="11"/>
      <c r="DF91" s="11"/>
    </row>
    <row r="92" spans="4:110" ht="15.6" x14ac:dyDescent="0.25">
      <c r="D92" s="10" t="s">
        <v>68</v>
      </c>
      <c r="E92" s="10" t="s">
        <v>67</v>
      </c>
      <c r="F92" s="10" t="s">
        <v>149</v>
      </c>
      <c r="G92" s="10" t="s">
        <v>182</v>
      </c>
      <c r="H92" s="67" t="str">
        <f t="shared" si="2"/>
        <v>Pierre (피합병)</v>
      </c>
      <c r="I92" s="11">
        <f>45990.4614894231/(10^3)</f>
        <v>45.990461489423097</v>
      </c>
      <c r="J92" s="11">
        <f>47787.9377525666/(10^3)</f>
        <v>47.787937752566599</v>
      </c>
      <c r="K92" s="11">
        <v>48.757753527423297</v>
      </c>
      <c r="L92" s="11">
        <f>50108.3053678092/(10^3)</f>
        <v>50.108305367809194</v>
      </c>
      <c r="M92" s="11">
        <f>49553.6200669817/(10^3)</f>
        <v>49.553620066981701</v>
      </c>
      <c r="N92" s="11">
        <f>51151.1833984268/(10^3)</f>
        <v>51.151183398426802</v>
      </c>
      <c r="O92" s="11">
        <f>50834.7030698089/(10^3)</f>
        <v>50.834703069808903</v>
      </c>
      <c r="P92" s="11">
        <f>51283.3075184373/(10^3)</f>
        <v>51.283307518437304</v>
      </c>
      <c r="Q92" s="11">
        <v>50.912233069724401</v>
      </c>
      <c r="R92" s="11">
        <f>50082.5506212859/(10^3)</f>
        <v>50.082550621285904</v>
      </c>
      <c r="S92" s="11">
        <f>51719.0406640271/(10^3)</f>
        <v>51.719040664027105</v>
      </c>
      <c r="T92" s="11">
        <f>53549.0738201097/(10^3)</f>
        <v>53.549073820109697</v>
      </c>
      <c r="U92" s="11">
        <f>53341.7881784128/(10^3)</f>
        <v>53.341788178412799</v>
      </c>
      <c r="V92" s="11">
        <f>52478.6571774872/(10^3)</f>
        <v>52.4786571774872</v>
      </c>
      <c r="W92" s="11">
        <v>51.774206833413771</v>
      </c>
      <c r="X92" s="11">
        <f>50860.6059046004/(10^3)</f>
        <v>50.860605904600398</v>
      </c>
      <c r="Y92" s="11">
        <f>52663.358713957/(10^3)</f>
        <v>52.663358713957003</v>
      </c>
      <c r="Z92" s="11">
        <f>52370.1262546679/(10^3)</f>
        <v>52.370126254667902</v>
      </c>
      <c r="AA92" s="11">
        <f>54374.2450005561/(10^3)</f>
        <v>54.374245000556094</v>
      </c>
      <c r="AB92" s="11">
        <f>53581.9974805242/(10^3)</f>
        <v>53.581997480524201</v>
      </c>
      <c r="AC92" s="11">
        <v>53.869807709883929</v>
      </c>
      <c r="AD92" s="11">
        <f>56378.882237834/(10^3)</f>
        <v>56.378882237833999</v>
      </c>
      <c r="AE92" s="11">
        <f>57304.8888287778/(10^3)</f>
        <v>57.304888828777806</v>
      </c>
      <c r="AF92" s="11">
        <f>57214.0917158949/(10^3)</f>
        <v>57.214091715894902</v>
      </c>
      <c r="AG92" s="11">
        <f>56125.2831184771/(10^3)</f>
        <v>56.1252831184771</v>
      </c>
      <c r="AH92" s="11">
        <f>56057.6479381102/(10^3)</f>
        <v>56.0576479381102</v>
      </c>
      <c r="AI92" s="11">
        <v>55.755825142327183</v>
      </c>
      <c r="AJ92" s="11">
        <f>55663.9308503211/(10^3)</f>
        <v>55.663930850321101</v>
      </c>
      <c r="AK92" s="11">
        <f>56877.3029951879/(10^3)</f>
        <v>56.877302995187897</v>
      </c>
      <c r="AL92" s="11">
        <f>56634.8530965194/(10^3)</f>
        <v>56.6348530965194</v>
      </c>
      <c r="AM92" s="11">
        <f>55830.3096513797/(10^3)</f>
        <v>55.8303096513797</v>
      </c>
      <c r="AN92" s="11">
        <f>55696.1770975212/(10^3)</f>
        <v>55.6961770975212</v>
      </c>
      <c r="AO92" s="11">
        <v>56.796786072845876</v>
      </c>
      <c r="AP92" s="11">
        <f>58987.0139493613/(10^3)</f>
        <v>58.987013949361305</v>
      </c>
      <c r="AQ92" s="11">
        <f>58205.2944479177/(10^3)</f>
        <v>58.205294447917701</v>
      </c>
      <c r="AR92" s="11">
        <f>57118.3265887517/(10^3)</f>
        <v>57.1183265887517</v>
      </c>
      <c r="AS92" s="11">
        <f>57478.2583967527/(10^3)</f>
        <v>57.4782583967527</v>
      </c>
      <c r="AT92" s="11">
        <f>56900.7487045345/(10^3)</f>
        <v>56.9007487045345</v>
      </c>
      <c r="AU92" s="11">
        <v>56.771390508765343</v>
      </c>
      <c r="AV92" s="11">
        <f>57922.8895482065/(10^3)</f>
        <v>57.922889548206498</v>
      </c>
      <c r="AW92" s="11">
        <f>58842.3126972331/(10^3)</f>
        <v>58.842312697233098</v>
      </c>
      <c r="AX92" s="11">
        <f>60903.5659970642/(10^3)</f>
        <v>60.903565997064199</v>
      </c>
      <c r="AY92" s="11">
        <f>60001.6197929946/(10^3)</f>
        <v>60.001619792994596</v>
      </c>
      <c r="AZ92" s="11">
        <f>58954.0029609675/(10^3)</f>
        <v>58.954002960967493</v>
      </c>
      <c r="BA92" s="11">
        <v>59.859053409471073</v>
      </c>
      <c r="BB92" s="11">
        <f>59519.8675353698/(10^3)</f>
        <v>59.519867535369798</v>
      </c>
      <c r="BC92" s="11">
        <f>58516.5083645728/(10^3)</f>
        <v>58.5165083645728</v>
      </c>
      <c r="BD92" s="11">
        <f>58801.6382863179/(10^3)</f>
        <v>58.801638286317903</v>
      </c>
      <c r="BE92" s="11">
        <f>60355.6293406137/(10^3)</f>
        <v>60.355629340613696</v>
      </c>
      <c r="BF92" s="11">
        <f>61287.5163297423/(10^3)</f>
        <v>61.287516329742296</v>
      </c>
      <c r="BG92" s="11">
        <v>62.161796313645368</v>
      </c>
      <c r="BH92" s="11">
        <f>61241.7298013528/(10^3)</f>
        <v>61.241729801352797</v>
      </c>
      <c r="BI92" s="11">
        <f>60593.8189654945/(10^3)</f>
        <v>60.593818965494499</v>
      </c>
      <c r="BJ92" s="11">
        <f>59841.8676425643/(10^3)</f>
        <v>59.841867642564296</v>
      </c>
      <c r="BK92" s="11">
        <f>62104.8780093822/(10^3)</f>
        <v>62.104878009382197</v>
      </c>
      <c r="BL92" s="11">
        <f>61630.9303636676/(10^3)</f>
        <v>61.630930363667595</v>
      </c>
      <c r="BM92" s="11">
        <v>63.982491228917866</v>
      </c>
      <c r="BN92" s="11">
        <f>63993.8623474649/(10^3)</f>
        <v>63.993862347464898</v>
      </c>
      <c r="BO92" s="11">
        <f>64187.8153874913/(10^3)</f>
        <v>64.187815387491298</v>
      </c>
      <c r="BP92" s="11">
        <f>67240.0348433884/(10^3)</f>
        <v>67.240034843388401</v>
      </c>
      <c r="BQ92" s="11">
        <f>66046.8363952506/(10^3)</f>
        <v>66.046836395250608</v>
      </c>
      <c r="BR92" s="11">
        <f>64928.2333846798/(10^3)</f>
        <v>64.9282333846798</v>
      </c>
      <c r="BS92" s="11">
        <v>67.981004445694353</v>
      </c>
      <c r="BT92" s="11">
        <f>67440.4098637659/(10^3)</f>
        <v>67.440409863765908</v>
      </c>
      <c r="BU92" s="11">
        <f>68405.9335276821/(10^3)</f>
        <v>68.405933527682095</v>
      </c>
      <c r="BV92" s="11">
        <f>67161.266680906/(10^3)</f>
        <v>67.161266680905996</v>
      </c>
      <c r="BW92" s="11">
        <f>67313.4002736341/(10^3)</f>
        <v>67.313400273634102</v>
      </c>
      <c r="BX92" s="11">
        <f>67380.5005006226/(10^3)</f>
        <v>67.380500500622603</v>
      </c>
      <c r="BY92" s="11">
        <v>69.817102426572859</v>
      </c>
      <c r="BZ92" s="11">
        <f>69817.1024265729/(10^3)</f>
        <v>69.817102426572902</v>
      </c>
      <c r="CA92" s="11">
        <f>70906.0990522833/(10^3)</f>
        <v>70.906099052283295</v>
      </c>
      <c r="CB92" s="11">
        <f>74276.1481353842/(10^3)</f>
        <v>74.27614813538419</v>
      </c>
      <c r="CC92" s="12"/>
      <c r="DD92" s="11"/>
      <c r="DE92" s="11"/>
      <c r="DF92" s="11"/>
    </row>
    <row r="93" spans="4:110" ht="15.6" x14ac:dyDescent="0.25">
      <c r="D93" s="10" t="s">
        <v>69</v>
      </c>
      <c r="E93" s="10" t="s">
        <v>59</v>
      </c>
      <c r="F93" s="10" t="s">
        <v>149</v>
      </c>
      <c r="G93" s="10" t="s">
        <v>182</v>
      </c>
      <c r="H93" s="67" t="str">
        <f t="shared" si="2"/>
        <v>Saint Paul (피합병)</v>
      </c>
      <c r="I93" s="11">
        <f>64885.6866759937/(10^3)</f>
        <v>64.885686675993696</v>
      </c>
      <c r="J93" s="11">
        <f>67508.2438860011/(10^3)</f>
        <v>67.508243886001097</v>
      </c>
      <c r="K93" s="11">
        <v>66.479793655838378</v>
      </c>
      <c r="L93" s="11">
        <f>69520.7080471518/(10^3)</f>
        <v>69.5207080471518</v>
      </c>
      <c r="M93" s="11">
        <f>70716.0730873398/(10^3)</f>
        <v>70.716073087339794</v>
      </c>
      <c r="N93" s="11">
        <f>72615.6057365175/(10^3)</f>
        <v>72.615605736517495</v>
      </c>
      <c r="O93" s="11">
        <f>74369.6191026167/(10^3)</f>
        <v>74.36961910261671</v>
      </c>
      <c r="P93" s="11">
        <f>77158.2348172207/(10^3)</f>
        <v>77.158234817220702</v>
      </c>
      <c r="Q93" s="11">
        <v>77.016263021508109</v>
      </c>
      <c r="R93" s="11">
        <f>77745.6744447164/(10^3)</f>
        <v>77.7456744447164</v>
      </c>
      <c r="S93" s="11">
        <f>80414.8505686428/(10^3)</f>
        <v>80.414850568642791</v>
      </c>
      <c r="T93" s="11">
        <f>79878.56333686/(10^3)</f>
        <v>79.878563336859997</v>
      </c>
      <c r="U93" s="11">
        <f>79688.5323284999/(10^3)</f>
        <v>79.688532328499903</v>
      </c>
      <c r="V93" s="11">
        <f>83273.6411625181/(10^3)</f>
        <v>83.273641162518103</v>
      </c>
      <c r="W93" s="11">
        <v>84.749239000544407</v>
      </c>
      <c r="X93" s="11">
        <f>84458.1549869155/(10^3)</f>
        <v>84.458154986915503</v>
      </c>
      <c r="Y93" s="11">
        <f>85047.2794938904/(10^3)</f>
        <v>85.0472794938904</v>
      </c>
      <c r="Z93" s="11">
        <f>88011.1718552629/(10^3)</f>
        <v>88.011171855262901</v>
      </c>
      <c r="AA93" s="11">
        <f>89325.8215040037/(10^3)</f>
        <v>89.325821504003699</v>
      </c>
      <c r="AB93" s="11">
        <f>88295.2092173722/(10^3)</f>
        <v>88.295209217372204</v>
      </c>
      <c r="AC93" s="11">
        <v>91.785278183301926</v>
      </c>
      <c r="AD93" s="11">
        <f>90913.2635949574/(10^3)</f>
        <v>90.9132635949574</v>
      </c>
      <c r="AE93" s="11">
        <f>93861.5514875002/(10^3)</f>
        <v>93.861551487500194</v>
      </c>
      <c r="AF93" s="11">
        <f>96022.0988071697/(10^3)</f>
        <v>96.022098807169712</v>
      </c>
      <c r="AG93" s="11">
        <f>94948.2573442388/(10^3)</f>
        <v>94.948257344238797</v>
      </c>
      <c r="AH93" s="11">
        <f>94404.8870383917/(10^3)</f>
        <v>94.404887038391692</v>
      </c>
      <c r="AI93" s="11">
        <v>96.602551076766545</v>
      </c>
      <c r="AJ93" s="11">
        <f>95131.8116038996/(10^3)</f>
        <v>95.131811603899592</v>
      </c>
      <c r="AK93" s="11">
        <f>94467.4145386445/(10^3)</f>
        <v>94.467414538644505</v>
      </c>
      <c r="AL93" s="11">
        <f>92966.8780455443/(10^3)</f>
        <v>92.966878045544306</v>
      </c>
      <c r="AM93" s="11">
        <f>91987.8608646304/(10^3)</f>
        <v>91.987860864630406</v>
      </c>
      <c r="AN93" s="11">
        <f>91144.1611133924/(10^3)</f>
        <v>91.1441611133924</v>
      </c>
      <c r="AO93" s="11">
        <v>90.289724483852524</v>
      </c>
      <c r="AP93" s="11">
        <f>89443.2801406699/(10^3)</f>
        <v>89.443280140669899</v>
      </c>
      <c r="AQ93" s="11">
        <f>89721.9648599266/(10^3)</f>
        <v>89.721964859926587</v>
      </c>
      <c r="AR93" s="11">
        <f>90502.1279402978/(10^3)</f>
        <v>90.502127940297797</v>
      </c>
      <c r="AS93" s="11">
        <f>89554.6243202958/(10^3)</f>
        <v>89.554624320295801</v>
      </c>
      <c r="AT93" s="11">
        <f>88966.9668382262/(10^3)</f>
        <v>88.966966838226199</v>
      </c>
      <c r="AU93" s="11">
        <v>89.328244189058211</v>
      </c>
      <c r="AV93" s="11">
        <f>88627.6021619808/(10^3)</f>
        <v>88.627602161980803</v>
      </c>
      <c r="AW93" s="11">
        <f>90725.3251907378/(10^3)</f>
        <v>90.725325190737806</v>
      </c>
      <c r="AX93" s="11">
        <f>89180.0539496997/(10^3)</f>
        <v>89.180053949699698</v>
      </c>
      <c r="AY93" s="11">
        <f>91007.9898002521/(10^3)</f>
        <v>91.007989800252091</v>
      </c>
      <c r="AZ93" s="11">
        <f>89987.8670291785/(10^3)</f>
        <v>89.987867029178489</v>
      </c>
      <c r="BA93" s="11">
        <v>88.416790004532288</v>
      </c>
      <c r="BB93" s="11">
        <f>89423.5873358789/(10^3)</f>
        <v>89.423587335878892</v>
      </c>
      <c r="BC93" s="11">
        <f>91572.5436971603/(10^3)</f>
        <v>91.572543697160299</v>
      </c>
      <c r="BD93" s="11">
        <f>94148.8371026108/(10^3)</f>
        <v>94.148837102610813</v>
      </c>
      <c r="BE93" s="11">
        <f>93562.8450051693/(10^3)</f>
        <v>93.562845005169308</v>
      </c>
      <c r="BF93" s="11">
        <f>91742.9745087387/(10^3)</f>
        <v>91.742974508738698</v>
      </c>
      <c r="BG93" s="11">
        <v>90.978809602064615</v>
      </c>
      <c r="BH93" s="11">
        <f>95251.8180591058/(10^3)</f>
        <v>95.251818059105801</v>
      </c>
      <c r="BI93" s="11">
        <f>93597.2355148566/(10^3)</f>
        <v>93.597235514856592</v>
      </c>
      <c r="BJ93" s="11">
        <f>92306.7457862215/(10^3)</f>
        <v>92.306745786221498</v>
      </c>
      <c r="BK93" s="11">
        <f>94378.065403119/(10^3)</f>
        <v>94.37806540311901</v>
      </c>
      <c r="BL93" s="11">
        <f>92896.4463838048/(10^3)</f>
        <v>92.8964463838048</v>
      </c>
      <c r="BM93" s="11">
        <v>93.762049293041457</v>
      </c>
      <c r="BN93" s="11">
        <f>92551.0809656245/(10^3)</f>
        <v>92.551080965624493</v>
      </c>
      <c r="BO93" s="11">
        <f>95577.0447704221/(10^3)</f>
        <v>95.577044770422106</v>
      </c>
      <c r="BP93" s="11">
        <f>94920.4442859288/(10^3)</f>
        <v>94.920444285928795</v>
      </c>
      <c r="BQ93" s="11">
        <f>95394.6064898734/(10^3)</f>
        <v>95.394606489873411</v>
      </c>
      <c r="BR93" s="11">
        <f>95920.8431928487/(10^3)</f>
        <v>95.920843192848693</v>
      </c>
      <c r="BS93" s="11">
        <v>99.675046468995248</v>
      </c>
      <c r="BT93" s="11">
        <f>103102.593504362/(10^3)</f>
        <v>103.10259350436199</v>
      </c>
      <c r="BU93" s="11">
        <f>106339.673373817/(10^3)</f>
        <v>106.33967337381701</v>
      </c>
      <c r="BV93" s="11">
        <f>105116.0685426/(10^3)</f>
        <v>105.1160685426</v>
      </c>
      <c r="BW93" s="11">
        <f>105007.288502595/(10^3)</f>
        <v>105.00728850259499</v>
      </c>
      <c r="BX93" s="11">
        <f>104638.938528451/(10^3)</f>
        <v>104.63893852845101</v>
      </c>
      <c r="BY93" s="11">
        <v>103.84531484968068</v>
      </c>
      <c r="BZ93" s="11">
        <f>103845.314849681/(10^3)</f>
        <v>103.845314849681</v>
      </c>
      <c r="CA93" s="11">
        <f>104426.952015948/(10^3)</f>
        <v>104.426952015948</v>
      </c>
      <c r="CB93" s="11">
        <f>107620.314857919/(10^3)</f>
        <v>107.620314857919</v>
      </c>
      <c r="CC93" s="12"/>
      <c r="DD93" s="11"/>
      <c r="DE93" s="11"/>
      <c r="DF93" s="11"/>
    </row>
    <row r="94" spans="4:110" ht="15.6" x14ac:dyDescent="0.25">
      <c r="D94" s="10" t="s">
        <v>70</v>
      </c>
      <c r="E94" s="10" t="s">
        <v>8</v>
      </c>
      <c r="F94" s="10" t="s">
        <v>151</v>
      </c>
      <c r="G94" s="10" t="s">
        <v>182</v>
      </c>
      <c r="H94" s="67" t="str">
        <f t="shared" si="2"/>
        <v>Santa Fe (피합병)</v>
      </c>
      <c r="I94" s="11">
        <f>99525.9794967366/(10^3)</f>
        <v>99.525979496736596</v>
      </c>
      <c r="J94" s="11">
        <f>102579.51547774/(10^3)</f>
        <v>102.57951547774</v>
      </c>
      <c r="K94" s="11">
        <v>106.58408985991582</v>
      </c>
      <c r="L94" s="11">
        <f>105438.18991733/(10^3)</f>
        <v>105.43818991733001</v>
      </c>
      <c r="M94" s="11">
        <f>104889.787755122/(10^3)</f>
        <v>104.889787755122</v>
      </c>
      <c r="N94" s="11">
        <f>107008.94123214/(10^3)</f>
        <v>107.00894123214</v>
      </c>
      <c r="O94" s="11">
        <f>107907.645445499/(10^3)</f>
        <v>107.907645445499</v>
      </c>
      <c r="P94" s="11">
        <f>109181.465110765/(10^3)</f>
        <v>109.181465110765</v>
      </c>
      <c r="Q94" s="11">
        <v>110.2847798050515</v>
      </c>
      <c r="R94" s="11">
        <f>110945.261357802/(10^3)</f>
        <v>110.945261357802</v>
      </c>
      <c r="S94" s="11">
        <f>110640.256046188/(10^3)</f>
        <v>110.640256046188</v>
      </c>
      <c r="T94" s="11">
        <f>108634.427952897/(10^3)</f>
        <v>108.634427952897</v>
      </c>
      <c r="U94" s="11">
        <f>107003.724909261/(10^3)</f>
        <v>107.003724909261</v>
      </c>
      <c r="V94" s="11">
        <f>105740.437024165/(10^3)</f>
        <v>105.740437024165</v>
      </c>
      <c r="W94" s="11">
        <v>107.22547684868897</v>
      </c>
      <c r="X94" s="11">
        <f>106657.484100446/(10^3)</f>
        <v>106.657484100446</v>
      </c>
      <c r="Y94" s="11">
        <f>110693.302829775/(10^3)</f>
        <v>110.69330282977499</v>
      </c>
      <c r="Z94" s="11">
        <f>115772.262292447/(10^3)</f>
        <v>115.77226229244701</v>
      </c>
      <c r="AA94" s="11">
        <f>113975.42110802/(10^3)</f>
        <v>113.97542110802</v>
      </c>
      <c r="AB94" s="11">
        <f>114585.288811879/(10^3)</f>
        <v>114.585288811879</v>
      </c>
      <c r="AC94" s="11">
        <v>112.42271358540481</v>
      </c>
      <c r="AD94" s="11">
        <f>116175.137024147/(10^3)</f>
        <v>116.17513702414701</v>
      </c>
      <c r="AE94" s="11">
        <f>120209.567718029/(10^3)</f>
        <v>120.20956771802899</v>
      </c>
      <c r="AF94" s="11">
        <f>121138.885561663/(10^3)</f>
        <v>121.138885561663</v>
      </c>
      <c r="AG94" s="11">
        <f>121989.313001299/(10^3)</f>
        <v>121.989313001299</v>
      </c>
      <c r="AH94" s="11">
        <f>120619.406195549/(10^3)</f>
        <v>120.619406195549</v>
      </c>
      <c r="AI94" s="11">
        <v>120.0587203607782</v>
      </c>
      <c r="AJ94" s="11">
        <f>119253.602836467/(10^3)</f>
        <v>119.25360283646701</v>
      </c>
      <c r="AK94" s="11">
        <f>117309.259282188/(10^3)</f>
        <v>117.30925928218799</v>
      </c>
      <c r="AL94" s="11">
        <f>115141.505343005/(10^3)</f>
        <v>115.14150534300501</v>
      </c>
      <c r="AM94" s="11">
        <f>117371.867437219/(10^3)</f>
        <v>117.371867437219</v>
      </c>
      <c r="AN94" s="11">
        <f>117877.233563526/(10^3)</f>
        <v>117.87723356352599</v>
      </c>
      <c r="AO94" s="11">
        <v>116.94093444360625</v>
      </c>
      <c r="AP94" s="11">
        <f>119546.522189746/(10^3)</f>
        <v>119.546522189746</v>
      </c>
      <c r="AQ94" s="11">
        <f>119173.602544367/(10^3)</f>
        <v>119.173602544367</v>
      </c>
      <c r="AR94" s="11">
        <f>117378.582248377/(10^3)</f>
        <v>117.378582248377</v>
      </c>
      <c r="AS94" s="11">
        <f>119819.765472526/(10^3)</f>
        <v>119.819765472526</v>
      </c>
      <c r="AT94" s="11">
        <f>121553.347079261/(10^3)</f>
        <v>121.553347079261</v>
      </c>
      <c r="AU94" s="11">
        <v>119.8080606176626</v>
      </c>
      <c r="AV94" s="11">
        <f>117865.099349983/(10^3)</f>
        <v>117.865099349983</v>
      </c>
      <c r="AW94" s="11">
        <f>116914.997758293/(10^3)</f>
        <v>116.914997758293</v>
      </c>
      <c r="AX94" s="11">
        <f>117013.133199539/(10^3)</f>
        <v>117.01313319953901</v>
      </c>
      <c r="AY94" s="11">
        <f>117872.310126329/(10^3)</f>
        <v>117.872310126329</v>
      </c>
      <c r="AZ94" s="11">
        <f>115831.710264084/(10^3)</f>
        <v>115.83171026408401</v>
      </c>
      <c r="BA94" s="11">
        <v>121.53834811796384</v>
      </c>
      <c r="BB94" s="11">
        <f>124750.343303872/(10^3)</f>
        <v>124.750343303872</v>
      </c>
      <c r="BC94" s="11">
        <f>124403.06228432/(10^3)</f>
        <v>124.40306228432</v>
      </c>
      <c r="BD94" s="11">
        <f>124138.401153273/(10^3)</f>
        <v>124.13840115327299</v>
      </c>
      <c r="BE94" s="11">
        <f>126884.79110718/(10^3)</f>
        <v>126.88479110718001</v>
      </c>
      <c r="BF94" s="11">
        <f>133120.225046094/(10^3)</f>
        <v>133.12022504609402</v>
      </c>
      <c r="BG94" s="11">
        <v>133.48825354186346</v>
      </c>
      <c r="BH94" s="11">
        <f>137145.334728744/(10^3)</f>
        <v>137.14533472874399</v>
      </c>
      <c r="BI94" s="11">
        <f>143295.267032937/(10^3)</f>
        <v>143.29526703293701</v>
      </c>
      <c r="BJ94" s="11">
        <f>143754.612048807/(10^3)</f>
        <v>143.75461204880699</v>
      </c>
      <c r="BK94" s="11">
        <f>144643.734057189/(10^3)</f>
        <v>144.64373405718899</v>
      </c>
      <c r="BL94" s="11">
        <f>142939.928835935/(10^3)</f>
        <v>142.93992883593498</v>
      </c>
      <c r="BM94" s="11">
        <v>144.10522746320419</v>
      </c>
      <c r="BN94" s="11">
        <f>142817.349839781/(10^3)</f>
        <v>142.817349839781</v>
      </c>
      <c r="BO94" s="11">
        <f>145116.688163494/(10^3)</f>
        <v>145.11668816349399</v>
      </c>
      <c r="BP94" s="11">
        <f>142493.38866441/(10^3)</f>
        <v>142.49338866441002</v>
      </c>
      <c r="BQ94" s="11">
        <f>142962.402509281/(10^3)</f>
        <v>142.96240250928099</v>
      </c>
      <c r="BR94" s="11">
        <f>140380.522975031/(10^3)</f>
        <v>140.380522975031</v>
      </c>
      <c r="BS94" s="11">
        <v>147.00596124858208</v>
      </c>
      <c r="BT94" s="11">
        <f>146989.205221592/(10^3)</f>
        <v>146.98920522159202</v>
      </c>
      <c r="BU94" s="11">
        <f>149982.98286038/(10^3)</f>
        <v>149.98298286037999</v>
      </c>
      <c r="BV94" s="11">
        <f>148738.133577319/(10^3)</f>
        <v>148.73813357731902</v>
      </c>
      <c r="BW94" s="11">
        <f>147981.568916196/(10^3)</f>
        <v>147.98156891619601</v>
      </c>
      <c r="BX94" s="11">
        <f>154872.535403391/(10^3)</f>
        <v>154.872535403391</v>
      </c>
      <c r="BY94" s="11">
        <v>159.29566468710192</v>
      </c>
      <c r="BZ94" s="11">
        <f>159295.664687102/(10^3)</f>
        <v>159.295664687102</v>
      </c>
      <c r="CA94" s="11">
        <f>164259.08477099/(10^3)</f>
        <v>164.25908477099</v>
      </c>
      <c r="CB94" s="11">
        <f>168064.692563302/(10^3)</f>
        <v>168.064692563302</v>
      </c>
      <c r="CC94" s="12"/>
      <c r="DD94" s="11"/>
      <c r="DE94" s="11"/>
      <c r="DF94" s="11"/>
    </row>
    <row r="95" spans="4:110" ht="15.6" x14ac:dyDescent="0.25">
      <c r="D95" s="10" t="s">
        <v>71</v>
      </c>
      <c r="E95" s="10" t="s">
        <v>67</v>
      </c>
      <c r="F95" s="10" t="s">
        <v>149</v>
      </c>
      <c r="G95" s="10" t="s">
        <v>182</v>
      </c>
      <c r="H95" s="67" t="str">
        <f t="shared" si="2"/>
        <v>Sioux Falls (피합병)</v>
      </c>
      <c r="I95" s="11"/>
      <c r="J95" s="11"/>
      <c r="K95" s="11">
        <v>3.5089797154152627</v>
      </c>
      <c r="L95" s="11"/>
      <c r="M95" s="11"/>
      <c r="N95" s="11"/>
      <c r="O95" s="11"/>
      <c r="P95" s="11"/>
      <c r="Q95" s="11">
        <v>3.7545914888468612</v>
      </c>
      <c r="R95" s="11"/>
      <c r="S95" s="11"/>
      <c r="T95" s="11"/>
      <c r="U95" s="11"/>
      <c r="V95" s="11">
        <f>4005.80953382475/(10^3)</f>
        <v>4.0058095338247499</v>
      </c>
      <c r="W95" s="11">
        <v>4.0453110740911162</v>
      </c>
      <c r="X95" s="11">
        <f>4158.21316853242/(10^3)</f>
        <v>4.15821316853242</v>
      </c>
      <c r="Y95" s="11">
        <f>4130.19309459946/(10^3)</f>
        <v>4.13019309459946</v>
      </c>
      <c r="Z95" s="11">
        <f>4090.12963456463/(10^3)</f>
        <v>4.0901296345646303</v>
      </c>
      <c r="AA95" s="11">
        <f>4086.11508668174/(10^3)</f>
        <v>4.0861150866817404</v>
      </c>
      <c r="AB95" s="11">
        <f>4068.1199807807/(10^3)</f>
        <v>4.0681199807807005</v>
      </c>
      <c r="AC95" s="11">
        <v>4.0507112374708418</v>
      </c>
      <c r="AD95" s="11">
        <f>3976.75786439391/(10^3)</f>
        <v>3.9767578643939099</v>
      </c>
      <c r="AE95" s="11">
        <f>3903.15633091057/(10^3)</f>
        <v>3.9031563309105701</v>
      </c>
      <c r="AF95" s="11">
        <f>3880.52027600937/(10^3)</f>
        <v>3.8805202760093698</v>
      </c>
      <c r="AG95" s="11">
        <f>3885.48271607722/(10^3)</f>
        <v>3.8854827160772203</v>
      </c>
      <c r="AH95" s="11">
        <f>3825.61341928329/(10^3)</f>
        <v>3.82561341928329</v>
      </c>
      <c r="AI95" s="11">
        <v>3.8828620443650324</v>
      </c>
      <c r="AJ95" s="11">
        <f>4046.58685073769/(10^3)</f>
        <v>4.0465868507376896</v>
      </c>
      <c r="AK95" s="11">
        <f>4011.62854996715/(10^3)</f>
        <v>4.01162854996715</v>
      </c>
      <c r="AL95" s="11">
        <f>4172.5779435204/(10^3)</f>
        <v>4.1725779435204</v>
      </c>
      <c r="AM95" s="11">
        <f>4155.55065274105/(10^3)</f>
        <v>4.1555506527410495</v>
      </c>
      <c r="AN95" s="11">
        <f>4126.98426499398/(10^3)</f>
        <v>4.1269842649939799</v>
      </c>
      <c r="AO95" s="11">
        <v>4.102859973905816</v>
      </c>
      <c r="AP95" s="11">
        <f>4246.97770410384/(10^3)</f>
        <v>4.2469777041038395</v>
      </c>
      <c r="AQ95" s="11">
        <f>4309.79478564019/(10^3)</f>
        <v>4.3097947856401895</v>
      </c>
      <c r="AR95" s="11">
        <f>4384.85539730408/(10^3)</f>
        <v>4.3848553973040802</v>
      </c>
      <c r="AS95" s="11">
        <f>4315.03061565728/(10^3)</f>
        <v>4.31503061565728</v>
      </c>
      <c r="AT95" s="11">
        <f>4261.8256600612/(10^3)</f>
        <v>4.2618256600612003</v>
      </c>
      <c r="AU95" s="11">
        <v>4.2425178697404213</v>
      </c>
      <c r="AV95" s="11">
        <f>4180.4539732008/(10^3)</f>
        <v>4.1804539732007999</v>
      </c>
      <c r="AW95" s="11">
        <f>4146.90996591337/(10^3)</f>
        <v>4.1469099659133697</v>
      </c>
      <c r="AX95" s="11">
        <f>4192.60273173907/(10^3)</f>
        <v>4.1926027317390702</v>
      </c>
      <c r="AY95" s="11">
        <f>4168.80825305049/(10^3)</f>
        <v>4.1688082530504902</v>
      </c>
      <c r="AZ95" s="11">
        <f>4129.74212109984/(10^3)</f>
        <v>4.1297421210998397</v>
      </c>
      <c r="BA95" s="11">
        <v>4.2531782052035778</v>
      </c>
      <c r="BB95" s="11">
        <f>4322.91186950119/(10^3)</f>
        <v>4.3229118695011906</v>
      </c>
      <c r="BC95" s="11">
        <f>4511.3550021071/(10^3)</f>
        <v>4.5113550021070994</v>
      </c>
      <c r="BD95" s="11">
        <f>4502.47150102063/(10^3)</f>
        <v>4.5024715010206302</v>
      </c>
      <c r="BE95" s="11">
        <f>4583.56038567999/(10^3)</f>
        <v>4.5835603856799896</v>
      </c>
      <c r="BF95" s="11">
        <f>4586.42378757298/(10^3)</f>
        <v>4.5864237875729792</v>
      </c>
      <c r="BG95" s="11">
        <v>4.6965688166556312</v>
      </c>
      <c r="BH95" s="11">
        <f>4678.15923225717/(10^3)</f>
        <v>4.6781592322571699</v>
      </c>
      <c r="BI95" s="11">
        <f>4634.95919669928/(10^3)</f>
        <v>4.6349591966992802</v>
      </c>
      <c r="BJ95" s="11">
        <f>4711.0343609879/(10^3)</f>
        <v>4.7110343609878997</v>
      </c>
      <c r="BK95" s="11">
        <f>4640.52394708524/(10^3)</f>
        <v>4.6405239470852404</v>
      </c>
      <c r="BL95" s="11">
        <f>4758.89076870534/(10^3)</f>
        <v>4.7588907687053394</v>
      </c>
      <c r="BM95" s="11">
        <v>4.7755425566012706</v>
      </c>
      <c r="BN95" s="11">
        <f>4957.04567691294/(10^3)</f>
        <v>4.9570456769129398</v>
      </c>
      <c r="BO95" s="11">
        <f>5093.99947210848/(10^3)</f>
        <v>5.0939994721084805</v>
      </c>
      <c r="BP95" s="11">
        <f>5175.33715713329/(10^3)</f>
        <v>5.1753371571332902</v>
      </c>
      <c r="BQ95" s="11">
        <f>5214.48071831359/(10^3)</f>
        <v>5.2144807183135899</v>
      </c>
      <c r="BR95" s="11">
        <f>5373.78758809592/(10^3)</f>
        <v>5.3737875880959196</v>
      </c>
      <c r="BS95" s="11">
        <v>5.6261314402694298</v>
      </c>
      <c r="BT95" s="11">
        <f>5720.13166745283/(10^3)</f>
        <v>5.7201316674528302</v>
      </c>
      <c r="BU95" s="11">
        <f>5681.04562884294/(10^3)</f>
        <v>5.6810456288429396</v>
      </c>
      <c r="BV95" s="11">
        <f>5856.56955388346/(10^3)</f>
        <v>5.8565695538834595</v>
      </c>
      <c r="BW95" s="11">
        <f>5778.85720513423/(10^3)</f>
        <v>5.77885720513423</v>
      </c>
      <c r="BX95" s="11">
        <f>5903.35821012262/(10^3)</f>
        <v>5.9033582101226205</v>
      </c>
      <c r="BY95" s="11">
        <v>6.2096327191472103</v>
      </c>
      <c r="BZ95" s="11">
        <f>6209.63271914721/(10^3)</f>
        <v>6.2096327191472103</v>
      </c>
      <c r="CA95" s="11">
        <f>6280.79940951979/(10^3)</f>
        <v>6.2807994095197897</v>
      </c>
      <c r="CB95" s="11">
        <f>6427.16645410326/(10^3)</f>
        <v>6.4271664541032596</v>
      </c>
      <c r="CC95" s="12"/>
      <c r="DD95" s="11"/>
      <c r="DE95" s="11"/>
      <c r="DF95" s="11"/>
    </row>
    <row r="96" spans="4:110" ht="15.6" x14ac:dyDescent="0.25">
      <c r="D96" s="10" t="s">
        <v>72</v>
      </c>
      <c r="E96" s="10" t="s">
        <v>17</v>
      </c>
      <c r="F96" s="10" t="s">
        <v>149</v>
      </c>
      <c r="G96" s="10" t="s">
        <v>182</v>
      </c>
      <c r="H96" s="67" t="str">
        <f t="shared" si="2"/>
        <v>Springfield (피합병)</v>
      </c>
      <c r="I96" s="11">
        <f>6944.19062558331/(10^3)</f>
        <v>6.9441906255833104</v>
      </c>
      <c r="J96" s="11">
        <f>6983.83730160891/(10^3)</f>
        <v>6.9838373016089097</v>
      </c>
      <c r="K96" s="11">
        <v>7.2796291618582387</v>
      </c>
      <c r="L96" s="11">
        <f>7403.48735593951/(10^3)</f>
        <v>7.40348735593951</v>
      </c>
      <c r="M96" s="11">
        <f>7680.83500602118/(10^3)</f>
        <v>7.6808350060211801</v>
      </c>
      <c r="N96" s="11">
        <f>7848.53806843652/(10^3)</f>
        <v>7.84853806843652</v>
      </c>
      <c r="O96" s="11">
        <f>8183.06359147387/(10^3)</f>
        <v>8.1830635914738696</v>
      </c>
      <c r="P96" s="11">
        <f>8279.67367666064/(10^3)</f>
        <v>8.2796736766606394</v>
      </c>
      <c r="Q96" s="11">
        <v>8.4602774239600347</v>
      </c>
      <c r="R96" s="11">
        <f>8486.7516688121/(10^3)</f>
        <v>8.486751668812099</v>
      </c>
      <c r="S96" s="11">
        <f>8760.95165315629/(10^3)</f>
        <v>8.7609516531562903</v>
      </c>
      <c r="T96" s="11">
        <f>8705.62728968537/(10^3)</f>
        <v>8.7056272896853706</v>
      </c>
      <c r="U96" s="11">
        <f>8936.85498684782/(10^3)</f>
        <v>8.9368549868478198</v>
      </c>
      <c r="V96" s="11">
        <f>9040.84654369707/(10^3)</f>
        <v>9.0408465436970697</v>
      </c>
      <c r="W96" s="11">
        <v>8.9710943894570772</v>
      </c>
      <c r="X96" s="11">
        <f>9123.28092434782/(10^3)</f>
        <v>9.1232809243478208</v>
      </c>
      <c r="Y96" s="11">
        <f>9170.44794168368/(10^3)</f>
        <v>9.1704479416836797</v>
      </c>
      <c r="Z96" s="11">
        <f>9212.82218655618/(10^3)</f>
        <v>9.2128221865561812</v>
      </c>
      <c r="AA96" s="11">
        <f>9436.91557051731/(10^3)</f>
        <v>9.4369155705173107</v>
      </c>
      <c r="AB96" s="11">
        <f>9350.12391133897/(10^3)</f>
        <v>9.3501239113389687</v>
      </c>
      <c r="AC96" s="11">
        <v>9.2587286169858558</v>
      </c>
      <c r="AD96" s="11">
        <f>9195.75594855844/(10^3)</f>
        <v>9.1957559485584408</v>
      </c>
      <c r="AE96" s="11">
        <f>9117.34176635708/(10^3)</f>
        <v>9.1173417663570806</v>
      </c>
      <c r="AF96" s="11">
        <f>9091.40185117231/(10^3)</f>
        <v>9.0914018511723089</v>
      </c>
      <c r="AG96" s="11">
        <f>9306.62737320655/(10^3)</f>
        <v>9.306627373206549</v>
      </c>
      <c r="AH96" s="11">
        <f>9515.46529545901/(10^3)</f>
        <v>9.5154652954590091</v>
      </c>
      <c r="AI96" s="11">
        <v>9.5267730197043221</v>
      </c>
      <c r="AJ96" s="11">
        <f>9535.54351278925/(10^3)</f>
        <v>9.5355435127892498</v>
      </c>
      <c r="AK96" s="11">
        <f>9853.83561644405/(10^3)</f>
        <v>9.8538356164440497</v>
      </c>
      <c r="AL96" s="11">
        <f>9942.99267734835/(10^3)</f>
        <v>9.9429926773483501</v>
      </c>
      <c r="AM96" s="11">
        <f>10071.3808086214/(10^3)</f>
        <v>10.071380808621399</v>
      </c>
      <c r="AN96" s="11">
        <f>10006.1997480303/(10^3)</f>
        <v>10.0061997480303</v>
      </c>
      <c r="AO96" s="11">
        <v>9.819839664262382</v>
      </c>
      <c r="AP96" s="11">
        <f>9962.67406744538/(10^3)</f>
        <v>9.9626740674453789</v>
      </c>
      <c r="AQ96" s="11">
        <f>10289.4243098658/(10^3)</f>
        <v>10.289424309865801</v>
      </c>
      <c r="AR96" s="11">
        <f>10289.3544982147/(10^3)</f>
        <v>10.289354498214699</v>
      </c>
      <c r="AS96" s="11">
        <f>10269.3880708426/(10^3)</f>
        <v>10.2693880708426</v>
      </c>
      <c r="AT96" s="11">
        <f>10089.7720477381/(10^3)</f>
        <v>10.089772047738101</v>
      </c>
      <c r="AU96" s="11">
        <v>9.970603371494672</v>
      </c>
      <c r="AV96" s="11">
        <f>9811.78931375426/(10^3)</f>
        <v>9.8117893137542591</v>
      </c>
      <c r="AW96" s="11">
        <f>10014.9638843147/(10^3)</f>
        <v>10.0149638843147</v>
      </c>
      <c r="AX96" s="11">
        <f>10024.4841677014/(10^3)</f>
        <v>10.024484167701399</v>
      </c>
      <c r="AY96" s="11">
        <f>9905.4286749456/(10^3)</f>
        <v>9.9054286749456004</v>
      </c>
      <c r="AZ96" s="11">
        <f>9768.09251655207/(10^3)</f>
        <v>9.7680925165520698</v>
      </c>
      <c r="BA96" s="11">
        <v>10.002531391164213</v>
      </c>
      <c r="BB96" s="11">
        <f>10194.2302911051/(10^3)</f>
        <v>10.194230291105098</v>
      </c>
      <c r="BC96" s="11">
        <f>10431.8516750939/(10^3)</f>
        <v>10.431851675093899</v>
      </c>
      <c r="BD96" s="11">
        <f>10356.8888487635/(10^3)</f>
        <v>10.3568888487635</v>
      </c>
      <c r="BE96" s="11">
        <f>10235.0955109622/(10^3)</f>
        <v>10.2350955109622</v>
      </c>
      <c r="BF96" s="11">
        <f>10432.3920662554/(10^3)</f>
        <v>10.432392066255399</v>
      </c>
      <c r="BG96" s="11">
        <v>10.521556489768839</v>
      </c>
      <c r="BH96" s="11">
        <f>10816.3811117395/(10^3)</f>
        <v>10.816381111739499</v>
      </c>
      <c r="BI96" s="11">
        <f>10919.8692691132/(10^3)</f>
        <v>10.9198692691132</v>
      </c>
      <c r="BJ96" s="11">
        <f>10890.2699134745/(10^3)</f>
        <v>10.8902699134745</v>
      </c>
      <c r="BK96" s="11">
        <f>10921.6493550373/(10^3)</f>
        <v>10.9216493550373</v>
      </c>
      <c r="BL96" s="11">
        <f>11289.7389544616/(10^3)</f>
        <v>11.289738954461599</v>
      </c>
      <c r="BM96" s="11">
        <v>11.267482117043146</v>
      </c>
      <c r="BN96" s="11">
        <f>11221.5856612643/(10^3)</f>
        <v>11.221585661264299</v>
      </c>
      <c r="BO96" s="11">
        <f>11155.7259786642/(10^3)</f>
        <v>11.155725978664201</v>
      </c>
      <c r="BP96" s="11">
        <f>11480.611521058/(10^3)</f>
        <v>11.480611521058</v>
      </c>
      <c r="BQ96" s="11">
        <f>12025.3102866443/(10^3)</f>
        <v>12.0253102866443</v>
      </c>
      <c r="BR96" s="11">
        <f>12625.6023573709/(10^3)</f>
        <v>12.625602357370902</v>
      </c>
      <c r="BS96" s="11">
        <v>13.031922475698778</v>
      </c>
      <c r="BT96" s="11">
        <f>13567.37106599/(10^3)</f>
        <v>13.567371065990001</v>
      </c>
      <c r="BU96" s="11">
        <f>14179.6710856849/(10^3)</f>
        <v>14.1796710856849</v>
      </c>
      <c r="BV96" s="11">
        <f>14511.9804941683/(10^3)</f>
        <v>14.5119804941683</v>
      </c>
      <c r="BW96" s="11">
        <f>14805.9267134382/(10^3)</f>
        <v>14.8059267134382</v>
      </c>
      <c r="BX96" s="11">
        <f>14911.5099733417/(10^3)</f>
        <v>14.911509973341699</v>
      </c>
      <c r="BY96" s="11">
        <v>15.101271230762128</v>
      </c>
      <c r="BZ96" s="11">
        <f>15101.2712307621/(10^3)</f>
        <v>15.1012712307621</v>
      </c>
      <c r="CA96" s="11">
        <f>14888.381546597/(10^3)</f>
        <v>14.888381546597</v>
      </c>
      <c r="CB96" s="11">
        <f>14796.2504511827/(10^3)</f>
        <v>14.796250451182699</v>
      </c>
      <c r="CC96" s="12"/>
      <c r="DD96" s="11"/>
      <c r="DE96" s="11"/>
      <c r="DF96" s="11"/>
    </row>
    <row r="97" spans="4:110" ht="15.6" x14ac:dyDescent="0.25">
      <c r="D97" s="10" t="s">
        <v>73</v>
      </c>
      <c r="E97" s="10" t="s">
        <v>35</v>
      </c>
      <c r="F97" s="10" t="s">
        <v>150</v>
      </c>
      <c r="G97" s="10" t="s">
        <v>182</v>
      </c>
      <c r="H97" s="67" t="str">
        <f t="shared" si="2"/>
        <v>Tallahassee (피합병)</v>
      </c>
      <c r="I97" s="11">
        <f>8688.81946999025/(10^3)</f>
        <v>8.6888194699902499</v>
      </c>
      <c r="J97" s="11">
        <f>9028.65069938765/(10^3)</f>
        <v>9.0286506993876507</v>
      </c>
      <c r="K97" s="11">
        <v>9.3998173614103688</v>
      </c>
      <c r="L97" s="11">
        <f>9225.63375464388/(10^3)</f>
        <v>9.22563375464388</v>
      </c>
      <c r="M97" s="11">
        <f>9645.05319741976/(10^3)</f>
        <v>9.6450531974197595</v>
      </c>
      <c r="N97" s="11">
        <f>9740.27154602362/(10^3)</f>
        <v>9.7402715460236191</v>
      </c>
      <c r="O97" s="11">
        <f>9694.66578639438/(10^3)</f>
        <v>9.6946657863943795</v>
      </c>
      <c r="P97" s="11">
        <f>9515.53309921901/(10^3)</f>
        <v>9.5155330992190095</v>
      </c>
      <c r="Q97" s="11">
        <v>9.4064695987875204</v>
      </c>
      <c r="R97" s="11">
        <f>9835.35511910253/(10^3)</f>
        <v>9.8353551191025304</v>
      </c>
      <c r="S97" s="11">
        <f>10208.3736287714/(10^3)</f>
        <v>10.208373628771399</v>
      </c>
      <c r="T97" s="11">
        <f>10490.006525638/(10^3)</f>
        <v>10.490006525638</v>
      </c>
      <c r="U97" s="11">
        <f>10368.2288195963/(10^3)</f>
        <v>10.368228819596299</v>
      </c>
      <c r="V97" s="11">
        <f>10188.2229583122/(10^3)</f>
        <v>10.188222958312201</v>
      </c>
      <c r="W97" s="11">
        <v>10.168364850317451</v>
      </c>
      <c r="X97" s="11">
        <f>10159.0428556499/(10^3)</f>
        <v>10.159042855649899</v>
      </c>
      <c r="Y97" s="11">
        <f>10458.6202066788/(10^3)</f>
        <v>10.458620206678798</v>
      </c>
      <c r="Z97" s="11">
        <f>10260.8966040126/(10^3)</f>
        <v>10.260896604012599</v>
      </c>
      <c r="AA97" s="11">
        <f>10665.421809941/(10^3)</f>
        <v>10.665421809941002</v>
      </c>
      <c r="AB97" s="11">
        <f>10926.5062367338/(10^3)</f>
        <v>10.9265062367338</v>
      </c>
      <c r="AC97" s="11">
        <v>10.999863561345377</v>
      </c>
      <c r="AD97" s="11">
        <f>10942.1539195725/(10^3)</f>
        <v>10.942153919572499</v>
      </c>
      <c r="AE97" s="11">
        <f>10925.310040513/(10^3)</f>
        <v>10.925310040513001</v>
      </c>
      <c r="AF97" s="11">
        <f>11082.4163101237/(10^3)</f>
        <v>11.082416310123701</v>
      </c>
      <c r="AG97" s="11">
        <f>11043.9888856037/(10^3)</f>
        <v>11.043988885603699</v>
      </c>
      <c r="AH97" s="11">
        <f>11544.36599243/(10^3)</f>
        <v>11.544365992429999</v>
      </c>
      <c r="AI97" s="11">
        <v>11.715180074617647</v>
      </c>
      <c r="AJ97" s="11">
        <f>11685.3925675372/(10^3)</f>
        <v>11.6853925675372</v>
      </c>
      <c r="AK97" s="11">
        <f>11529.4518105735/(10^3)</f>
        <v>11.5294518105735</v>
      </c>
      <c r="AL97" s="11">
        <f>11312.2233493369/(10^3)</f>
        <v>11.3122233493369</v>
      </c>
      <c r="AM97" s="11">
        <f>11290.7903901428/(10^3)</f>
        <v>11.290790390142799</v>
      </c>
      <c r="AN97" s="11">
        <f>11193.7138121674/(10^3)</f>
        <v>11.193713812167399</v>
      </c>
      <c r="AO97" s="11">
        <v>11.092895485611624</v>
      </c>
      <c r="AP97" s="11">
        <f>11288.9819662968/(10^3)</f>
        <v>11.288981966296801</v>
      </c>
      <c r="AQ97" s="11">
        <f>11592.4688990142/(10^3)</f>
        <v>11.5924688990142</v>
      </c>
      <c r="AR97" s="11">
        <f>11397.8577408745/(10^3)</f>
        <v>11.3978577408745</v>
      </c>
      <c r="AS97" s="11">
        <f>11194.6672972655/(10^3)</f>
        <v>11.1946672972655</v>
      </c>
      <c r="AT97" s="11">
        <f>11180.6238026182/(10^3)</f>
        <v>11.1806238026182</v>
      </c>
      <c r="AU97" s="11">
        <v>11.151604493007872</v>
      </c>
      <c r="AV97" s="11">
        <f>10974.9060301615/(10^3)</f>
        <v>10.974906030161501</v>
      </c>
      <c r="AW97" s="11">
        <f>10918.7598815534/(10^3)</f>
        <v>10.918759881553401</v>
      </c>
      <c r="AX97" s="11">
        <f>11088.1119915312/(10^3)</f>
        <v>11.0881119915312</v>
      </c>
      <c r="AY97" s="11">
        <f>10956.3158362324/(10^3)</f>
        <v>10.956315836232399</v>
      </c>
      <c r="AZ97" s="11">
        <f>10979.7849389882/(10^3)</f>
        <v>10.9797849389882</v>
      </c>
      <c r="BA97" s="11">
        <v>11.427310662208214</v>
      </c>
      <c r="BB97" s="11">
        <f>11209.2518571158/(10^3)</f>
        <v>11.209251857115801</v>
      </c>
      <c r="BC97" s="11">
        <f>11658.097349242/(10^3)</f>
        <v>11.658097349242</v>
      </c>
      <c r="BD97" s="11">
        <f>12148.92763433/(10^3)</f>
        <v>12.148927634330001</v>
      </c>
      <c r="BE97" s="11">
        <f>12025.4028393011/(10^3)</f>
        <v>12.025402839301099</v>
      </c>
      <c r="BF97" s="11">
        <f>12385.7066113467/(10^3)</f>
        <v>12.3857066113467</v>
      </c>
      <c r="BG97" s="11">
        <v>12.906342950490343</v>
      </c>
      <c r="BH97" s="11">
        <f>13193.0104260478/(10^3)</f>
        <v>13.193010426047801</v>
      </c>
      <c r="BI97" s="11">
        <f>13510.470994727/(10^3)</f>
        <v>13.510470994727001</v>
      </c>
      <c r="BJ97" s="11">
        <f>13968.8996781228/(10^3)</f>
        <v>13.968899678122799</v>
      </c>
      <c r="BK97" s="11">
        <f>14482.4936283924/(10^3)</f>
        <v>14.482493628392399</v>
      </c>
      <c r="BL97" s="11">
        <f>14823.9816784299/(10^3)</f>
        <v>14.823981678429901</v>
      </c>
      <c r="BM97" s="11">
        <v>14.649668904474636</v>
      </c>
      <c r="BN97" s="11">
        <f>15277.5076603612/(10^3)</f>
        <v>15.2775076603612</v>
      </c>
      <c r="BO97" s="11">
        <f>15225.032059406/(10^3)</f>
        <v>15.225032059405999</v>
      </c>
      <c r="BP97" s="11">
        <f>15916.1871596958/(10^3)</f>
        <v>15.9161871596958</v>
      </c>
      <c r="BQ97" s="11">
        <f>15888.1486335077/(10^3)</f>
        <v>15.888148633507701</v>
      </c>
      <c r="BR97" s="11">
        <f>16506.5827890539/(10^3)</f>
        <v>16.506582789053901</v>
      </c>
      <c r="BS97" s="11">
        <v>17.055597946320805</v>
      </c>
      <c r="BT97" s="11">
        <f>17717.2496433178/(10^3)</f>
        <v>17.7172496433178</v>
      </c>
      <c r="BU97" s="11">
        <f>17513.6368660129/(10^3)</f>
        <v>17.513636866012902</v>
      </c>
      <c r="BV97" s="11">
        <f>17253.2255660639/(10^3)</f>
        <v>17.253225566063897</v>
      </c>
      <c r="BW97" s="11">
        <f>17871.1084291728/(10^3)</f>
        <v>17.8711084291728</v>
      </c>
      <c r="BX97" s="11">
        <f>18180.8647820194/(10^3)</f>
        <v>18.180864782019398</v>
      </c>
      <c r="BY97" s="11">
        <v>18.598588948874614</v>
      </c>
      <c r="BZ97" s="11">
        <f>18598.5889488746/(10^3)</f>
        <v>18.5985889488746</v>
      </c>
      <c r="CA97" s="11">
        <f>19006.1392383119/(10^3)</f>
        <v>19.006139238311899</v>
      </c>
      <c r="CB97" s="11">
        <f>18815.2698468724/(10^3)</f>
        <v>18.8152698468724</v>
      </c>
      <c r="CC97" s="12"/>
      <c r="DD97" s="11"/>
      <c r="DE97" s="11"/>
      <c r="DF97" s="11"/>
    </row>
    <row r="98" spans="4:110" ht="15.6" x14ac:dyDescent="0.25">
      <c r="D98" s="10" t="s">
        <v>74</v>
      </c>
      <c r="E98" s="10" t="s">
        <v>51</v>
      </c>
      <c r="F98" s="10" t="s">
        <v>149</v>
      </c>
      <c r="G98" s="10" t="s">
        <v>182</v>
      </c>
      <c r="H98" s="67" t="str">
        <f t="shared" si="2"/>
        <v>Topeka (피합병)</v>
      </c>
      <c r="I98" s="11">
        <f>10524.4496055219/(10^3)</f>
        <v>10.5244496055219</v>
      </c>
      <c r="J98" s="11">
        <f>10421.0285415127/(10^3)</f>
        <v>10.421028541512699</v>
      </c>
      <c r="K98" s="11">
        <v>10.300510226868608</v>
      </c>
      <c r="L98" s="11">
        <f>10800.6615544062/(10^3)</f>
        <v>10.800661554406201</v>
      </c>
      <c r="M98" s="11">
        <f>10999.4904890828/(10^3)</f>
        <v>10.999490489082801</v>
      </c>
      <c r="N98" s="11">
        <f>10876.6203243093/(10^3)</f>
        <v>10.8766203243093</v>
      </c>
      <c r="O98" s="11">
        <f>11218.6239198425/(10^3)</f>
        <v>11.2186239198425</v>
      </c>
      <c r="P98" s="11">
        <f>11714.990100499/(10^3)</f>
        <v>11.714990100499001</v>
      </c>
      <c r="Q98" s="11">
        <v>11.775512338226475</v>
      </c>
      <c r="R98" s="11">
        <f>11678.5819514853/(10^3)</f>
        <v>11.678581951485299</v>
      </c>
      <c r="S98" s="11">
        <f>11761.0540251224/(10^3)</f>
        <v>11.7610540251224</v>
      </c>
      <c r="T98" s="11">
        <f>11729.5374773553/(10^3)</f>
        <v>11.729537477355299</v>
      </c>
      <c r="U98" s="11">
        <f>11590.9528872912/(10^3)</f>
        <v>11.5909528872912</v>
      </c>
      <c r="V98" s="11">
        <f>11789.2507913111/(10^3)</f>
        <v>11.789250791311101</v>
      </c>
      <c r="W98" s="11">
        <v>12.053472249775352</v>
      </c>
      <c r="X98" s="11">
        <f>11901.1206239427/(10^3)</f>
        <v>11.901120623942699</v>
      </c>
      <c r="Y98" s="11">
        <f>11741.8930625595/(10^3)</f>
        <v>11.7418930625595</v>
      </c>
      <c r="Z98" s="11">
        <f>11590.0196629995/(10^3)</f>
        <v>11.5900196629995</v>
      </c>
      <c r="AA98" s="11">
        <f>11992.2036572061/(10^3)</f>
        <v>11.992203657206101</v>
      </c>
      <c r="AB98" s="11">
        <f>11866.6001234269/(10^3)</f>
        <v>11.866600123426901</v>
      </c>
      <c r="AC98" s="11">
        <v>11.852936741480313</v>
      </c>
      <c r="AD98" s="11">
        <f>11694.4830165325/(10^3)</f>
        <v>11.6944830165325</v>
      </c>
      <c r="AE98" s="11">
        <f>11624.8994716265/(10^3)</f>
        <v>11.624899471626501</v>
      </c>
      <c r="AF98" s="11">
        <f>11831.8980677206/(10^3)</f>
        <v>11.8318980677206</v>
      </c>
      <c r="AG98" s="11">
        <f>12000.7543223409/(10^3)</f>
        <v>12.000754322340899</v>
      </c>
      <c r="AH98" s="11">
        <f>12352.760362509/(10^3)</f>
        <v>12.352760362508999</v>
      </c>
      <c r="AI98" s="11">
        <v>12.123262427633302</v>
      </c>
      <c r="AJ98" s="11">
        <f>12624.3342464296/(10^3)</f>
        <v>12.6243342464296</v>
      </c>
      <c r="AK98" s="11">
        <f>12530.7055045576/(10^3)</f>
        <v>12.5307055045576</v>
      </c>
      <c r="AL98" s="11">
        <f>12476.9707838606/(10^3)</f>
        <v>12.476970783860599</v>
      </c>
      <c r="AM98" s="11">
        <f>12279.3505593374/(10^3)</f>
        <v>12.279350559337399</v>
      </c>
      <c r="AN98" s="11">
        <f>12062.6890861986/(10^3)</f>
        <v>12.062689086198599</v>
      </c>
      <c r="AO98" s="11">
        <v>12.310077483580365</v>
      </c>
      <c r="AP98" s="11">
        <f>12171.2856827295/(10^3)</f>
        <v>12.171285682729501</v>
      </c>
      <c r="AQ98" s="11">
        <f>12143.0661218949/(10^3)</f>
        <v>12.143066121894901</v>
      </c>
      <c r="AR98" s="11">
        <f>12088.3471302959/(10^3)</f>
        <v>12.088347130295901</v>
      </c>
      <c r="AS98" s="11">
        <f>12544.5125562701/(10^3)</f>
        <v>12.544512556270099</v>
      </c>
      <c r="AT98" s="11">
        <f>12601.7641319921/(10^3)</f>
        <v>12.6017641319921</v>
      </c>
      <c r="AU98" s="11">
        <v>12.366284925669355</v>
      </c>
      <c r="AV98" s="11">
        <f>12398.8269327136/(10^3)</f>
        <v>12.3988269327136</v>
      </c>
      <c r="AW98" s="11">
        <f>12909.7861614777/(10^3)</f>
        <v>12.909786161477699</v>
      </c>
      <c r="AX98" s="11">
        <f>13141.7937654752/(10^3)</f>
        <v>13.141793765475201</v>
      </c>
      <c r="AY98" s="11">
        <f>13066.4628305265/(10^3)</f>
        <v>13.0664628305265</v>
      </c>
      <c r="AZ98" s="11">
        <f>13073.1850097224/(10^3)</f>
        <v>13.073185009722399</v>
      </c>
      <c r="BA98" s="11">
        <v>13.701641536048768</v>
      </c>
      <c r="BB98" s="11">
        <f>13847.7069205024/(10^3)</f>
        <v>13.8477069205024</v>
      </c>
      <c r="BC98" s="11">
        <f>13788.6264997499/(10^3)</f>
        <v>13.788626499749901</v>
      </c>
      <c r="BD98" s="11">
        <f>13702.6897332531/(10^3)</f>
        <v>13.7026897332531</v>
      </c>
      <c r="BE98" s="11">
        <f>13915.8380141628/(10^3)</f>
        <v>13.9158380141628</v>
      </c>
      <c r="BF98" s="11">
        <f>14245.0733184174/(10^3)</f>
        <v>14.245073318417401</v>
      </c>
      <c r="BG98" s="11">
        <v>14.063324340664691</v>
      </c>
      <c r="BH98" s="11">
        <f>14706.4813480703/(10^3)</f>
        <v>14.7064813480703</v>
      </c>
      <c r="BI98" s="11">
        <f>14574.7914644977/(10^3)</f>
        <v>14.5747914644977</v>
      </c>
      <c r="BJ98" s="11">
        <f>14719.4426398654/(10^3)</f>
        <v>14.719442639865399</v>
      </c>
      <c r="BK98" s="11">
        <f>14749.4193259491/(10^3)</f>
        <v>14.7494193259491</v>
      </c>
      <c r="BL98" s="11">
        <f>14579.3047393934/(10^3)</f>
        <v>14.579304739393399</v>
      </c>
      <c r="BM98" s="11">
        <v>14.961232749190341</v>
      </c>
      <c r="BN98" s="11">
        <f>14728.060491657/(10^3)</f>
        <v>14.728060491656999</v>
      </c>
      <c r="BO98" s="11">
        <f>15218.7598913301/(10^3)</f>
        <v>15.218759891330102</v>
      </c>
      <c r="BP98" s="11">
        <f>15754.1812321908/(10^3)</f>
        <v>15.754181232190801</v>
      </c>
      <c r="BQ98" s="11">
        <f>15471.5731765578/(10^3)</f>
        <v>15.471573176557801</v>
      </c>
      <c r="BR98" s="11">
        <f>15232.642542699/(10^3)</f>
        <v>15.232642542699001</v>
      </c>
      <c r="BS98" s="11">
        <v>15.652431595214598</v>
      </c>
      <c r="BT98" s="11">
        <f>15884.6031085491/(10^3)</f>
        <v>15.884603108549099</v>
      </c>
      <c r="BU98" s="11">
        <f>16351.8006044733/(10^3)</f>
        <v>16.351800604473301</v>
      </c>
      <c r="BV98" s="11">
        <f>16106.7102859018/(10^3)</f>
        <v>16.106710285901798</v>
      </c>
      <c r="BW98" s="11">
        <f>16111.9965531136/(10^3)</f>
        <v>16.111996553113599</v>
      </c>
      <c r="BX98" s="11">
        <f>16791.0449169443/(10^3)</f>
        <v>16.791044916944301</v>
      </c>
      <c r="BY98" s="11">
        <v>16.626017208234597</v>
      </c>
      <c r="BZ98" s="11">
        <f>16626.0172082346/(10^3)</f>
        <v>16.6260172082346</v>
      </c>
      <c r="CA98" s="11">
        <f>16980.0038746454/(10^3)</f>
        <v>16.980003874645401</v>
      </c>
      <c r="CB98" s="11">
        <f>16910.7966516551/(10^3)</f>
        <v>16.910796651655097</v>
      </c>
      <c r="CC98" s="12"/>
      <c r="DD98" s="11"/>
      <c r="DE98" s="11"/>
      <c r="DF98" s="11"/>
    </row>
    <row r="99" spans="4:110" ht="15.6" x14ac:dyDescent="0.25">
      <c r="D99" s="10" t="s">
        <v>75</v>
      </c>
      <c r="E99" s="10" t="s">
        <v>64</v>
      </c>
      <c r="F99" s="10" t="s">
        <v>150</v>
      </c>
      <c r="G99" s="10" t="s">
        <v>182</v>
      </c>
      <c r="H99" s="67" t="str">
        <f t="shared" si="2"/>
        <v>Tulsa (피합병)</v>
      </c>
      <c r="I99" s="11">
        <f>12740.1306101033/(10^3)</f>
        <v>12.7401306101033</v>
      </c>
      <c r="J99" s="11">
        <f>13211.0914240469/(10^3)</f>
        <v>13.211091424046899</v>
      </c>
      <c r="K99" s="11">
        <v>13.834415140674267</v>
      </c>
      <c r="L99" s="11">
        <f>13863.6053377674/(10^3)</f>
        <v>13.8636053377674</v>
      </c>
      <c r="M99" s="11">
        <f>13923.7848207156/(10^3)</f>
        <v>13.9237848207156</v>
      </c>
      <c r="N99" s="11">
        <f>14378.5476290047/(10^3)</f>
        <v>14.3785476290047</v>
      </c>
      <c r="O99" s="11">
        <f>15006.9355732574/(10^3)</f>
        <v>15.006935573257401</v>
      </c>
      <c r="P99" s="11">
        <f>15234.9758233269/(10^3)</f>
        <v>15.2349758233269</v>
      </c>
      <c r="Q99" s="11">
        <v>15.283033332559315</v>
      </c>
      <c r="R99" s="11">
        <f>15028.2093092594/(10^3)</f>
        <v>15.028209309259401</v>
      </c>
      <c r="S99" s="11">
        <f>15147.4172709658/(10^3)</f>
        <v>15.1474172709658</v>
      </c>
      <c r="T99" s="11">
        <f>15552.5221616251/(10^3)</f>
        <v>15.552522161625101</v>
      </c>
      <c r="U99" s="11">
        <f>15524.4411967103/(10^3)</f>
        <v>15.524441196710301</v>
      </c>
      <c r="V99" s="11">
        <f>15316.5626593437/(10^3)</f>
        <v>15.316562659343699</v>
      </c>
      <c r="W99" s="11">
        <v>15.01708354784865</v>
      </c>
      <c r="X99" s="11">
        <f>15137.9233020875/(10^3)</f>
        <v>15.137923302087501</v>
      </c>
      <c r="Y99" s="11">
        <f>15822.7243889652/(10^3)</f>
        <v>15.822724388965201</v>
      </c>
      <c r="Z99" s="11">
        <f>15664.462390518/(10^3)</f>
        <v>15.664462390518</v>
      </c>
      <c r="AA99" s="11">
        <f>15543.3743617127/(10^3)</f>
        <v>15.543374361712701</v>
      </c>
      <c r="AB99" s="11">
        <f>15664.9262005519/(10^3)</f>
        <v>15.6649262005519</v>
      </c>
      <c r="AC99" s="11">
        <v>15.533707586872668</v>
      </c>
      <c r="AD99" s="11">
        <f>16129.259372237/(10^3)</f>
        <v>16.129259372237001</v>
      </c>
      <c r="AE99" s="11">
        <f>16547.3110285606/(10^3)</f>
        <v>16.547311028560603</v>
      </c>
      <c r="AF99" s="11">
        <f>16301.7027495551/(10^3)</f>
        <v>16.301702749555098</v>
      </c>
      <c r="AG99" s="11">
        <f>16096.0886765805/(10^3)</f>
        <v>16.0960886765805</v>
      </c>
      <c r="AH99" s="11">
        <f>16629.0898189564/(10^3)</f>
        <v>16.629089818956398</v>
      </c>
      <c r="AI99" s="11">
        <v>16.625365794354366</v>
      </c>
      <c r="AJ99" s="11">
        <f>16425.2812164493/(10^3)</f>
        <v>16.425281216449299</v>
      </c>
      <c r="AK99" s="11">
        <f>16282.0202703876/(10^3)</f>
        <v>16.282020270387601</v>
      </c>
      <c r="AL99" s="11">
        <f>16067.7789292655/(10^3)</f>
        <v>16.067778929265501</v>
      </c>
      <c r="AM99" s="11">
        <f>16014.7287694988/(10^3)</f>
        <v>16.014728769498802</v>
      </c>
      <c r="AN99" s="11">
        <f>16233.2793274897/(10^3)</f>
        <v>16.233279327489701</v>
      </c>
      <c r="AO99" s="11">
        <v>16.221724143611361</v>
      </c>
      <c r="AP99" s="11">
        <f>16608.9636751436/(10^3)</f>
        <v>16.608963675143603</v>
      </c>
      <c r="AQ99" s="11">
        <f>16281.6627212523/(10^3)</f>
        <v>16.2816627212523</v>
      </c>
      <c r="AR99" s="11">
        <f>16226.4378683772/(10^3)</f>
        <v>16.2264378683772</v>
      </c>
      <c r="AS99" s="11">
        <f>16233.5499309728/(10^3)</f>
        <v>16.233549930972799</v>
      </c>
      <c r="AT99" s="11">
        <f>16222.4748617402/(10^3)</f>
        <v>16.222474861740199</v>
      </c>
      <c r="AU99" s="11">
        <v>17.028973093196299</v>
      </c>
      <c r="AV99" s="11">
        <f>17086.9774741798/(10^3)</f>
        <v>17.0869774741798</v>
      </c>
      <c r="AW99" s="11">
        <f>16839.9567788688/(10^3)</f>
        <v>16.8399567788688</v>
      </c>
      <c r="AX99" s="11">
        <f>17056.7797806988/(10^3)</f>
        <v>17.056779780698797</v>
      </c>
      <c r="AY99" s="11">
        <f>17171.0286902099/(10^3)</f>
        <v>17.171028690209901</v>
      </c>
      <c r="AZ99" s="11">
        <f>17390.3694015692/(10^3)</f>
        <v>17.390369401569203</v>
      </c>
      <c r="BA99" s="11">
        <v>17.860437519471088</v>
      </c>
      <c r="BB99" s="11">
        <f>17843.6907212116/(10^3)</f>
        <v>17.843690721211598</v>
      </c>
      <c r="BC99" s="11">
        <f>18690.9613746195/(10^3)</f>
        <v>18.690961374619498</v>
      </c>
      <c r="BD99" s="11">
        <f>18691.7670940311/(10^3)</f>
        <v>18.6917670940311</v>
      </c>
      <c r="BE99" s="11">
        <f>18549.0688610351/(10^3)</f>
        <v>18.549068861035099</v>
      </c>
      <c r="BF99" s="11">
        <f>18610.7681221973/(10^3)</f>
        <v>18.6107681221973</v>
      </c>
      <c r="BG99" s="11">
        <v>19.272706635413893</v>
      </c>
      <c r="BH99" s="11">
        <f>19999.9971518303/(10^3)</f>
        <v>19.9999971518303</v>
      </c>
      <c r="BI99" s="11">
        <f>19643.1667276899/(10^3)</f>
        <v>19.643166727689898</v>
      </c>
      <c r="BJ99" s="11">
        <f>19663.8311970034/(10^3)</f>
        <v>19.6638311970034</v>
      </c>
      <c r="BK99" s="11">
        <f>19420.115584748/(10^3)</f>
        <v>19.420115584748</v>
      </c>
      <c r="BL99" s="11">
        <f>20315.2157858749/(10^3)</f>
        <v>20.315215785874901</v>
      </c>
      <c r="BM99" s="11">
        <v>21.263061059270498</v>
      </c>
      <c r="BN99" s="11">
        <f>22310.5030483669/(10^3)</f>
        <v>22.3105030483669</v>
      </c>
      <c r="BO99" s="11">
        <f>22460.9998804885/(10^3)</f>
        <v>22.460999880488501</v>
      </c>
      <c r="BP99" s="11">
        <f>22286.6962705473/(10^3)</f>
        <v>22.286696270547303</v>
      </c>
      <c r="BQ99" s="11">
        <f>22911.8281336624/(10^3)</f>
        <v>22.9118281336624</v>
      </c>
      <c r="BR99" s="11">
        <f>23581.4094826985/(10^3)</f>
        <v>23.581409482698497</v>
      </c>
      <c r="BS99" s="11">
        <v>23.820989217443881</v>
      </c>
      <c r="BT99" s="11">
        <f>23908.4347650443/(10^3)</f>
        <v>23.908434765044301</v>
      </c>
      <c r="BU99" s="11">
        <f>24394.0036921418/(10^3)</f>
        <v>24.394003692141801</v>
      </c>
      <c r="BV99" s="11">
        <f>25611.4699019662/(10^3)</f>
        <v>25.611469901966199</v>
      </c>
      <c r="BW99" s="11">
        <f>26053.363228642/(10^3)</f>
        <v>26.053363228641999</v>
      </c>
      <c r="BX99" s="11">
        <f>25868.985163799/(10^3)</f>
        <v>25.868985163799</v>
      </c>
      <c r="BY99" s="11">
        <v>26.307212872853171</v>
      </c>
      <c r="BZ99" s="11">
        <f>26307.2128728532/(10^3)</f>
        <v>26.307212872853199</v>
      </c>
      <c r="CA99" s="11">
        <f>25797.5632799002/(10^3)</f>
        <v>25.797563279900203</v>
      </c>
      <c r="CB99" s="11">
        <f>26513.2646260593/(10^3)</f>
        <v>26.5132646260593</v>
      </c>
      <c r="CC99" s="12"/>
      <c r="DD99" s="11"/>
      <c r="DE99" s="11"/>
      <c r="DF99" s="11"/>
    </row>
    <row r="100" spans="4:110" ht="15.6" x14ac:dyDescent="0.25">
      <c r="D100" s="10" t="s">
        <v>76</v>
      </c>
      <c r="E100" s="10" t="s">
        <v>51</v>
      </c>
      <c r="F100" s="10" t="s">
        <v>149</v>
      </c>
      <c r="G100" s="10" t="s">
        <v>182</v>
      </c>
      <c r="H100" s="67" t="str">
        <f t="shared" si="2"/>
        <v>Wichita (피합병)</v>
      </c>
      <c r="I100" s="11">
        <f>14246.614340886/(10^3)</f>
        <v>14.246614340886001</v>
      </c>
      <c r="J100" s="11">
        <f>14737.0066997465/(10^3)</f>
        <v>14.7370066997465</v>
      </c>
      <c r="K100" s="11">
        <v>15.269905837855816</v>
      </c>
      <c r="L100" s="11">
        <f>15181.5211737506/(10^3)</f>
        <v>15.1815211737506</v>
      </c>
      <c r="M100" s="11">
        <f>15058.6152275359/(10^3)</f>
        <v>15.058615227535899</v>
      </c>
      <c r="N100" s="11">
        <f>15595.2887067571/(10^3)</f>
        <v>15.595288706757099</v>
      </c>
      <c r="O100" s="11">
        <f>15956.6094225096/(10^3)</f>
        <v>15.956609422509601</v>
      </c>
      <c r="P100" s="11">
        <f>16012.0731229858/(10^3)</f>
        <v>16.0120731229858</v>
      </c>
      <c r="Q100" s="11">
        <v>16.43882386008265</v>
      </c>
      <c r="R100" s="11">
        <f>16472.7922540953/(10^3)</f>
        <v>16.4727922540953</v>
      </c>
      <c r="S100" s="11">
        <f>16575.5734392343/(10^3)</f>
        <v>16.575573439234301</v>
      </c>
      <c r="T100" s="11">
        <f>17333.1372371502/(10^3)</f>
        <v>17.333137237150201</v>
      </c>
      <c r="U100" s="11">
        <f>17902.3721255116/(10^3)</f>
        <v>17.902372125511601</v>
      </c>
      <c r="V100" s="11">
        <f>17974.913418019/(10^3)</f>
        <v>17.974913418019</v>
      </c>
      <c r="W100" s="11">
        <v>17.877365965168746</v>
      </c>
      <c r="X100" s="11">
        <f>17749.0023950032/(10^3)</f>
        <v>17.749002395003203</v>
      </c>
      <c r="Y100" s="11">
        <f>17693.4446005718/(10^3)</f>
        <v>17.693444600571798</v>
      </c>
      <c r="Z100" s="11">
        <f>17766.1520235827/(10^3)</f>
        <v>17.766152023582702</v>
      </c>
      <c r="AA100" s="11">
        <f>17648.7387263738/(10^3)</f>
        <v>17.6487387263738</v>
      </c>
      <c r="AB100" s="11">
        <f>17668.6053604078/(10^3)</f>
        <v>17.668605360407799</v>
      </c>
      <c r="AC100" s="11">
        <v>17.599181198394255</v>
      </c>
      <c r="AD100" s="11">
        <f>17753.5224683304/(10^3)</f>
        <v>17.753522468330399</v>
      </c>
      <c r="AE100" s="11">
        <f>17711.6965944459/(10^3)</f>
        <v>17.7116965944459</v>
      </c>
      <c r="AF100" s="11">
        <f>17882.6924520109/(10^3)</f>
        <v>17.8826924520109</v>
      </c>
      <c r="AG100" s="11">
        <f>17940.9217952085/(10^3)</f>
        <v>17.940921795208499</v>
      </c>
      <c r="AH100" s="11">
        <f>17673.7882718039/(10^3)</f>
        <v>17.6737882718039</v>
      </c>
      <c r="AI100" s="11">
        <v>17.988260423978328</v>
      </c>
      <c r="AJ100" s="11">
        <f>18400.029786263/(10^3)</f>
        <v>18.400029786262998</v>
      </c>
      <c r="AK100" s="11">
        <f>19235.1676608631/(10^3)</f>
        <v>19.235167660863098</v>
      </c>
      <c r="AL100" s="11">
        <f>20149.5890610825/(10^3)</f>
        <v>20.149589061082501</v>
      </c>
      <c r="AM100" s="11">
        <f>20313.0525396326/(10^3)</f>
        <v>20.313052539632601</v>
      </c>
      <c r="AN100" s="11">
        <f>19936.0212368367/(10^3)</f>
        <v>19.936021236836698</v>
      </c>
      <c r="AO100" s="11">
        <v>20.299642495777515</v>
      </c>
      <c r="AP100" s="11">
        <f>20075.8154112423/(10^3)</f>
        <v>20.075815411242299</v>
      </c>
      <c r="AQ100" s="11">
        <f>19682.5530038385/(10^3)</f>
        <v>19.6825530038385</v>
      </c>
      <c r="AR100" s="11">
        <f>19839.6038403616/(10^3)</f>
        <v>19.839603840361601</v>
      </c>
      <c r="AS100" s="11">
        <f>20787.2658600072/(10^3)</f>
        <v>20.787265860007199</v>
      </c>
      <c r="AT100" s="11">
        <f>20704.9434133976/(10^3)</f>
        <v>20.704943413397601</v>
      </c>
      <c r="AU100" s="11">
        <v>20.563191351581107</v>
      </c>
      <c r="AV100" s="11">
        <f>20166.3566146012/(10^3)</f>
        <v>20.166356614601202</v>
      </c>
      <c r="AW100" s="11">
        <f>19868.5167599765/(10^3)</f>
        <v>19.868516759976501</v>
      </c>
      <c r="AX100" s="11">
        <f>19963.7420608827/(10^3)</f>
        <v>19.963742060882701</v>
      </c>
      <c r="AY100" s="11">
        <f>20912.509838867/(10^3)</f>
        <v>20.912509838867003</v>
      </c>
      <c r="AZ100" s="11">
        <f>21528.0749009244/(10^3)</f>
        <v>21.528074900924398</v>
      </c>
      <c r="BA100" s="11">
        <v>21.739293085565652</v>
      </c>
      <c r="BB100" s="11">
        <f>21474.8104374624/(10^3)</f>
        <v>21.474810437462402</v>
      </c>
      <c r="BC100" s="11">
        <f>22524.9101409334/(10^3)</f>
        <v>22.5249101409334</v>
      </c>
      <c r="BD100" s="11">
        <f>22462.0949871687/(10^3)</f>
        <v>22.462094987168701</v>
      </c>
      <c r="BE100" s="11">
        <f>23569.9983125371/(10^3)</f>
        <v>23.569998312537098</v>
      </c>
      <c r="BF100" s="11">
        <f>23295.1393618545/(10^3)</f>
        <v>23.295139361854499</v>
      </c>
      <c r="BG100" s="11">
        <v>24.20135687224866</v>
      </c>
      <c r="BH100" s="11">
        <f>25160.145428076/(10^3)</f>
        <v>25.160145428076</v>
      </c>
      <c r="BI100" s="11">
        <f>24698.7783943222/(10^3)</f>
        <v>24.698778394322197</v>
      </c>
      <c r="BJ100" s="11">
        <f>25603.780199393/(10^3)</f>
        <v>25.603780199393</v>
      </c>
      <c r="BK100" s="11">
        <f>25416.3923080726/(10^3)</f>
        <v>25.416392308072602</v>
      </c>
      <c r="BL100" s="11">
        <f>25375.9039258912/(10^3)</f>
        <v>25.375903925891201</v>
      </c>
      <c r="BM100" s="11">
        <v>25.986077748882231</v>
      </c>
      <c r="BN100" s="11">
        <f>27097.7124533716/(10^3)</f>
        <v>27.097712453371603</v>
      </c>
      <c r="BO100" s="11">
        <f>27360.7299819715/(10^3)</f>
        <v>27.360729981971502</v>
      </c>
      <c r="BP100" s="11">
        <f>28507.862335906/(10^3)</f>
        <v>28.507862335906001</v>
      </c>
      <c r="BQ100" s="11">
        <f>28430.4457716954/(10^3)</f>
        <v>28.4304457716954</v>
      </c>
      <c r="BR100" s="11">
        <f>27893.1587653881/(10^3)</f>
        <v>27.893158765388101</v>
      </c>
      <c r="BS100" s="11">
        <v>28.945027355682381</v>
      </c>
      <c r="BT100" s="11">
        <f>29555.9544172705/(10^3)</f>
        <v>29.555954417270499</v>
      </c>
      <c r="BU100" s="11">
        <f>30201.0040939331/(10^3)</f>
        <v>30.201004093933101</v>
      </c>
      <c r="BV100" s="11">
        <f>30400.9502548616/(10^3)</f>
        <v>30.400950254861598</v>
      </c>
      <c r="BW100" s="11">
        <f>30755.9855386441/(10^3)</f>
        <v>30.755985538644101</v>
      </c>
      <c r="BX100" s="11">
        <f>32052.8016483422/(10^3)</f>
        <v>32.052801648342196</v>
      </c>
      <c r="BY100" s="11">
        <v>32.731834793793894</v>
      </c>
      <c r="BZ100" s="11">
        <f>32731.8347937939/(10^3)</f>
        <v>32.731834793793901</v>
      </c>
      <c r="CA100" s="11">
        <f>32516.0663308112/(10^3)</f>
        <v>32.516066330811199</v>
      </c>
      <c r="CB100" s="11">
        <f>32097.9524747106/(10^3)</f>
        <v>32.097952474710603</v>
      </c>
      <c r="CC100" s="12"/>
      <c r="DD100" s="11"/>
      <c r="DE100" s="11"/>
      <c r="DF100" s="11"/>
    </row>
    <row r="101" spans="4:110" ht="14.4" x14ac:dyDescent="0.3">
      <c r="I101" s="11"/>
      <c r="J101" s="15"/>
    </row>
    <row r="102" spans="4:110" ht="14.4" x14ac:dyDescent="0.3">
      <c r="I102" s="11"/>
      <c r="J102" s="15"/>
    </row>
    <row r="103" spans="4:110" ht="14.4" x14ac:dyDescent="0.3">
      <c r="D103" s="16" t="s">
        <v>152</v>
      </c>
      <c r="E103" s="17"/>
      <c r="F103" s="17"/>
      <c r="G103" s="17"/>
      <c r="H103" s="17"/>
      <c r="I103" s="18"/>
      <c r="J103" s="19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</row>
    <row r="104" spans="4:110" ht="14.4" x14ac:dyDescent="0.3">
      <c r="D104" s="4"/>
      <c r="I104" s="11"/>
      <c r="J104" s="15"/>
    </row>
    <row r="105" spans="4:110" x14ac:dyDescent="0.25">
      <c r="D105" s="20"/>
      <c r="CC105" s="6" t="s">
        <v>218</v>
      </c>
    </row>
    <row r="106" spans="4:110" x14ac:dyDescent="0.25">
      <c r="D106" s="4"/>
      <c r="H106" s="9"/>
      <c r="I106" s="9">
        <v>42035</v>
      </c>
      <c r="J106" s="9">
        <v>42063</v>
      </c>
      <c r="K106" s="9">
        <v>42094</v>
      </c>
      <c r="L106" s="9">
        <v>42124</v>
      </c>
      <c r="M106" s="9">
        <v>42155</v>
      </c>
      <c r="N106" s="9">
        <v>42185</v>
      </c>
      <c r="O106" s="9">
        <v>42216</v>
      </c>
      <c r="P106" s="9">
        <v>42247</v>
      </c>
      <c r="Q106" s="9">
        <v>42277</v>
      </c>
      <c r="R106" s="9">
        <v>42308</v>
      </c>
      <c r="S106" s="9">
        <v>42338</v>
      </c>
      <c r="T106" s="9">
        <v>42369</v>
      </c>
      <c r="U106" s="9">
        <v>42400</v>
      </c>
      <c r="V106" s="9">
        <v>42429</v>
      </c>
      <c r="W106" s="9">
        <v>42460</v>
      </c>
      <c r="X106" s="9">
        <v>42490</v>
      </c>
      <c r="Y106" s="9">
        <v>42521</v>
      </c>
      <c r="Z106" s="9">
        <v>42551</v>
      </c>
      <c r="AA106" s="9">
        <v>42582</v>
      </c>
      <c r="AB106" s="9">
        <v>42613</v>
      </c>
      <c r="AC106" s="9">
        <v>42643</v>
      </c>
      <c r="AD106" s="9">
        <v>42674</v>
      </c>
      <c r="AE106" s="9">
        <v>42704</v>
      </c>
      <c r="AF106" s="9">
        <v>42735</v>
      </c>
      <c r="AG106" s="9">
        <v>42766</v>
      </c>
      <c r="AH106" s="9">
        <v>42794</v>
      </c>
      <c r="AI106" s="9">
        <v>42825</v>
      </c>
      <c r="AJ106" s="9">
        <v>42855</v>
      </c>
      <c r="AK106" s="9">
        <v>42886</v>
      </c>
      <c r="AL106" s="9">
        <v>42916</v>
      </c>
      <c r="AM106" s="9">
        <v>42947</v>
      </c>
      <c r="AN106" s="9">
        <v>42978</v>
      </c>
      <c r="AO106" s="9">
        <v>43008</v>
      </c>
      <c r="AP106" s="9">
        <v>43039</v>
      </c>
      <c r="AQ106" s="9">
        <v>43069</v>
      </c>
      <c r="AR106" s="9">
        <v>43100</v>
      </c>
      <c r="AS106" s="9">
        <v>43131</v>
      </c>
      <c r="AT106" s="9">
        <v>43159</v>
      </c>
      <c r="AU106" s="9">
        <v>43190</v>
      </c>
      <c r="AV106" s="9">
        <v>43220</v>
      </c>
      <c r="AW106" s="9">
        <v>43251</v>
      </c>
      <c r="AX106" s="9">
        <v>43281</v>
      </c>
      <c r="AY106" s="9">
        <v>43312</v>
      </c>
      <c r="AZ106" s="9">
        <v>43343</v>
      </c>
      <c r="BA106" s="9">
        <v>43373</v>
      </c>
      <c r="BB106" s="9">
        <v>43404</v>
      </c>
      <c r="BC106" s="9">
        <v>43434</v>
      </c>
      <c r="BD106" s="9">
        <v>43465</v>
      </c>
      <c r="BE106" s="9">
        <v>43496</v>
      </c>
      <c r="BF106" s="9">
        <v>43524</v>
      </c>
      <c r="BG106" s="9">
        <v>43555</v>
      </c>
      <c r="BH106" s="9">
        <v>43585</v>
      </c>
      <c r="BI106" s="9">
        <v>43616</v>
      </c>
      <c r="BJ106" s="9">
        <v>43646</v>
      </c>
      <c r="BK106" s="9">
        <v>43677</v>
      </c>
      <c r="BL106" s="9">
        <v>43708</v>
      </c>
      <c r="BM106" s="9">
        <v>43738</v>
      </c>
      <c r="BN106" s="9">
        <v>43769</v>
      </c>
      <c r="BO106" s="9">
        <v>43799</v>
      </c>
      <c r="BP106" s="9">
        <v>43830</v>
      </c>
      <c r="BQ106" s="9">
        <v>43861</v>
      </c>
      <c r="BR106" s="9">
        <v>43890</v>
      </c>
      <c r="BS106" s="9">
        <v>43921</v>
      </c>
      <c r="BT106" s="9">
        <v>43951</v>
      </c>
      <c r="BU106" s="9">
        <v>43982</v>
      </c>
      <c r="BV106" s="9">
        <v>44012</v>
      </c>
      <c r="BW106" s="9">
        <v>44043</v>
      </c>
      <c r="BX106" s="9">
        <v>44074</v>
      </c>
      <c r="BY106" s="9">
        <v>44104</v>
      </c>
      <c r="BZ106" s="9">
        <v>44135</v>
      </c>
      <c r="CA106" s="9">
        <v>44165</v>
      </c>
      <c r="CB106" s="9">
        <v>44196</v>
      </c>
      <c r="CC106" s="9">
        <f>EOMONTH(CB6,1)</f>
        <v>44227</v>
      </c>
      <c r="CD106" s="9">
        <f t="shared" ref="CD106:CN106" si="3">EOMONTH(CC106,1)</f>
        <v>44255</v>
      </c>
      <c r="CE106" s="9">
        <f t="shared" si="3"/>
        <v>44286</v>
      </c>
      <c r="CF106" s="9">
        <f t="shared" si="3"/>
        <v>44316</v>
      </c>
      <c r="CG106" s="9">
        <f t="shared" si="3"/>
        <v>44347</v>
      </c>
      <c r="CH106" s="9">
        <f t="shared" si="3"/>
        <v>44377</v>
      </c>
      <c r="CI106" s="9">
        <f t="shared" si="3"/>
        <v>44408</v>
      </c>
      <c r="CJ106" s="9">
        <f t="shared" si="3"/>
        <v>44439</v>
      </c>
      <c r="CK106" s="9">
        <f t="shared" si="3"/>
        <v>44469</v>
      </c>
      <c r="CL106" s="9">
        <f t="shared" si="3"/>
        <v>44500</v>
      </c>
      <c r="CM106" s="9">
        <f t="shared" si="3"/>
        <v>44530</v>
      </c>
      <c r="CN106" s="9">
        <f t="shared" si="3"/>
        <v>44561</v>
      </c>
    </row>
    <row r="107" spans="4:110" x14ac:dyDescent="0.25">
      <c r="D107" s="6" t="s">
        <v>153</v>
      </c>
      <c r="H107" s="10" t="s">
        <v>153</v>
      </c>
      <c r="I107" s="68">
        <f t="shared" ref="I107:AN107" si="4">SUM(I7:I100)</f>
        <v>23333.97430479684</v>
      </c>
      <c r="J107" s="68">
        <f t="shared" si="4"/>
        <v>23814.354579571875</v>
      </c>
      <c r="K107" s="68">
        <f t="shared" si="4"/>
        <v>24108.581925957271</v>
      </c>
      <c r="L107" s="68">
        <f t="shared" si="4"/>
        <v>24390.500897697719</v>
      </c>
      <c r="M107" s="68">
        <f t="shared" si="4"/>
        <v>24701.719838839374</v>
      </c>
      <c r="N107" s="68">
        <f t="shared" si="4"/>
        <v>25775.081708877711</v>
      </c>
      <c r="O107" s="68">
        <f t="shared" si="4"/>
        <v>26382.244850996376</v>
      </c>
      <c r="P107" s="68">
        <f t="shared" si="4"/>
        <v>26869.361706436564</v>
      </c>
      <c r="Q107" s="68">
        <f t="shared" si="4"/>
        <v>27448.452616795275</v>
      </c>
      <c r="R107" s="68">
        <f t="shared" si="4"/>
        <v>27648.894852152222</v>
      </c>
      <c r="S107" s="68">
        <f t="shared" si="4"/>
        <v>27315.126679944067</v>
      </c>
      <c r="T107" s="68">
        <f t="shared" si="4"/>
        <v>27054.382074347443</v>
      </c>
      <c r="U107" s="68">
        <f t="shared" si="4"/>
        <v>26760.591373067335</v>
      </c>
      <c r="V107" s="68">
        <f t="shared" si="4"/>
        <v>26801.144124341688</v>
      </c>
      <c r="W107" s="68">
        <f t="shared" si="4"/>
        <v>26761.067500773886</v>
      </c>
      <c r="X107" s="68">
        <f t="shared" si="4"/>
        <v>26931.286786743738</v>
      </c>
      <c r="Y107" s="68">
        <f t="shared" si="4"/>
        <v>27114.305231302853</v>
      </c>
      <c r="Z107" s="68">
        <f t="shared" si="4"/>
        <v>27732.301688411164</v>
      </c>
      <c r="AA107" s="68">
        <f t="shared" si="4"/>
        <v>28111.596975273354</v>
      </c>
      <c r="AB107" s="68">
        <f t="shared" si="4"/>
        <v>28493.838335038075</v>
      </c>
      <c r="AC107" s="68">
        <f t="shared" si="4"/>
        <v>29035.629819855392</v>
      </c>
      <c r="AD107" s="68">
        <f t="shared" si="4"/>
        <v>29388.365320384113</v>
      </c>
      <c r="AE107" s="68">
        <f t="shared" si="4"/>
        <v>29519.685401982217</v>
      </c>
      <c r="AF107" s="68">
        <f t="shared" si="4"/>
        <v>29756.792102474185</v>
      </c>
      <c r="AG107" s="68">
        <f t="shared" si="4"/>
        <v>30019.394729853109</v>
      </c>
      <c r="AH107" s="68">
        <f t="shared" si="4"/>
        <v>30640.318131090262</v>
      </c>
      <c r="AI107" s="68">
        <f t="shared" si="4"/>
        <v>31132.859898929371</v>
      </c>
      <c r="AJ107" s="68">
        <f t="shared" si="4"/>
        <v>31505.641865090267</v>
      </c>
      <c r="AK107" s="68">
        <f t="shared" si="4"/>
        <v>31940.649875825518</v>
      </c>
      <c r="AL107" s="68">
        <f t="shared" si="4"/>
        <v>32450.117142627005</v>
      </c>
      <c r="AM107" s="68">
        <f t="shared" si="4"/>
        <v>32969.261037529286</v>
      </c>
      <c r="AN107" s="68">
        <f t="shared" si="4"/>
        <v>33403.59172331338</v>
      </c>
      <c r="AO107" s="68">
        <f t="shared" ref="AO107:CB107" si="5">SUM(AO7:AO100)</f>
        <v>33938.346493098667</v>
      </c>
      <c r="AP107" s="68">
        <f t="shared" si="5"/>
        <v>34180.471482053079</v>
      </c>
      <c r="AQ107" s="68">
        <f t="shared" si="5"/>
        <v>33360.638780774578</v>
      </c>
      <c r="AR107" s="68">
        <f t="shared" si="5"/>
        <v>32873.930991379115</v>
      </c>
      <c r="AS107" s="68">
        <f t="shared" si="5"/>
        <v>32603.623935047224</v>
      </c>
      <c r="AT107" s="68">
        <f t="shared" si="5"/>
        <v>32504.999540048571</v>
      </c>
      <c r="AU107" s="68">
        <f t="shared" si="5"/>
        <v>32428.346344567908</v>
      </c>
      <c r="AV107" s="68">
        <f t="shared" si="5"/>
        <v>32253.689191356654</v>
      </c>
      <c r="AW107" s="68">
        <f t="shared" si="5"/>
        <v>32341.899871458438</v>
      </c>
      <c r="AX107" s="68">
        <f t="shared" si="5"/>
        <v>32722.5306720673</v>
      </c>
      <c r="AY107" s="68">
        <f t="shared" si="5"/>
        <v>32814.838718434279</v>
      </c>
      <c r="AZ107" s="68">
        <f t="shared" si="5"/>
        <v>32989.320308722214</v>
      </c>
      <c r="BA107" s="68">
        <f t="shared" si="5"/>
        <v>33279.462461895455</v>
      </c>
      <c r="BB107" s="68">
        <f t="shared" si="5"/>
        <v>33648.915506081103</v>
      </c>
      <c r="BC107" s="68">
        <f t="shared" si="5"/>
        <v>33157.665655694946</v>
      </c>
      <c r="BD107" s="68">
        <f t="shared" si="5"/>
        <v>32752.701564662002</v>
      </c>
      <c r="BE107" s="68">
        <f t="shared" si="5"/>
        <v>32631.083804997928</v>
      </c>
      <c r="BF107" s="68">
        <f t="shared" si="5"/>
        <v>33163.201440528675</v>
      </c>
      <c r="BG107" s="68">
        <f t="shared" si="5"/>
        <v>33554.006785358768</v>
      </c>
      <c r="BH107" s="68">
        <f t="shared" si="5"/>
        <v>34219.417852399522</v>
      </c>
      <c r="BI107" s="68">
        <f t="shared" si="5"/>
        <v>34837.823595480717</v>
      </c>
      <c r="BJ107" s="68">
        <f t="shared" si="5"/>
        <v>36114.592365589619</v>
      </c>
      <c r="BK107" s="68">
        <f t="shared" si="5"/>
        <v>36830.588041917064</v>
      </c>
      <c r="BL107" s="68">
        <f t="shared" si="5"/>
        <v>37680.295962500073</v>
      </c>
      <c r="BM107" s="68">
        <f t="shared" si="5"/>
        <v>38654.174430678264</v>
      </c>
      <c r="BN107" s="68">
        <f t="shared" si="5"/>
        <v>39191.081331404013</v>
      </c>
      <c r="BO107" s="68">
        <f t="shared" si="5"/>
        <v>38332.294500828764</v>
      </c>
      <c r="BP107" s="68">
        <f t="shared" si="5"/>
        <v>37989.448287839354</v>
      </c>
      <c r="BQ107" s="68">
        <f t="shared" si="5"/>
        <v>37732.215141150322</v>
      </c>
      <c r="BR107" s="68">
        <f t="shared" si="5"/>
        <v>38053.245095076818</v>
      </c>
      <c r="BS107" s="68">
        <f t="shared" si="5"/>
        <v>38019.966558861095</v>
      </c>
      <c r="BT107" s="68">
        <f t="shared" si="5"/>
        <v>38108.411349682792</v>
      </c>
      <c r="BU107" s="68">
        <f t="shared" si="5"/>
        <v>38383.086687610186</v>
      </c>
      <c r="BV107" s="68">
        <f t="shared" si="5"/>
        <v>39187.838930325968</v>
      </c>
      <c r="BW107" s="68">
        <f t="shared" si="5"/>
        <v>39886.998042867002</v>
      </c>
      <c r="BX107" s="68">
        <f t="shared" si="5"/>
        <v>40526.076538089525</v>
      </c>
      <c r="BY107" s="68">
        <f t="shared" si="5"/>
        <v>41355.157949181921</v>
      </c>
      <c r="BZ107" s="68">
        <f t="shared" si="5"/>
        <v>41612.717240387654</v>
      </c>
      <c r="CA107" s="68">
        <f t="shared" si="5"/>
        <v>40418.614201557888</v>
      </c>
      <c r="CB107" s="68">
        <f t="shared" si="5"/>
        <v>40227.452458665386</v>
      </c>
      <c r="CC107" s="64">
        <f t="shared" ref="CC107:CN107" si="6">+H322</f>
        <v>38186.620013588414</v>
      </c>
      <c r="CD107" s="64">
        <f t="shared" si="6"/>
        <v>38124.884216517319</v>
      </c>
      <c r="CE107" s="64">
        <f t="shared" si="6"/>
        <v>38250.323144000002</v>
      </c>
      <c r="CF107" s="64">
        <f t="shared" si="6"/>
        <v>38393.165104803244</v>
      </c>
      <c r="CG107" s="64">
        <f t="shared" si="6"/>
        <v>38729.784093444672</v>
      </c>
      <c r="CH107" s="64">
        <f t="shared" si="6"/>
        <v>39317.41048522343</v>
      </c>
      <c r="CI107" s="64">
        <f t="shared" si="6"/>
        <v>40341.255064107892</v>
      </c>
      <c r="CJ107" s="64">
        <f t="shared" si="6"/>
        <v>41330.494700359392</v>
      </c>
      <c r="CK107" s="64">
        <f t="shared" si="6"/>
        <v>41621.444911897001</v>
      </c>
      <c r="CL107" s="64">
        <f t="shared" si="6"/>
        <v>41740.386243246088</v>
      </c>
      <c r="CM107" s="64">
        <f t="shared" si="6"/>
        <v>41073.284539005763</v>
      </c>
      <c r="CN107" s="64">
        <f t="shared" si="6"/>
        <v>40600.525823927062</v>
      </c>
    </row>
    <row r="108" spans="4:110" outlineLevel="1" x14ac:dyDescent="0.25">
      <c r="D108" s="6"/>
      <c r="G108" s="11"/>
      <c r="H108" s="6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</row>
    <row r="109" spans="4:110" outlineLevel="1" x14ac:dyDescent="0.25">
      <c r="D109" s="6"/>
      <c r="G109" s="11"/>
      <c r="H109" s="6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</row>
    <row r="110" spans="4:110" outlineLevel="1" x14ac:dyDescent="0.25">
      <c r="D110" s="6"/>
      <c r="G110" s="11"/>
      <c r="H110" s="6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</row>
    <row r="111" spans="4:110" outlineLevel="1" x14ac:dyDescent="0.25">
      <c r="D111" s="6"/>
      <c r="G111" s="11"/>
      <c r="H111" s="6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</row>
    <row r="112" spans="4:110" outlineLevel="1" x14ac:dyDescent="0.25">
      <c r="D112" s="6"/>
      <c r="G112" s="11"/>
      <c r="H112" s="6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</row>
    <row r="113" spans="4:79" outlineLevel="1" x14ac:dyDescent="0.25">
      <c r="D113" s="6"/>
      <c r="G113" s="11"/>
      <c r="H113" s="6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</row>
    <row r="114" spans="4:79" outlineLevel="1" x14ac:dyDescent="0.25">
      <c r="D114" s="6"/>
      <c r="G114" s="11"/>
      <c r="H114" s="6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</row>
    <row r="115" spans="4:79" outlineLevel="1" x14ac:dyDescent="0.25">
      <c r="D115" s="6"/>
      <c r="G115" s="11"/>
      <c r="H115" s="6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</row>
    <row r="116" spans="4:79" outlineLevel="1" x14ac:dyDescent="0.25">
      <c r="D116" s="6"/>
      <c r="G116" s="11"/>
      <c r="H116" s="6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</row>
    <row r="117" spans="4:79" outlineLevel="1" x14ac:dyDescent="0.25">
      <c r="D117" s="6"/>
      <c r="G117" s="11"/>
      <c r="H117" s="6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</row>
    <row r="118" spans="4:79" outlineLevel="1" x14ac:dyDescent="0.25">
      <c r="D118" s="6"/>
      <c r="G118" s="11"/>
      <c r="H118" s="6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</row>
    <row r="119" spans="4:79" outlineLevel="1" x14ac:dyDescent="0.25">
      <c r="D119" s="6"/>
      <c r="G119" s="11"/>
      <c r="H119" s="6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</row>
    <row r="120" spans="4:79" outlineLevel="1" x14ac:dyDescent="0.25">
      <c r="D120" s="6"/>
      <c r="G120" s="11"/>
      <c r="H120" s="6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</row>
    <row r="121" spans="4:79" outlineLevel="1" x14ac:dyDescent="0.25">
      <c r="D121" s="6"/>
      <c r="G121" s="11"/>
      <c r="H121" s="6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</row>
    <row r="122" spans="4:79" outlineLevel="1" x14ac:dyDescent="0.25">
      <c r="D122" s="6"/>
      <c r="G122" s="11"/>
      <c r="H122" s="6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</row>
    <row r="123" spans="4:79" outlineLevel="1" x14ac:dyDescent="0.25">
      <c r="D123" s="6"/>
      <c r="G123" s="11"/>
      <c r="H123" s="6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</row>
    <row r="124" spans="4:79" outlineLevel="1" x14ac:dyDescent="0.25">
      <c r="D124" s="6"/>
      <c r="G124" s="11"/>
      <c r="H124" s="6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</row>
    <row r="125" spans="4:79" outlineLevel="1" x14ac:dyDescent="0.25">
      <c r="D125" s="5"/>
      <c r="G125" s="11"/>
      <c r="H125" s="5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</row>
    <row r="126" spans="4:79" x14ac:dyDescent="0.25">
      <c r="D126" s="6"/>
      <c r="G126" s="11"/>
      <c r="H126" s="10"/>
      <c r="I126" s="11"/>
      <c r="J126" s="14"/>
      <c r="K126" s="14" t="str">
        <f t="shared" ref="K126:BV126" si="7">IF(L107&lt;K107*95%,"체크","")</f>
        <v/>
      </c>
      <c r="L126" s="14" t="str">
        <f t="shared" si="7"/>
        <v/>
      </c>
      <c r="M126" s="14" t="str">
        <f t="shared" si="7"/>
        <v/>
      </c>
      <c r="N126" s="14" t="str">
        <f t="shared" si="7"/>
        <v/>
      </c>
      <c r="O126" s="14" t="str">
        <f t="shared" si="7"/>
        <v/>
      </c>
      <c r="P126" s="14" t="str">
        <f t="shared" si="7"/>
        <v/>
      </c>
      <c r="Q126" s="14" t="str">
        <f t="shared" si="7"/>
        <v/>
      </c>
      <c r="R126" s="14" t="str">
        <f t="shared" si="7"/>
        <v/>
      </c>
      <c r="S126" s="14" t="str">
        <f t="shared" si="7"/>
        <v/>
      </c>
      <c r="T126" s="14" t="str">
        <f t="shared" si="7"/>
        <v/>
      </c>
      <c r="U126" s="14" t="str">
        <f t="shared" si="7"/>
        <v/>
      </c>
      <c r="V126" s="14" t="str">
        <f t="shared" si="7"/>
        <v/>
      </c>
      <c r="W126" s="14" t="str">
        <f t="shared" si="7"/>
        <v/>
      </c>
      <c r="X126" s="14" t="str">
        <f t="shared" si="7"/>
        <v/>
      </c>
      <c r="Y126" s="14" t="str">
        <f t="shared" si="7"/>
        <v/>
      </c>
      <c r="Z126" s="14" t="str">
        <f t="shared" si="7"/>
        <v/>
      </c>
      <c r="AA126" s="14" t="str">
        <f t="shared" si="7"/>
        <v/>
      </c>
      <c r="AB126" s="14" t="str">
        <f t="shared" si="7"/>
        <v/>
      </c>
      <c r="AC126" s="14" t="str">
        <f t="shared" si="7"/>
        <v/>
      </c>
      <c r="AD126" s="14" t="str">
        <f t="shared" si="7"/>
        <v/>
      </c>
      <c r="AE126" s="14" t="str">
        <f t="shared" si="7"/>
        <v/>
      </c>
      <c r="AF126" s="14" t="str">
        <f t="shared" si="7"/>
        <v/>
      </c>
      <c r="AG126" s="14" t="str">
        <f t="shared" si="7"/>
        <v/>
      </c>
      <c r="AH126" s="14" t="str">
        <f t="shared" si="7"/>
        <v/>
      </c>
      <c r="AI126" s="14" t="str">
        <f t="shared" si="7"/>
        <v/>
      </c>
      <c r="AJ126" s="14" t="str">
        <f t="shared" si="7"/>
        <v/>
      </c>
      <c r="AK126" s="14" t="str">
        <f t="shared" si="7"/>
        <v/>
      </c>
      <c r="AL126" s="14" t="str">
        <f t="shared" si="7"/>
        <v/>
      </c>
      <c r="AM126" s="14" t="str">
        <f t="shared" si="7"/>
        <v/>
      </c>
      <c r="AN126" s="14" t="str">
        <f t="shared" si="7"/>
        <v/>
      </c>
      <c r="AO126" s="14" t="str">
        <f t="shared" si="7"/>
        <v/>
      </c>
      <c r="AP126" s="14" t="str">
        <f t="shared" si="7"/>
        <v/>
      </c>
      <c r="AQ126" s="14" t="str">
        <f t="shared" si="7"/>
        <v/>
      </c>
      <c r="AR126" s="14" t="str">
        <f t="shared" si="7"/>
        <v/>
      </c>
      <c r="AS126" s="14" t="str">
        <f t="shared" si="7"/>
        <v/>
      </c>
      <c r="AT126" s="14" t="str">
        <f t="shared" si="7"/>
        <v/>
      </c>
      <c r="AU126" s="14" t="str">
        <f t="shared" si="7"/>
        <v/>
      </c>
      <c r="AV126" s="14" t="str">
        <f t="shared" si="7"/>
        <v/>
      </c>
      <c r="AW126" s="14" t="str">
        <f t="shared" si="7"/>
        <v/>
      </c>
      <c r="AX126" s="14" t="str">
        <f t="shared" si="7"/>
        <v/>
      </c>
      <c r="AY126" s="14" t="str">
        <f t="shared" si="7"/>
        <v/>
      </c>
      <c r="AZ126" s="14" t="str">
        <f t="shared" si="7"/>
        <v/>
      </c>
      <c r="BA126" s="14" t="str">
        <f t="shared" si="7"/>
        <v/>
      </c>
      <c r="BB126" s="14" t="str">
        <f t="shared" si="7"/>
        <v/>
      </c>
      <c r="BC126" s="14" t="str">
        <f t="shared" si="7"/>
        <v/>
      </c>
      <c r="BD126" s="14" t="str">
        <f t="shared" si="7"/>
        <v/>
      </c>
      <c r="BE126" s="14" t="str">
        <f t="shared" si="7"/>
        <v/>
      </c>
      <c r="BF126" s="14" t="str">
        <f t="shared" si="7"/>
        <v/>
      </c>
      <c r="BG126" s="14" t="str">
        <f t="shared" si="7"/>
        <v/>
      </c>
      <c r="BH126" s="14" t="str">
        <f t="shared" si="7"/>
        <v/>
      </c>
      <c r="BI126" s="14" t="str">
        <f t="shared" si="7"/>
        <v/>
      </c>
      <c r="BJ126" s="14" t="str">
        <f t="shared" si="7"/>
        <v/>
      </c>
      <c r="BK126" s="14" t="str">
        <f t="shared" si="7"/>
        <v/>
      </c>
      <c r="BL126" s="14" t="str">
        <f t="shared" si="7"/>
        <v/>
      </c>
      <c r="BM126" s="14" t="str">
        <f t="shared" si="7"/>
        <v/>
      </c>
      <c r="BN126" s="14" t="str">
        <f t="shared" si="7"/>
        <v/>
      </c>
      <c r="BO126" s="14" t="str">
        <f t="shared" si="7"/>
        <v/>
      </c>
      <c r="BP126" s="14" t="str">
        <f t="shared" si="7"/>
        <v/>
      </c>
      <c r="BQ126" s="14" t="str">
        <f t="shared" si="7"/>
        <v/>
      </c>
      <c r="BR126" s="14" t="str">
        <f t="shared" si="7"/>
        <v/>
      </c>
      <c r="BS126" s="14" t="str">
        <f t="shared" si="7"/>
        <v/>
      </c>
      <c r="BT126" s="14" t="str">
        <f t="shared" si="7"/>
        <v/>
      </c>
      <c r="BU126" s="14" t="str">
        <f t="shared" si="7"/>
        <v/>
      </c>
      <c r="BV126" s="14" t="str">
        <f t="shared" si="7"/>
        <v/>
      </c>
      <c r="BW126" s="14" t="str">
        <f t="shared" ref="BW126:CA126" si="8">IF(BX107&lt;BW107*95%,"체크","")</f>
        <v/>
      </c>
      <c r="BX126" s="14" t="str">
        <f t="shared" si="8"/>
        <v/>
      </c>
      <c r="BY126" s="14" t="str">
        <f t="shared" si="8"/>
        <v/>
      </c>
      <c r="BZ126" s="14" t="str">
        <f t="shared" si="8"/>
        <v/>
      </c>
      <c r="CA126" s="14" t="str">
        <f t="shared" si="8"/>
        <v/>
      </c>
    </row>
    <row r="127" spans="4:79" outlineLevel="1" x14ac:dyDescent="0.25">
      <c r="D127" s="6"/>
      <c r="G127" s="11"/>
      <c r="H127" s="6"/>
      <c r="I127" s="11"/>
      <c r="J127" s="11"/>
      <c r="K127" s="11" t="str">
        <f t="shared" ref="K127:BV127" si="9">IF(L107&lt;K107*95%,1,"")</f>
        <v/>
      </c>
      <c r="L127" s="11" t="str">
        <f t="shared" si="9"/>
        <v/>
      </c>
      <c r="M127" s="11" t="str">
        <f t="shared" si="9"/>
        <v/>
      </c>
      <c r="N127" s="11" t="str">
        <f t="shared" si="9"/>
        <v/>
      </c>
      <c r="O127" s="11" t="str">
        <f t="shared" si="9"/>
        <v/>
      </c>
      <c r="P127" s="11" t="str">
        <f t="shared" si="9"/>
        <v/>
      </c>
      <c r="Q127" s="11" t="str">
        <f t="shared" si="9"/>
        <v/>
      </c>
      <c r="R127" s="11" t="str">
        <f t="shared" si="9"/>
        <v/>
      </c>
      <c r="S127" s="11" t="str">
        <f t="shared" si="9"/>
        <v/>
      </c>
      <c r="T127" s="11" t="str">
        <f t="shared" si="9"/>
        <v/>
      </c>
      <c r="U127" s="11" t="str">
        <f t="shared" si="9"/>
        <v/>
      </c>
      <c r="V127" s="11" t="str">
        <f t="shared" si="9"/>
        <v/>
      </c>
      <c r="W127" s="11" t="str">
        <f t="shared" si="9"/>
        <v/>
      </c>
      <c r="X127" s="11" t="str">
        <f t="shared" si="9"/>
        <v/>
      </c>
      <c r="Y127" s="11" t="str">
        <f t="shared" si="9"/>
        <v/>
      </c>
      <c r="Z127" s="11" t="str">
        <f t="shared" si="9"/>
        <v/>
      </c>
      <c r="AA127" s="11" t="str">
        <f t="shared" si="9"/>
        <v/>
      </c>
      <c r="AB127" s="11" t="str">
        <f t="shared" si="9"/>
        <v/>
      </c>
      <c r="AC127" s="11" t="str">
        <f t="shared" si="9"/>
        <v/>
      </c>
      <c r="AD127" s="11" t="str">
        <f t="shared" si="9"/>
        <v/>
      </c>
      <c r="AE127" s="11" t="str">
        <f t="shared" si="9"/>
        <v/>
      </c>
      <c r="AF127" s="11" t="str">
        <f t="shared" si="9"/>
        <v/>
      </c>
      <c r="AG127" s="11" t="str">
        <f t="shared" si="9"/>
        <v/>
      </c>
      <c r="AH127" s="11" t="str">
        <f t="shared" si="9"/>
        <v/>
      </c>
      <c r="AI127" s="11" t="str">
        <f t="shared" si="9"/>
        <v/>
      </c>
      <c r="AJ127" s="11" t="str">
        <f t="shared" si="9"/>
        <v/>
      </c>
      <c r="AK127" s="11" t="str">
        <f t="shared" si="9"/>
        <v/>
      </c>
      <c r="AL127" s="11" t="str">
        <f t="shared" si="9"/>
        <v/>
      </c>
      <c r="AM127" s="11" t="str">
        <f t="shared" si="9"/>
        <v/>
      </c>
      <c r="AN127" s="11" t="str">
        <f t="shared" si="9"/>
        <v/>
      </c>
      <c r="AO127" s="11" t="str">
        <f t="shared" si="9"/>
        <v/>
      </c>
      <c r="AP127" s="11" t="str">
        <f t="shared" si="9"/>
        <v/>
      </c>
      <c r="AQ127" s="11" t="str">
        <f t="shared" si="9"/>
        <v/>
      </c>
      <c r="AR127" s="11" t="str">
        <f t="shared" si="9"/>
        <v/>
      </c>
      <c r="AS127" s="11" t="str">
        <f t="shared" si="9"/>
        <v/>
      </c>
      <c r="AT127" s="11" t="str">
        <f t="shared" si="9"/>
        <v/>
      </c>
      <c r="AU127" s="11" t="str">
        <f t="shared" si="9"/>
        <v/>
      </c>
      <c r="AV127" s="11" t="str">
        <f t="shared" si="9"/>
        <v/>
      </c>
      <c r="AW127" s="11" t="str">
        <f t="shared" si="9"/>
        <v/>
      </c>
      <c r="AX127" s="11" t="str">
        <f t="shared" si="9"/>
        <v/>
      </c>
      <c r="AY127" s="11" t="str">
        <f t="shared" si="9"/>
        <v/>
      </c>
      <c r="AZ127" s="11" t="str">
        <f t="shared" si="9"/>
        <v/>
      </c>
      <c r="BA127" s="11" t="str">
        <f t="shared" si="9"/>
        <v/>
      </c>
      <c r="BB127" s="11" t="str">
        <f t="shared" si="9"/>
        <v/>
      </c>
      <c r="BC127" s="11" t="str">
        <f t="shared" si="9"/>
        <v/>
      </c>
      <c r="BD127" s="11" t="str">
        <f t="shared" si="9"/>
        <v/>
      </c>
      <c r="BE127" s="11" t="str">
        <f t="shared" si="9"/>
        <v/>
      </c>
      <c r="BF127" s="11" t="str">
        <f t="shared" si="9"/>
        <v/>
      </c>
      <c r="BG127" s="11" t="str">
        <f t="shared" si="9"/>
        <v/>
      </c>
      <c r="BH127" s="11" t="str">
        <f t="shared" si="9"/>
        <v/>
      </c>
      <c r="BI127" s="11" t="str">
        <f t="shared" si="9"/>
        <v/>
      </c>
      <c r="BJ127" s="11" t="str">
        <f t="shared" si="9"/>
        <v/>
      </c>
      <c r="BK127" s="11" t="str">
        <f t="shared" si="9"/>
        <v/>
      </c>
      <c r="BL127" s="11" t="str">
        <f t="shared" si="9"/>
        <v/>
      </c>
      <c r="BM127" s="11" t="str">
        <f t="shared" si="9"/>
        <v/>
      </c>
      <c r="BN127" s="11" t="str">
        <f t="shared" si="9"/>
        <v/>
      </c>
      <c r="BO127" s="11" t="str">
        <f t="shared" si="9"/>
        <v/>
      </c>
      <c r="BP127" s="11" t="str">
        <f t="shared" si="9"/>
        <v/>
      </c>
      <c r="BQ127" s="11" t="str">
        <f t="shared" si="9"/>
        <v/>
      </c>
      <c r="BR127" s="11" t="str">
        <f t="shared" si="9"/>
        <v/>
      </c>
      <c r="BS127" s="11" t="str">
        <f t="shared" si="9"/>
        <v/>
      </c>
      <c r="BT127" s="11" t="str">
        <f t="shared" si="9"/>
        <v/>
      </c>
      <c r="BU127" s="11" t="str">
        <f t="shared" si="9"/>
        <v/>
      </c>
      <c r="BV127" s="11" t="str">
        <f t="shared" si="9"/>
        <v/>
      </c>
      <c r="BW127" s="11" t="str">
        <f t="shared" ref="BW127:CA127" si="10">IF(BX107&lt;BW107*95%,1,"")</f>
        <v/>
      </c>
      <c r="BX127" s="11" t="str">
        <f t="shared" si="10"/>
        <v/>
      </c>
      <c r="BY127" s="11" t="str">
        <f t="shared" si="10"/>
        <v/>
      </c>
      <c r="BZ127" s="11" t="str">
        <f t="shared" si="10"/>
        <v/>
      </c>
      <c r="CA127" s="11" t="str">
        <f t="shared" si="10"/>
        <v/>
      </c>
    </row>
    <row r="128" spans="4:79" outlineLevel="1" x14ac:dyDescent="0.25">
      <c r="D128" s="6"/>
      <c r="G128" s="11"/>
      <c r="H128" s="6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</row>
    <row r="129" spans="4:79" outlineLevel="1" x14ac:dyDescent="0.25">
      <c r="D129" s="6"/>
      <c r="G129" s="11"/>
      <c r="H129" s="6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</row>
    <row r="130" spans="4:79" outlineLevel="1" x14ac:dyDescent="0.25">
      <c r="D130" s="6"/>
      <c r="G130" s="11"/>
      <c r="H130" s="6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</row>
    <row r="131" spans="4:79" outlineLevel="1" x14ac:dyDescent="0.25">
      <c r="D131" s="6"/>
      <c r="G131" s="11"/>
      <c r="H131" s="6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</row>
    <row r="132" spans="4:79" outlineLevel="1" x14ac:dyDescent="0.25">
      <c r="D132" s="6"/>
      <c r="G132" s="11"/>
      <c r="H132" s="6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</row>
    <row r="133" spans="4:79" outlineLevel="1" x14ac:dyDescent="0.25">
      <c r="D133" s="6"/>
      <c r="G133" s="11"/>
      <c r="H133" s="6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</row>
    <row r="134" spans="4:79" outlineLevel="1" x14ac:dyDescent="0.25">
      <c r="D134" s="6"/>
      <c r="G134" s="11"/>
      <c r="H134" s="6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</row>
    <row r="135" spans="4:79" outlineLevel="1" x14ac:dyDescent="0.25">
      <c r="D135" s="6"/>
      <c r="G135" s="11"/>
      <c r="H135" s="6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</row>
    <row r="136" spans="4:79" outlineLevel="1" x14ac:dyDescent="0.25">
      <c r="D136" s="6"/>
      <c r="G136" s="11"/>
      <c r="H136" s="6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</row>
    <row r="137" spans="4:79" outlineLevel="1" x14ac:dyDescent="0.25">
      <c r="D137" s="6"/>
      <c r="G137" s="11"/>
      <c r="H137" s="6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</row>
    <row r="138" spans="4:79" outlineLevel="1" x14ac:dyDescent="0.25">
      <c r="D138" s="6"/>
      <c r="G138" s="11"/>
      <c r="H138" s="6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</row>
    <row r="139" spans="4:79" outlineLevel="1" x14ac:dyDescent="0.25">
      <c r="D139" s="6"/>
      <c r="G139" s="11"/>
      <c r="H139" s="6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</row>
    <row r="140" spans="4:79" outlineLevel="1" x14ac:dyDescent="0.25">
      <c r="D140" s="6"/>
      <c r="G140" s="11"/>
      <c r="H140" s="6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</row>
    <row r="141" spans="4:79" outlineLevel="1" x14ac:dyDescent="0.25">
      <c r="D141" s="6"/>
      <c r="G141" s="11"/>
      <c r="H141" s="6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</row>
    <row r="142" spans="4:79" outlineLevel="1" x14ac:dyDescent="0.25">
      <c r="D142" s="6"/>
      <c r="G142" s="11"/>
      <c r="H142" s="6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</row>
    <row r="143" spans="4:79" outlineLevel="1" x14ac:dyDescent="0.25">
      <c r="D143" s="6"/>
      <c r="G143" s="11"/>
      <c r="H143" s="6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</row>
    <row r="144" spans="4:79" outlineLevel="1" x14ac:dyDescent="0.25">
      <c r="D144" s="6"/>
      <c r="G144" s="11"/>
      <c r="H144" s="6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</row>
    <row r="145" spans="4:80" outlineLevel="1" x14ac:dyDescent="0.25">
      <c r="D145" s="6"/>
      <c r="G145" s="11"/>
      <c r="H145" s="6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</row>
    <row r="146" spans="4:80" outlineLevel="1" x14ac:dyDescent="0.25">
      <c r="D146" s="6"/>
      <c r="G146" s="11"/>
      <c r="H146" s="6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</row>
    <row r="147" spans="4:80" ht="14.4" x14ac:dyDescent="0.3">
      <c r="D147" s="6"/>
      <c r="G147" s="11"/>
      <c r="H147" s="10"/>
      <c r="I147" s="15"/>
      <c r="J147" s="21"/>
      <c r="K147" s="21" t="str">
        <f t="shared" ref="K147:BV147" si="11">IF(OR(L107&lt;K107*95%,L107&gt;K107*105%),"체크","")</f>
        <v/>
      </c>
      <c r="L147" s="21" t="str">
        <f t="shared" si="11"/>
        <v/>
      </c>
      <c r="M147" s="21" t="str">
        <f t="shared" si="11"/>
        <v/>
      </c>
      <c r="N147" s="21" t="str">
        <f t="shared" si="11"/>
        <v/>
      </c>
      <c r="O147" s="21" t="str">
        <f t="shared" si="11"/>
        <v/>
      </c>
      <c r="P147" s="21" t="str">
        <f t="shared" si="11"/>
        <v/>
      </c>
      <c r="Q147" s="21" t="str">
        <f t="shared" si="11"/>
        <v/>
      </c>
      <c r="R147" s="21" t="str">
        <f t="shared" si="11"/>
        <v/>
      </c>
      <c r="S147" s="21" t="str">
        <f t="shared" si="11"/>
        <v/>
      </c>
      <c r="T147" s="21" t="str">
        <f t="shared" si="11"/>
        <v/>
      </c>
      <c r="U147" s="21" t="str">
        <f t="shared" si="11"/>
        <v/>
      </c>
      <c r="V147" s="21" t="str">
        <f t="shared" si="11"/>
        <v/>
      </c>
      <c r="W147" s="21" t="str">
        <f t="shared" si="11"/>
        <v/>
      </c>
      <c r="X147" s="21" t="str">
        <f t="shared" si="11"/>
        <v/>
      </c>
      <c r="Y147" s="21" t="str">
        <f t="shared" si="11"/>
        <v/>
      </c>
      <c r="Z147" s="21" t="str">
        <f t="shared" si="11"/>
        <v/>
      </c>
      <c r="AA147" s="21" t="str">
        <f t="shared" si="11"/>
        <v/>
      </c>
      <c r="AB147" s="21" t="str">
        <f t="shared" si="11"/>
        <v/>
      </c>
      <c r="AC147" s="21" t="str">
        <f t="shared" si="11"/>
        <v/>
      </c>
      <c r="AD147" s="21" t="str">
        <f t="shared" si="11"/>
        <v/>
      </c>
      <c r="AE147" s="21" t="str">
        <f t="shared" si="11"/>
        <v/>
      </c>
      <c r="AF147" s="21" t="str">
        <f t="shared" si="11"/>
        <v/>
      </c>
      <c r="AG147" s="21" t="str">
        <f t="shared" si="11"/>
        <v/>
      </c>
      <c r="AH147" s="21" t="str">
        <f t="shared" si="11"/>
        <v/>
      </c>
      <c r="AI147" s="21" t="str">
        <f t="shared" si="11"/>
        <v/>
      </c>
      <c r="AJ147" s="21" t="str">
        <f t="shared" si="11"/>
        <v/>
      </c>
      <c r="AK147" s="21" t="str">
        <f t="shared" si="11"/>
        <v/>
      </c>
      <c r="AL147" s="21" t="str">
        <f t="shared" si="11"/>
        <v/>
      </c>
      <c r="AM147" s="21" t="str">
        <f t="shared" si="11"/>
        <v/>
      </c>
      <c r="AN147" s="21" t="str">
        <f t="shared" si="11"/>
        <v/>
      </c>
      <c r="AO147" s="21" t="str">
        <f t="shared" si="11"/>
        <v/>
      </c>
      <c r="AP147" s="21" t="str">
        <f t="shared" si="11"/>
        <v/>
      </c>
      <c r="AQ147" s="21" t="str">
        <f t="shared" si="11"/>
        <v/>
      </c>
      <c r="AR147" s="21" t="str">
        <f t="shared" si="11"/>
        <v/>
      </c>
      <c r="AS147" s="21" t="str">
        <f t="shared" si="11"/>
        <v/>
      </c>
      <c r="AT147" s="21" t="str">
        <f t="shared" si="11"/>
        <v/>
      </c>
      <c r="AU147" s="21" t="str">
        <f t="shared" si="11"/>
        <v/>
      </c>
      <c r="AV147" s="21" t="str">
        <f t="shared" si="11"/>
        <v/>
      </c>
      <c r="AW147" s="21" t="str">
        <f t="shared" si="11"/>
        <v/>
      </c>
      <c r="AX147" s="21" t="str">
        <f t="shared" si="11"/>
        <v/>
      </c>
      <c r="AY147" s="21" t="str">
        <f t="shared" si="11"/>
        <v/>
      </c>
      <c r="AZ147" s="21" t="str">
        <f t="shared" si="11"/>
        <v/>
      </c>
      <c r="BA147" s="21" t="str">
        <f t="shared" si="11"/>
        <v/>
      </c>
      <c r="BB147" s="21" t="str">
        <f t="shared" si="11"/>
        <v/>
      </c>
      <c r="BC147" s="21" t="str">
        <f t="shared" si="11"/>
        <v/>
      </c>
      <c r="BD147" s="21" t="str">
        <f t="shared" si="11"/>
        <v/>
      </c>
      <c r="BE147" s="21" t="str">
        <f t="shared" si="11"/>
        <v/>
      </c>
      <c r="BF147" s="21" t="str">
        <f t="shared" si="11"/>
        <v/>
      </c>
      <c r="BG147" s="21" t="str">
        <f t="shared" si="11"/>
        <v/>
      </c>
      <c r="BH147" s="21" t="str">
        <f t="shared" si="11"/>
        <v/>
      </c>
      <c r="BI147" s="21" t="str">
        <f t="shared" si="11"/>
        <v/>
      </c>
      <c r="BJ147" s="21" t="str">
        <f t="shared" si="11"/>
        <v/>
      </c>
      <c r="BK147" s="21" t="str">
        <f t="shared" si="11"/>
        <v/>
      </c>
      <c r="BL147" s="21" t="str">
        <f t="shared" si="11"/>
        <v/>
      </c>
      <c r="BM147" s="21" t="str">
        <f t="shared" si="11"/>
        <v/>
      </c>
      <c r="BN147" s="21" t="str">
        <f t="shared" si="11"/>
        <v/>
      </c>
      <c r="BO147" s="21" t="str">
        <f t="shared" si="11"/>
        <v/>
      </c>
      <c r="BP147" s="21" t="str">
        <f t="shared" si="11"/>
        <v/>
      </c>
      <c r="BQ147" s="21" t="str">
        <f t="shared" si="11"/>
        <v/>
      </c>
      <c r="BR147" s="21" t="str">
        <f t="shared" si="11"/>
        <v/>
      </c>
      <c r="BS147" s="21" t="str">
        <f t="shared" si="11"/>
        <v/>
      </c>
      <c r="BT147" s="21" t="str">
        <f t="shared" si="11"/>
        <v/>
      </c>
      <c r="BU147" s="21" t="str">
        <f t="shared" si="11"/>
        <v/>
      </c>
      <c r="BV147" s="21" t="str">
        <f t="shared" si="11"/>
        <v/>
      </c>
      <c r="BW147" s="21" t="str">
        <f t="shared" ref="BW147:CA147" si="12">IF(OR(BX107&lt;BW107*95%,BX107&gt;BW107*105%),"체크","")</f>
        <v/>
      </c>
      <c r="BX147" s="21" t="str">
        <f t="shared" si="12"/>
        <v/>
      </c>
      <c r="BY147" s="21" t="str">
        <f t="shared" si="12"/>
        <v/>
      </c>
      <c r="BZ147" s="21" t="str">
        <f t="shared" si="12"/>
        <v/>
      </c>
      <c r="CA147" s="21" t="str">
        <f t="shared" si="12"/>
        <v/>
      </c>
    </row>
    <row r="148" spans="4:80" x14ac:dyDescent="0.25">
      <c r="D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</row>
    <row r="149" spans="4:80" x14ac:dyDescent="0.25">
      <c r="D149" s="6"/>
      <c r="H149" s="10"/>
    </row>
    <row r="150" spans="4:80" x14ac:dyDescent="0.25">
      <c r="G150" s="11"/>
    </row>
    <row r="151" spans="4:80" ht="14.4" x14ac:dyDescent="0.3">
      <c r="D151" s="16" t="s">
        <v>168</v>
      </c>
      <c r="E151" s="17"/>
      <c r="F151" s="17"/>
      <c r="G151" s="17"/>
      <c r="H151" s="17"/>
      <c r="I151" s="18"/>
      <c r="J151" s="19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</row>
    <row r="152" spans="4:80" ht="14.4" x14ac:dyDescent="0.3">
      <c r="I152" s="15"/>
    </row>
    <row r="153" spans="4:80" x14ac:dyDescent="0.25">
      <c r="D153" s="6" t="s">
        <v>142</v>
      </c>
    </row>
    <row r="154" spans="4:80" ht="15.6" x14ac:dyDescent="0.35">
      <c r="D154" s="7" t="s">
        <v>0</v>
      </c>
      <c r="E154" s="7" t="s">
        <v>1</v>
      </c>
      <c r="F154" s="22" t="s">
        <v>140</v>
      </c>
      <c r="G154" s="7" t="s">
        <v>170</v>
      </c>
      <c r="H154" s="7" t="s">
        <v>171</v>
      </c>
      <c r="I154" s="7">
        <v>2015</v>
      </c>
      <c r="J154" s="7">
        <f>+I154+1</f>
        <v>2016</v>
      </c>
      <c r="K154" s="7">
        <f t="shared" ref="K154:N154" si="13">+J154+1</f>
        <v>2017</v>
      </c>
      <c r="L154" s="7">
        <f t="shared" si="13"/>
        <v>2018</v>
      </c>
      <c r="M154" s="7">
        <f t="shared" si="13"/>
        <v>2019</v>
      </c>
      <c r="N154" s="7">
        <f t="shared" si="13"/>
        <v>2020</v>
      </c>
    </row>
    <row r="155" spans="4:80" x14ac:dyDescent="0.25">
      <c r="D155" s="10" t="s">
        <v>78</v>
      </c>
      <c r="E155" s="10" t="s">
        <v>48</v>
      </c>
      <c r="F155" s="10" t="s">
        <v>180</v>
      </c>
      <c r="G155" s="10"/>
      <c r="H155" s="10" t="str">
        <f t="shared" ref="H155:H218" si="14">CONCATENATE(D155," ",G155)</f>
        <v xml:space="preserve">Hartford </v>
      </c>
      <c r="I155" s="63"/>
      <c r="J155" s="63"/>
      <c r="K155" s="63"/>
      <c r="L155" s="63"/>
      <c r="M155" s="63"/>
      <c r="N155" s="63"/>
    </row>
    <row r="156" spans="4:80" x14ac:dyDescent="0.25">
      <c r="D156" s="10" t="s">
        <v>79</v>
      </c>
      <c r="E156" s="10" t="s">
        <v>48</v>
      </c>
      <c r="F156" s="10" t="s">
        <v>180</v>
      </c>
      <c r="G156" s="10"/>
      <c r="H156" s="10" t="str">
        <f t="shared" si="14"/>
        <v xml:space="preserve">Bridgeport </v>
      </c>
      <c r="I156" s="63"/>
      <c r="J156" s="63"/>
      <c r="K156" s="63"/>
      <c r="L156" s="63"/>
      <c r="M156" s="63"/>
      <c r="N156" s="63"/>
    </row>
    <row r="157" spans="4:80" x14ac:dyDescent="0.25">
      <c r="D157" s="10" t="s">
        <v>80</v>
      </c>
      <c r="E157" s="10" t="s">
        <v>49</v>
      </c>
      <c r="F157" s="10" t="s">
        <v>150</v>
      </c>
      <c r="G157" s="10"/>
      <c r="H157" s="10" t="str">
        <f t="shared" si="14"/>
        <v xml:space="preserve">Dover </v>
      </c>
      <c r="I157" s="63"/>
      <c r="J157" s="63"/>
      <c r="K157" s="63"/>
      <c r="L157" s="63"/>
      <c r="M157" s="63"/>
      <c r="N157" s="63"/>
    </row>
    <row r="158" spans="4:80" x14ac:dyDescent="0.25">
      <c r="D158" s="10" t="s">
        <v>81</v>
      </c>
      <c r="E158" s="10" t="s">
        <v>49</v>
      </c>
      <c r="F158" s="10" t="s">
        <v>150</v>
      </c>
      <c r="G158" s="10"/>
      <c r="H158" s="10" t="str">
        <f t="shared" si="14"/>
        <v xml:space="preserve">Wilmington </v>
      </c>
      <c r="I158" s="63"/>
      <c r="J158" s="63"/>
      <c r="K158" s="63"/>
      <c r="L158" s="63"/>
      <c r="M158" s="63"/>
      <c r="N158" s="63"/>
    </row>
    <row r="159" spans="4:80" x14ac:dyDescent="0.25">
      <c r="D159" s="10" t="s">
        <v>82</v>
      </c>
      <c r="E159" s="10" t="s">
        <v>52</v>
      </c>
      <c r="F159" s="10" t="s">
        <v>180</v>
      </c>
      <c r="G159" s="10"/>
      <c r="H159" s="10" t="str">
        <f t="shared" si="14"/>
        <v xml:space="preserve">Boston </v>
      </c>
      <c r="I159" s="63"/>
      <c r="J159" s="63"/>
      <c r="K159" s="63"/>
      <c r="L159" s="63"/>
      <c r="M159" s="63"/>
      <c r="N159" s="63"/>
    </row>
    <row r="160" spans="4:80" x14ac:dyDescent="0.25">
      <c r="D160" s="10" t="s">
        <v>84</v>
      </c>
      <c r="E160" s="10" t="s">
        <v>53</v>
      </c>
      <c r="F160" s="10" t="s">
        <v>150</v>
      </c>
      <c r="G160" s="10"/>
      <c r="H160" s="10" t="str">
        <f t="shared" si="14"/>
        <v xml:space="preserve">Annapolis </v>
      </c>
      <c r="I160" s="63"/>
      <c r="J160" s="63"/>
      <c r="K160" s="63"/>
      <c r="L160" s="63"/>
      <c r="M160" s="63"/>
      <c r="N160" s="63"/>
    </row>
    <row r="161" spans="4:14" x14ac:dyDescent="0.25">
      <c r="D161" s="10" t="s">
        <v>85</v>
      </c>
      <c r="E161" s="10" t="s">
        <v>53</v>
      </c>
      <c r="F161" s="10" t="s">
        <v>150</v>
      </c>
      <c r="G161" s="10"/>
      <c r="H161" s="10" t="str">
        <f t="shared" si="14"/>
        <v xml:space="preserve">Baltimore </v>
      </c>
      <c r="I161" s="63"/>
      <c r="J161" s="63"/>
      <c r="K161" s="63"/>
      <c r="L161" s="63"/>
      <c r="M161" s="63"/>
      <c r="N161" s="63"/>
    </row>
    <row r="162" spans="4:14" x14ac:dyDescent="0.25">
      <c r="D162" s="10" t="s">
        <v>87</v>
      </c>
      <c r="E162" s="10" t="s">
        <v>77</v>
      </c>
      <c r="F162" s="10" t="s">
        <v>180</v>
      </c>
      <c r="G162" s="10"/>
      <c r="H162" s="10" t="str">
        <f t="shared" si="14"/>
        <v xml:space="preserve">Augusta </v>
      </c>
      <c r="I162" s="63"/>
      <c r="J162" s="63"/>
      <c r="K162" s="63"/>
      <c r="L162" s="63"/>
      <c r="M162" s="63"/>
      <c r="N162" s="63"/>
    </row>
    <row r="163" spans="4:14" x14ac:dyDescent="0.25">
      <c r="D163" s="10" t="s">
        <v>89</v>
      </c>
      <c r="E163" s="10" t="s">
        <v>77</v>
      </c>
      <c r="F163" s="10" t="s">
        <v>180</v>
      </c>
      <c r="G163" s="10"/>
      <c r="H163" s="10" t="str">
        <f t="shared" si="14"/>
        <v xml:space="preserve">Portland </v>
      </c>
      <c r="I163" s="63"/>
      <c r="J163" s="63"/>
      <c r="K163" s="63"/>
      <c r="L163" s="63"/>
      <c r="M163" s="63"/>
      <c r="N163" s="63"/>
    </row>
    <row r="164" spans="4:14" x14ac:dyDescent="0.25">
      <c r="D164" s="10" t="s">
        <v>90</v>
      </c>
      <c r="E164" s="10" t="s">
        <v>83</v>
      </c>
      <c r="F164" s="10" t="s">
        <v>150</v>
      </c>
      <c r="G164" s="10"/>
      <c r="H164" s="10" t="str">
        <f t="shared" si="14"/>
        <v xml:space="preserve">Raleigh </v>
      </c>
      <c r="I164" s="63"/>
      <c r="J164" s="63"/>
      <c r="K164" s="63"/>
      <c r="L164" s="63"/>
      <c r="M164" s="63"/>
      <c r="N164" s="63"/>
    </row>
    <row r="165" spans="4:14" x14ac:dyDescent="0.25">
      <c r="D165" s="10" t="s">
        <v>92</v>
      </c>
      <c r="E165" s="10" t="s">
        <v>83</v>
      </c>
      <c r="F165" s="10" t="s">
        <v>150</v>
      </c>
      <c r="G165" s="10"/>
      <c r="H165" s="10" t="str">
        <f t="shared" si="14"/>
        <v xml:space="preserve">Charlotte </v>
      </c>
      <c r="I165" s="63"/>
      <c r="J165" s="63"/>
      <c r="K165" s="63"/>
      <c r="L165" s="63"/>
      <c r="M165" s="63"/>
      <c r="N165" s="63"/>
    </row>
    <row r="166" spans="4:14" x14ac:dyDescent="0.25">
      <c r="D166" s="10" t="s">
        <v>94</v>
      </c>
      <c r="E166" s="10" t="s">
        <v>86</v>
      </c>
      <c r="F166" s="10" t="s">
        <v>180</v>
      </c>
      <c r="G166" s="10"/>
      <c r="H166" s="10" t="str">
        <f t="shared" si="14"/>
        <v xml:space="preserve">Concord </v>
      </c>
      <c r="I166" s="63"/>
      <c r="J166" s="63"/>
      <c r="K166" s="63"/>
      <c r="L166" s="63"/>
      <c r="M166" s="63"/>
      <c r="N166" s="63"/>
    </row>
    <row r="167" spans="4:14" x14ac:dyDescent="0.25">
      <c r="D167" s="10" t="s">
        <v>96</v>
      </c>
      <c r="E167" s="10" t="s">
        <v>86</v>
      </c>
      <c r="F167" s="10" t="s">
        <v>180</v>
      </c>
      <c r="G167" s="10"/>
      <c r="H167" s="10" t="str">
        <f t="shared" si="14"/>
        <v xml:space="preserve">Manchester </v>
      </c>
      <c r="I167" s="63"/>
      <c r="J167" s="63"/>
      <c r="K167" s="63"/>
      <c r="L167" s="63"/>
      <c r="M167" s="63"/>
      <c r="N167" s="63"/>
    </row>
    <row r="168" spans="4:14" x14ac:dyDescent="0.25">
      <c r="D168" s="10" t="s">
        <v>97</v>
      </c>
      <c r="E168" s="10" t="s">
        <v>88</v>
      </c>
      <c r="F168" s="10" t="s">
        <v>180</v>
      </c>
      <c r="G168" s="10"/>
      <c r="H168" s="10" t="str">
        <f t="shared" si="14"/>
        <v xml:space="preserve">Trenton </v>
      </c>
      <c r="I168" s="63"/>
      <c r="J168" s="63"/>
      <c r="K168" s="63"/>
      <c r="L168" s="63"/>
      <c r="M168" s="63"/>
      <c r="N168" s="63"/>
    </row>
    <row r="169" spans="4:14" x14ac:dyDescent="0.25">
      <c r="D169" s="10" t="s">
        <v>99</v>
      </c>
      <c r="E169" s="10" t="s">
        <v>88</v>
      </c>
      <c r="F169" s="10" t="s">
        <v>180</v>
      </c>
      <c r="G169" s="10"/>
      <c r="H169" s="10" t="str">
        <f t="shared" si="14"/>
        <v xml:space="preserve">Newark </v>
      </c>
      <c r="I169" s="63"/>
      <c r="J169" s="63"/>
      <c r="K169" s="63"/>
      <c r="L169" s="63"/>
      <c r="M169" s="63"/>
      <c r="N169" s="63"/>
    </row>
    <row r="170" spans="4:14" x14ac:dyDescent="0.25">
      <c r="D170" s="10" t="s">
        <v>102</v>
      </c>
      <c r="E170" s="10" t="s">
        <v>93</v>
      </c>
      <c r="F170" s="10" t="s">
        <v>180</v>
      </c>
      <c r="G170" s="10"/>
      <c r="H170" s="10" t="str">
        <f t="shared" si="14"/>
        <v xml:space="preserve">Albany </v>
      </c>
      <c r="I170" s="63"/>
      <c r="J170" s="63"/>
      <c r="K170" s="63"/>
      <c r="L170" s="63"/>
      <c r="M170" s="63"/>
      <c r="N170" s="63"/>
    </row>
    <row r="171" spans="4:14" x14ac:dyDescent="0.25">
      <c r="D171" s="10" t="s">
        <v>101</v>
      </c>
      <c r="E171" s="10" t="s">
        <v>93</v>
      </c>
      <c r="F171" s="10" t="s">
        <v>180</v>
      </c>
      <c r="G171" s="10"/>
      <c r="H171" s="10" t="str">
        <f t="shared" si="14"/>
        <v xml:space="preserve">New York </v>
      </c>
      <c r="I171" s="63"/>
      <c r="J171" s="63"/>
      <c r="K171" s="63"/>
      <c r="L171" s="63"/>
      <c r="M171" s="63"/>
      <c r="N171" s="63"/>
    </row>
    <row r="172" spans="4:14" x14ac:dyDescent="0.25">
      <c r="D172" s="10" t="s">
        <v>105</v>
      </c>
      <c r="E172" s="10" t="s">
        <v>95</v>
      </c>
      <c r="F172" s="10" t="s">
        <v>149</v>
      </c>
      <c r="G172" s="10"/>
      <c r="H172" s="10" t="str">
        <f t="shared" si="14"/>
        <v xml:space="preserve">Columbus </v>
      </c>
      <c r="I172" s="63"/>
      <c r="J172" s="63"/>
      <c r="K172" s="63"/>
      <c r="L172" s="63"/>
      <c r="M172" s="63"/>
      <c r="N172" s="63"/>
    </row>
    <row r="173" spans="4:14" x14ac:dyDescent="0.25">
      <c r="D173" s="10" t="s">
        <v>106</v>
      </c>
      <c r="E173" s="10" t="s">
        <v>95</v>
      </c>
      <c r="F173" s="10" t="s">
        <v>149</v>
      </c>
      <c r="G173" s="10"/>
      <c r="H173" s="10" t="str">
        <f t="shared" si="14"/>
        <v xml:space="preserve">Cleveland </v>
      </c>
      <c r="I173" s="63"/>
      <c r="J173" s="63"/>
      <c r="K173" s="63"/>
      <c r="L173" s="63"/>
      <c r="M173" s="63"/>
      <c r="N173" s="63"/>
    </row>
    <row r="174" spans="4:14" x14ac:dyDescent="0.25">
      <c r="D174" s="10" t="s">
        <v>107</v>
      </c>
      <c r="E174" s="10" t="s">
        <v>95</v>
      </c>
      <c r="F174" s="10" t="s">
        <v>149</v>
      </c>
      <c r="G174" s="10"/>
      <c r="H174" s="10" t="str">
        <f t="shared" si="14"/>
        <v xml:space="preserve">Cincinnati </v>
      </c>
      <c r="I174" s="63"/>
      <c r="J174" s="63"/>
      <c r="K174" s="63"/>
      <c r="L174" s="63"/>
      <c r="M174" s="63"/>
      <c r="N174" s="63"/>
    </row>
    <row r="175" spans="4:14" x14ac:dyDescent="0.25">
      <c r="D175" s="10" t="s">
        <v>108</v>
      </c>
      <c r="E175" s="10" t="s">
        <v>95</v>
      </c>
      <c r="F175" s="10" t="s">
        <v>149</v>
      </c>
      <c r="G175" s="10"/>
      <c r="H175" s="10" t="str">
        <f t="shared" si="14"/>
        <v xml:space="preserve">Toledo </v>
      </c>
      <c r="I175" s="63"/>
      <c r="J175" s="63"/>
      <c r="K175" s="63"/>
      <c r="L175" s="63"/>
      <c r="M175" s="63"/>
      <c r="N175" s="63"/>
    </row>
    <row r="176" spans="4:14" x14ac:dyDescent="0.25">
      <c r="D176" s="10" t="s">
        <v>110</v>
      </c>
      <c r="E176" s="10" t="s">
        <v>100</v>
      </c>
      <c r="F176" s="10" t="s">
        <v>180</v>
      </c>
      <c r="G176" s="10"/>
      <c r="H176" s="10" t="str">
        <f t="shared" si="14"/>
        <v xml:space="preserve">Harrisburg </v>
      </c>
      <c r="I176" s="63"/>
      <c r="J176" s="63"/>
      <c r="K176" s="63"/>
      <c r="L176" s="63"/>
      <c r="M176" s="63"/>
      <c r="N176" s="63"/>
    </row>
    <row r="177" spans="4:79" x14ac:dyDescent="0.25">
      <c r="D177" s="10" t="s">
        <v>112</v>
      </c>
      <c r="E177" s="10" t="s">
        <v>100</v>
      </c>
      <c r="F177" s="10" t="s">
        <v>180</v>
      </c>
      <c r="G177" s="10"/>
      <c r="H177" s="10" t="str">
        <f t="shared" si="14"/>
        <v xml:space="preserve">Philadelphia </v>
      </c>
      <c r="I177" s="63"/>
      <c r="J177" s="63"/>
      <c r="K177" s="63"/>
      <c r="L177" s="63"/>
      <c r="M177" s="63"/>
      <c r="N177" s="63"/>
    </row>
    <row r="178" spans="4:79" x14ac:dyDescent="0.25">
      <c r="D178" s="10" t="s">
        <v>114</v>
      </c>
      <c r="E178" s="10" t="s">
        <v>103</v>
      </c>
      <c r="F178" s="10" t="s">
        <v>180</v>
      </c>
      <c r="G178" s="10"/>
      <c r="H178" s="10" t="str">
        <f t="shared" si="14"/>
        <v xml:space="preserve">Providence </v>
      </c>
      <c r="I178" s="63"/>
      <c r="J178" s="63"/>
      <c r="K178" s="63"/>
      <c r="L178" s="63"/>
      <c r="M178" s="63"/>
      <c r="N178" s="6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</row>
    <row r="179" spans="4:79" x14ac:dyDescent="0.25">
      <c r="D179" s="10" t="s">
        <v>116</v>
      </c>
      <c r="E179" s="10" t="s">
        <v>104</v>
      </c>
      <c r="F179" s="10" t="s">
        <v>150</v>
      </c>
      <c r="G179" s="10"/>
      <c r="H179" s="10" t="str">
        <f t="shared" si="14"/>
        <v xml:space="preserve">Columbia </v>
      </c>
      <c r="I179" s="63"/>
      <c r="J179" s="63"/>
      <c r="K179" s="63"/>
      <c r="L179" s="63"/>
      <c r="M179" s="63"/>
      <c r="N179" s="63"/>
    </row>
    <row r="180" spans="4:79" x14ac:dyDescent="0.25">
      <c r="D180" s="10" t="s">
        <v>117</v>
      </c>
      <c r="E180" s="10" t="s">
        <v>104</v>
      </c>
      <c r="F180" s="10" t="s">
        <v>150</v>
      </c>
      <c r="G180" s="10"/>
      <c r="H180" s="10" t="str">
        <f t="shared" si="14"/>
        <v xml:space="preserve">Charleston </v>
      </c>
      <c r="I180" s="63"/>
      <c r="J180" s="63"/>
      <c r="K180" s="63"/>
      <c r="L180" s="63"/>
      <c r="M180" s="63"/>
      <c r="N180" s="63"/>
    </row>
    <row r="181" spans="4:79" x14ac:dyDescent="0.25">
      <c r="D181" s="10" t="s">
        <v>118</v>
      </c>
      <c r="E181" s="10" t="s">
        <v>111</v>
      </c>
      <c r="F181" s="10" t="s">
        <v>150</v>
      </c>
      <c r="G181" s="10"/>
      <c r="H181" s="10" t="str">
        <f t="shared" si="14"/>
        <v xml:space="preserve">Richmond </v>
      </c>
      <c r="I181" s="63"/>
      <c r="J181" s="63"/>
      <c r="K181" s="63"/>
      <c r="L181" s="63"/>
      <c r="M181" s="63"/>
      <c r="N181" s="63"/>
    </row>
    <row r="182" spans="4:79" x14ac:dyDescent="0.25">
      <c r="D182" s="10" t="s">
        <v>119</v>
      </c>
      <c r="E182" s="10" t="s">
        <v>111</v>
      </c>
      <c r="F182" s="10" t="s">
        <v>150</v>
      </c>
      <c r="G182" s="10"/>
      <c r="H182" s="10" t="str">
        <f t="shared" si="14"/>
        <v xml:space="preserve">Virginia Beach </v>
      </c>
      <c r="I182" s="63"/>
      <c r="J182" s="63"/>
      <c r="K182" s="63"/>
      <c r="L182" s="63"/>
      <c r="M182" s="63"/>
      <c r="N182" s="63"/>
    </row>
    <row r="183" spans="4:79" x14ac:dyDescent="0.25">
      <c r="D183" s="10" t="s">
        <v>120</v>
      </c>
      <c r="E183" s="10" t="s">
        <v>113</v>
      </c>
      <c r="F183" s="10" t="s">
        <v>180</v>
      </c>
      <c r="G183" s="10"/>
      <c r="H183" s="10" t="str">
        <f t="shared" si="14"/>
        <v xml:space="preserve">Montpelier </v>
      </c>
      <c r="I183" s="63"/>
      <c r="J183" s="63"/>
      <c r="K183" s="63"/>
      <c r="L183" s="63"/>
      <c r="M183" s="63"/>
      <c r="N183" s="63"/>
    </row>
    <row r="184" spans="4:79" x14ac:dyDescent="0.25">
      <c r="D184" s="10" t="s">
        <v>121</v>
      </c>
      <c r="E184" s="10" t="s">
        <v>113</v>
      </c>
      <c r="F184" s="10" t="s">
        <v>180</v>
      </c>
      <c r="G184" s="10"/>
      <c r="H184" s="10" t="str">
        <f t="shared" si="14"/>
        <v xml:space="preserve">Burlington </v>
      </c>
      <c r="I184" s="63"/>
      <c r="J184" s="63"/>
      <c r="K184" s="63"/>
      <c r="L184" s="63"/>
      <c r="M184" s="63"/>
      <c r="N184" s="63"/>
    </row>
    <row r="185" spans="4:79" x14ac:dyDescent="0.25">
      <c r="D185" s="13" t="s">
        <v>9</v>
      </c>
      <c r="E185" s="13" t="s">
        <v>8</v>
      </c>
      <c r="F185" s="10" t="s">
        <v>151</v>
      </c>
      <c r="G185" s="13"/>
      <c r="H185" s="10" t="str">
        <f t="shared" si="14"/>
        <v xml:space="preserve">Albuquerque </v>
      </c>
      <c r="I185" s="63"/>
      <c r="J185" s="63"/>
      <c r="K185" s="63"/>
      <c r="L185" s="63"/>
      <c r="M185" s="63"/>
      <c r="N185" s="63"/>
    </row>
    <row r="186" spans="4:79" x14ac:dyDescent="0.25">
      <c r="D186" s="13" t="s">
        <v>11</v>
      </c>
      <c r="E186" s="13" t="s">
        <v>10</v>
      </c>
      <c r="F186" s="10" t="s">
        <v>150</v>
      </c>
      <c r="G186" s="13"/>
      <c r="H186" s="10" t="str">
        <f t="shared" si="14"/>
        <v xml:space="preserve">Atlanta </v>
      </c>
      <c r="I186" s="63"/>
      <c r="J186" s="63"/>
      <c r="K186" s="63"/>
      <c r="L186" s="63"/>
      <c r="M186" s="63"/>
      <c r="N186" s="63"/>
    </row>
    <row r="187" spans="4:79" x14ac:dyDescent="0.25">
      <c r="D187" s="13" t="s">
        <v>13</v>
      </c>
      <c r="E187" s="13" t="s">
        <v>12</v>
      </c>
      <c r="F187" s="10" t="s">
        <v>150</v>
      </c>
      <c r="G187" s="13"/>
      <c r="H187" s="10" t="str">
        <f t="shared" si="14"/>
        <v xml:space="preserve">Austin </v>
      </c>
      <c r="I187" s="63"/>
      <c r="J187" s="63"/>
      <c r="K187" s="63"/>
      <c r="L187" s="63"/>
      <c r="M187" s="63"/>
      <c r="N187" s="63"/>
    </row>
    <row r="188" spans="4:79" x14ac:dyDescent="0.25">
      <c r="D188" s="13" t="s">
        <v>15</v>
      </c>
      <c r="E188" s="13" t="s">
        <v>14</v>
      </c>
      <c r="F188" s="10" t="s">
        <v>150</v>
      </c>
      <c r="G188" s="13"/>
      <c r="H188" s="10" t="str">
        <f t="shared" si="14"/>
        <v xml:space="preserve">Baton Rouge </v>
      </c>
      <c r="I188" s="63"/>
      <c r="J188" s="63"/>
      <c r="K188" s="63"/>
      <c r="L188" s="63"/>
      <c r="M188" s="63"/>
      <c r="N188" s="63"/>
    </row>
    <row r="189" spans="4:79" x14ac:dyDescent="0.25">
      <c r="D189" s="13" t="s">
        <v>16</v>
      </c>
      <c r="E189" s="13" t="s">
        <v>2</v>
      </c>
      <c r="F189" s="10" t="s">
        <v>150</v>
      </c>
      <c r="G189" s="13"/>
      <c r="H189" s="10" t="str">
        <f t="shared" si="14"/>
        <v xml:space="preserve">Birmingham </v>
      </c>
      <c r="I189" s="63"/>
      <c r="J189" s="63"/>
      <c r="K189" s="63"/>
      <c r="L189" s="63"/>
      <c r="M189" s="63"/>
      <c r="N189" s="63"/>
    </row>
    <row r="190" spans="4:79" x14ac:dyDescent="0.25">
      <c r="D190" s="13" t="s">
        <v>18</v>
      </c>
      <c r="E190" s="13" t="s">
        <v>17</v>
      </c>
      <c r="F190" s="10" t="s">
        <v>149</v>
      </c>
      <c r="G190" s="13"/>
      <c r="H190" s="10" t="str">
        <f t="shared" si="14"/>
        <v xml:space="preserve">Chicago </v>
      </c>
      <c r="I190" s="63"/>
      <c r="J190" s="63"/>
      <c r="K190" s="63"/>
      <c r="L190" s="63"/>
      <c r="M190" s="63"/>
      <c r="N190" s="63"/>
    </row>
    <row r="191" spans="4:79" x14ac:dyDescent="0.25">
      <c r="D191" s="13" t="s">
        <v>20</v>
      </c>
      <c r="E191" s="13" t="s">
        <v>19</v>
      </c>
      <c r="F191" s="10" t="s">
        <v>151</v>
      </c>
      <c r="G191" s="13"/>
      <c r="H191" s="10" t="str">
        <f t="shared" si="14"/>
        <v xml:space="preserve">Colorado Springs </v>
      </c>
      <c r="I191" s="63"/>
      <c r="J191" s="63"/>
      <c r="K191" s="63"/>
      <c r="L191" s="63"/>
      <c r="M191" s="63"/>
      <c r="N191" s="63"/>
    </row>
    <row r="192" spans="4:79" x14ac:dyDescent="0.25">
      <c r="D192" s="13" t="s">
        <v>21</v>
      </c>
      <c r="E192" s="13" t="s">
        <v>12</v>
      </c>
      <c r="F192" s="10" t="s">
        <v>150</v>
      </c>
      <c r="G192" s="13"/>
      <c r="H192" s="10" t="str">
        <f t="shared" si="14"/>
        <v xml:space="preserve">Dallas </v>
      </c>
      <c r="I192" s="63"/>
      <c r="J192" s="63"/>
      <c r="K192" s="63"/>
      <c r="L192" s="63"/>
      <c r="M192" s="63"/>
      <c r="N192" s="63"/>
    </row>
    <row r="193" spans="4:14" x14ac:dyDescent="0.25">
      <c r="D193" s="13" t="s">
        <v>22</v>
      </c>
      <c r="E193" s="13" t="s">
        <v>19</v>
      </c>
      <c r="F193" s="10" t="s">
        <v>151</v>
      </c>
      <c r="G193" s="13"/>
      <c r="H193" s="10" t="str">
        <f t="shared" si="14"/>
        <v xml:space="preserve">Denver </v>
      </c>
      <c r="I193" s="63"/>
      <c r="J193" s="63"/>
      <c r="K193" s="63"/>
      <c r="L193" s="63"/>
      <c r="M193" s="63"/>
      <c r="N193" s="63"/>
    </row>
    <row r="194" spans="4:14" x14ac:dyDescent="0.25">
      <c r="D194" s="13" t="s">
        <v>24</v>
      </c>
      <c r="E194" s="13" t="s">
        <v>23</v>
      </c>
      <c r="F194" s="10" t="s">
        <v>149</v>
      </c>
      <c r="G194" s="13"/>
      <c r="H194" s="10" t="str">
        <f t="shared" si="14"/>
        <v xml:space="preserve">Des Moines </v>
      </c>
      <c r="I194" s="63"/>
      <c r="J194" s="63"/>
      <c r="K194" s="63"/>
      <c r="L194" s="63"/>
      <c r="M194" s="63"/>
      <c r="N194" s="63"/>
    </row>
    <row r="195" spans="4:14" x14ac:dyDescent="0.25">
      <c r="D195" s="13" t="s">
        <v>26</v>
      </c>
      <c r="E195" s="13" t="s">
        <v>25</v>
      </c>
      <c r="F195" s="10" t="s">
        <v>149</v>
      </c>
      <c r="G195" s="13"/>
      <c r="H195" s="10" t="str">
        <f t="shared" si="14"/>
        <v xml:space="preserve">Detroit </v>
      </c>
      <c r="I195" s="63"/>
      <c r="J195" s="63"/>
      <c r="K195" s="63"/>
      <c r="L195" s="63"/>
      <c r="M195" s="63"/>
      <c r="N195" s="63"/>
    </row>
    <row r="196" spans="4:14" x14ac:dyDescent="0.25">
      <c r="D196" s="13" t="s">
        <v>28</v>
      </c>
      <c r="E196" s="13" t="s">
        <v>27</v>
      </c>
      <c r="F196" s="10" t="s">
        <v>149</v>
      </c>
      <c r="G196" s="13"/>
      <c r="H196" s="10" t="str">
        <f t="shared" si="14"/>
        <v xml:space="preserve">Fort Wayne </v>
      </c>
      <c r="I196" s="63"/>
      <c r="J196" s="63"/>
      <c r="K196" s="63"/>
      <c r="L196" s="63"/>
      <c r="M196" s="63"/>
      <c r="N196" s="63"/>
    </row>
    <row r="197" spans="4:14" x14ac:dyDescent="0.25">
      <c r="D197" s="13" t="s">
        <v>30</v>
      </c>
      <c r="E197" s="13" t="s">
        <v>29</v>
      </c>
      <c r="F197" s="10" t="s">
        <v>150</v>
      </c>
      <c r="G197" s="13"/>
      <c r="H197" s="10" t="str">
        <f t="shared" si="14"/>
        <v xml:space="preserve">Frankfort </v>
      </c>
      <c r="I197" s="70"/>
      <c r="J197" s="70"/>
      <c r="K197" s="70"/>
      <c r="L197" s="70"/>
      <c r="M197" s="70"/>
      <c r="N197" s="63"/>
    </row>
    <row r="198" spans="4:14" x14ac:dyDescent="0.25">
      <c r="D198" s="13" t="s">
        <v>31</v>
      </c>
      <c r="E198" s="13" t="s">
        <v>12</v>
      </c>
      <c r="F198" s="10" t="s">
        <v>150</v>
      </c>
      <c r="G198" s="13"/>
      <c r="H198" s="10" t="str">
        <f t="shared" si="14"/>
        <v xml:space="preserve">Houston </v>
      </c>
      <c r="I198" s="63"/>
      <c r="J198" s="63"/>
      <c r="K198" s="63"/>
      <c r="L198" s="63"/>
      <c r="M198" s="63"/>
      <c r="N198" s="63"/>
    </row>
    <row r="199" spans="4:14" x14ac:dyDescent="0.25">
      <c r="D199" s="13" t="s">
        <v>32</v>
      </c>
      <c r="E199" s="13" t="s">
        <v>27</v>
      </c>
      <c r="F199" s="10" t="s">
        <v>149</v>
      </c>
      <c r="G199" s="13"/>
      <c r="H199" s="10" t="str">
        <f t="shared" si="14"/>
        <v xml:space="preserve">Indianapolis </v>
      </c>
      <c r="I199" s="63"/>
      <c r="J199" s="63"/>
      <c r="K199" s="63"/>
      <c r="L199" s="63"/>
      <c r="M199" s="63"/>
      <c r="N199" s="63"/>
    </row>
    <row r="200" spans="4:14" x14ac:dyDescent="0.25">
      <c r="D200" s="13" t="s">
        <v>34</v>
      </c>
      <c r="E200" s="13" t="s">
        <v>33</v>
      </c>
      <c r="F200" s="10" t="s">
        <v>150</v>
      </c>
      <c r="G200" s="13"/>
      <c r="H200" s="10" t="str">
        <f t="shared" si="14"/>
        <v xml:space="preserve">Jackson </v>
      </c>
      <c r="I200" s="63"/>
      <c r="J200" s="63"/>
      <c r="K200" s="63"/>
      <c r="L200" s="63"/>
      <c r="M200" s="63"/>
      <c r="N200" s="63"/>
    </row>
    <row r="201" spans="4:14" x14ac:dyDescent="0.25">
      <c r="D201" s="13" t="s">
        <v>36</v>
      </c>
      <c r="E201" s="13" t="s">
        <v>35</v>
      </c>
      <c r="F201" s="10" t="s">
        <v>150</v>
      </c>
      <c r="G201" s="13"/>
      <c r="H201" s="10" t="str">
        <f t="shared" si="14"/>
        <v xml:space="preserve">Jacksonville </v>
      </c>
      <c r="I201" s="63"/>
      <c r="J201" s="63"/>
      <c r="K201" s="63"/>
      <c r="L201" s="63"/>
      <c r="M201" s="63"/>
      <c r="N201" s="63"/>
    </row>
    <row r="202" spans="4:14" x14ac:dyDescent="0.25">
      <c r="D202" s="13" t="s">
        <v>38</v>
      </c>
      <c r="E202" s="13" t="s">
        <v>37</v>
      </c>
      <c r="F202" s="10" t="s">
        <v>149</v>
      </c>
      <c r="G202" s="13"/>
      <c r="H202" s="10" t="str">
        <f t="shared" si="14"/>
        <v xml:space="preserve">Jefferson City </v>
      </c>
      <c r="I202" s="63"/>
      <c r="J202" s="63"/>
      <c r="K202" s="63"/>
      <c r="L202" s="63"/>
      <c r="M202" s="63"/>
      <c r="N202" s="63"/>
    </row>
    <row r="203" spans="4:14" x14ac:dyDescent="0.25">
      <c r="D203" s="13" t="s">
        <v>39</v>
      </c>
      <c r="E203" s="13" t="s">
        <v>37</v>
      </c>
      <c r="F203" s="10" t="s">
        <v>149</v>
      </c>
      <c r="G203" s="13"/>
      <c r="H203" s="10" t="str">
        <f t="shared" si="14"/>
        <v xml:space="preserve">Kansas City </v>
      </c>
      <c r="I203" s="63"/>
      <c r="J203" s="63"/>
      <c r="K203" s="63"/>
      <c r="L203" s="63"/>
      <c r="M203" s="63"/>
      <c r="N203" s="63"/>
    </row>
    <row r="204" spans="4:14" x14ac:dyDescent="0.25">
      <c r="D204" s="13" t="s">
        <v>40</v>
      </c>
      <c r="E204" s="13" t="s">
        <v>25</v>
      </c>
      <c r="F204" s="10" t="s">
        <v>149</v>
      </c>
      <c r="G204" s="13"/>
      <c r="H204" s="10" t="str">
        <f t="shared" si="14"/>
        <v xml:space="preserve">Lansing </v>
      </c>
      <c r="I204" s="63"/>
      <c r="J204" s="63"/>
      <c r="K204" s="63"/>
      <c r="L204" s="63"/>
      <c r="M204" s="63"/>
      <c r="N204" s="63"/>
    </row>
    <row r="205" spans="4:14" x14ac:dyDescent="0.25">
      <c r="D205" s="13" t="s">
        <v>42</v>
      </c>
      <c r="E205" s="13" t="s">
        <v>41</v>
      </c>
      <c r="F205" s="10" t="s">
        <v>149</v>
      </c>
      <c r="G205" s="13"/>
      <c r="H205" s="10" t="str">
        <f t="shared" si="14"/>
        <v xml:space="preserve">Lincoln </v>
      </c>
      <c r="I205" s="63"/>
      <c r="J205" s="63"/>
      <c r="K205" s="63"/>
      <c r="L205" s="63"/>
      <c r="M205" s="63"/>
      <c r="N205" s="63"/>
    </row>
    <row r="206" spans="4:14" x14ac:dyDescent="0.25">
      <c r="D206" s="13" t="s">
        <v>44</v>
      </c>
      <c r="E206" s="13" t="s">
        <v>43</v>
      </c>
      <c r="F206" s="10" t="s">
        <v>150</v>
      </c>
      <c r="G206" s="13"/>
      <c r="H206" s="10" t="str">
        <f t="shared" si="14"/>
        <v xml:space="preserve">Little Rock </v>
      </c>
      <c r="I206" s="70"/>
      <c r="J206" s="70"/>
      <c r="K206" s="63"/>
      <c r="L206" s="63"/>
      <c r="M206" s="63"/>
      <c r="N206" s="63"/>
    </row>
    <row r="207" spans="4:14" x14ac:dyDescent="0.25">
      <c r="D207" s="13" t="s">
        <v>45</v>
      </c>
      <c r="E207" s="13" t="s">
        <v>29</v>
      </c>
      <c r="F207" s="10" t="s">
        <v>150</v>
      </c>
      <c r="G207" s="13"/>
      <c r="H207" s="10" t="str">
        <f t="shared" si="14"/>
        <v xml:space="preserve">Louisville </v>
      </c>
      <c r="I207" s="63"/>
      <c r="J207" s="63"/>
      <c r="K207" s="63"/>
      <c r="L207" s="63"/>
      <c r="M207" s="63"/>
      <c r="N207" s="63"/>
    </row>
    <row r="208" spans="4:14" ht="15.6" x14ac:dyDescent="0.25">
      <c r="D208" s="10" t="s">
        <v>122</v>
      </c>
      <c r="E208" s="10" t="s">
        <v>46</v>
      </c>
      <c r="F208" s="10" t="s">
        <v>151</v>
      </c>
      <c r="G208" s="10" t="s">
        <v>182</v>
      </c>
      <c r="H208" s="10" t="str">
        <f t="shared" si="14"/>
        <v>Phoenix (피합병)</v>
      </c>
      <c r="I208" s="63"/>
      <c r="J208" s="63"/>
      <c r="K208" s="63"/>
      <c r="L208" s="63"/>
      <c r="M208" s="63"/>
      <c r="N208" s="63"/>
    </row>
    <row r="209" spans="4:14" ht="15.6" x14ac:dyDescent="0.25">
      <c r="D209" s="10" t="s">
        <v>123</v>
      </c>
      <c r="E209" s="10" t="s">
        <v>46</v>
      </c>
      <c r="F209" s="10" t="s">
        <v>151</v>
      </c>
      <c r="G209" s="10" t="s">
        <v>182</v>
      </c>
      <c r="H209" s="10" t="str">
        <f t="shared" si="14"/>
        <v>Tucson (피합병)</v>
      </c>
      <c r="I209" s="63"/>
      <c r="J209" s="63"/>
      <c r="K209" s="63"/>
      <c r="L209" s="63"/>
      <c r="M209" s="63"/>
      <c r="N209" s="63"/>
    </row>
    <row r="210" spans="4:14" ht="15.6" x14ac:dyDescent="0.25">
      <c r="D210" s="10" t="s">
        <v>124</v>
      </c>
      <c r="E210" s="10" t="s">
        <v>46</v>
      </c>
      <c r="F210" s="10" t="s">
        <v>151</v>
      </c>
      <c r="G210" s="10" t="s">
        <v>182</v>
      </c>
      <c r="H210" s="10" t="str">
        <f t="shared" si="14"/>
        <v>Mesa (피합병)</v>
      </c>
      <c r="I210" s="63"/>
      <c r="J210" s="63"/>
      <c r="K210" s="63"/>
      <c r="L210" s="63"/>
      <c r="M210" s="63"/>
      <c r="N210" s="63"/>
    </row>
    <row r="211" spans="4:14" ht="15.6" x14ac:dyDescent="0.25">
      <c r="D211" s="10" t="s">
        <v>125</v>
      </c>
      <c r="E211" s="10" t="s">
        <v>47</v>
      </c>
      <c r="F211" s="10" t="s">
        <v>151</v>
      </c>
      <c r="G211" s="10" t="s">
        <v>182</v>
      </c>
      <c r="H211" s="10" t="str">
        <f t="shared" si="14"/>
        <v>Los Angeles (피합병)</v>
      </c>
      <c r="I211" s="63"/>
      <c r="J211" s="63"/>
      <c r="K211" s="63"/>
      <c r="L211" s="63"/>
      <c r="M211" s="63"/>
      <c r="N211" s="63"/>
    </row>
    <row r="212" spans="4:14" ht="15.6" x14ac:dyDescent="0.25">
      <c r="D212" s="10" t="s">
        <v>126</v>
      </c>
      <c r="E212" s="10" t="s">
        <v>47</v>
      </c>
      <c r="F212" s="10" t="s">
        <v>151</v>
      </c>
      <c r="G212" s="10" t="s">
        <v>182</v>
      </c>
      <c r="H212" s="10" t="str">
        <f t="shared" si="14"/>
        <v>Sacramento (피합병)</v>
      </c>
      <c r="I212" s="63"/>
      <c r="J212" s="63"/>
      <c r="K212" s="63"/>
      <c r="L212" s="63"/>
      <c r="M212" s="63"/>
      <c r="N212" s="63"/>
    </row>
    <row r="213" spans="4:14" ht="15.6" x14ac:dyDescent="0.25">
      <c r="D213" s="10" t="s">
        <v>127</v>
      </c>
      <c r="E213" s="10" t="s">
        <v>47</v>
      </c>
      <c r="F213" s="10" t="s">
        <v>151</v>
      </c>
      <c r="G213" s="10" t="s">
        <v>182</v>
      </c>
      <c r="H213" s="10" t="str">
        <f t="shared" si="14"/>
        <v>San Francisco (피합병)</v>
      </c>
      <c r="I213" s="63"/>
      <c r="J213" s="63"/>
      <c r="K213" s="63"/>
      <c r="L213" s="63"/>
      <c r="M213" s="63"/>
      <c r="N213" s="63"/>
    </row>
    <row r="214" spans="4:14" ht="15.6" x14ac:dyDescent="0.25">
      <c r="D214" s="10" t="s">
        <v>128</v>
      </c>
      <c r="E214" s="10" t="s">
        <v>47</v>
      </c>
      <c r="F214" s="10" t="s">
        <v>151</v>
      </c>
      <c r="G214" s="10" t="s">
        <v>182</v>
      </c>
      <c r="H214" s="10" t="str">
        <f t="shared" si="14"/>
        <v>San Diego (피합병)</v>
      </c>
      <c r="I214" s="63"/>
      <c r="J214" s="63"/>
      <c r="K214" s="63"/>
      <c r="L214" s="63"/>
      <c r="M214" s="63"/>
      <c r="N214" s="63"/>
    </row>
    <row r="215" spans="4:14" ht="15.6" x14ac:dyDescent="0.25">
      <c r="D215" s="10" t="s">
        <v>129</v>
      </c>
      <c r="E215" s="10" t="s">
        <v>47</v>
      </c>
      <c r="F215" s="10" t="s">
        <v>151</v>
      </c>
      <c r="G215" s="10" t="s">
        <v>182</v>
      </c>
      <c r="H215" s="10" t="str">
        <f t="shared" si="14"/>
        <v>San Jose (피합병)</v>
      </c>
      <c r="I215" s="63"/>
      <c r="J215" s="63"/>
      <c r="K215" s="63"/>
      <c r="L215" s="63"/>
      <c r="M215" s="63"/>
      <c r="N215" s="63"/>
    </row>
    <row r="216" spans="4:14" ht="15.6" x14ac:dyDescent="0.25">
      <c r="D216" s="10" t="s">
        <v>130</v>
      </c>
      <c r="E216" s="10" t="s">
        <v>50</v>
      </c>
      <c r="F216" s="10" t="s">
        <v>151</v>
      </c>
      <c r="G216" s="10" t="s">
        <v>182</v>
      </c>
      <c r="H216" s="10" t="str">
        <f t="shared" si="14"/>
        <v>Boise (피합병)</v>
      </c>
      <c r="I216" s="63"/>
      <c r="J216" s="63"/>
      <c r="K216" s="63"/>
      <c r="L216" s="63"/>
      <c r="M216" s="63"/>
      <c r="N216" s="63"/>
    </row>
    <row r="217" spans="4:14" ht="15.6" x14ac:dyDescent="0.25">
      <c r="D217" s="10" t="s">
        <v>131</v>
      </c>
      <c r="E217" s="10" t="s">
        <v>91</v>
      </c>
      <c r="F217" s="10" t="s">
        <v>151</v>
      </c>
      <c r="G217" s="10" t="s">
        <v>182</v>
      </c>
      <c r="H217" s="10" t="str">
        <f t="shared" si="14"/>
        <v>Carson City (피합병)</v>
      </c>
      <c r="I217" s="63"/>
      <c r="J217" s="63"/>
      <c r="K217" s="63"/>
      <c r="L217" s="63"/>
      <c r="M217" s="63"/>
      <c r="N217" s="63"/>
    </row>
    <row r="218" spans="4:14" ht="15.6" x14ac:dyDescent="0.25">
      <c r="D218" s="10" t="s">
        <v>132</v>
      </c>
      <c r="E218" s="10" t="s">
        <v>91</v>
      </c>
      <c r="F218" s="10" t="s">
        <v>151</v>
      </c>
      <c r="G218" s="10" t="s">
        <v>182</v>
      </c>
      <c r="H218" s="10" t="str">
        <f t="shared" si="14"/>
        <v>Las Vegas (피합병)</v>
      </c>
      <c r="I218" s="63"/>
      <c r="J218" s="63"/>
      <c r="K218" s="63"/>
      <c r="L218" s="63"/>
      <c r="M218" s="63"/>
      <c r="N218" s="63"/>
    </row>
    <row r="219" spans="4:14" ht="15.6" x14ac:dyDescent="0.25">
      <c r="D219" s="10" t="s">
        <v>133</v>
      </c>
      <c r="E219" s="10" t="s">
        <v>98</v>
      </c>
      <c r="F219" s="10" t="s">
        <v>151</v>
      </c>
      <c r="G219" s="10" t="s">
        <v>182</v>
      </c>
      <c r="H219" s="10" t="str">
        <f t="shared" ref="H219:H248" si="15">CONCATENATE(D219," ",G219)</f>
        <v>Salem (피합병)</v>
      </c>
      <c r="I219" s="63"/>
      <c r="J219" s="63"/>
      <c r="K219" s="63"/>
      <c r="L219" s="63"/>
      <c r="M219" s="63"/>
      <c r="N219" s="63"/>
    </row>
    <row r="220" spans="4:14" ht="15.6" x14ac:dyDescent="0.25">
      <c r="D220" s="10" t="s">
        <v>89</v>
      </c>
      <c r="E220" s="10" t="s">
        <v>98</v>
      </c>
      <c r="F220" s="10" t="s">
        <v>151</v>
      </c>
      <c r="G220" s="10" t="s">
        <v>182</v>
      </c>
      <c r="H220" s="10" t="str">
        <f t="shared" si="15"/>
        <v>Portland (피합병)</v>
      </c>
      <c r="I220" s="63"/>
      <c r="J220" s="63"/>
      <c r="K220" s="63"/>
      <c r="L220" s="63"/>
      <c r="M220" s="63"/>
      <c r="N220" s="63"/>
    </row>
    <row r="221" spans="4:14" ht="15.6" x14ac:dyDescent="0.25">
      <c r="D221" s="10" t="s">
        <v>134</v>
      </c>
      <c r="E221" s="10" t="s">
        <v>109</v>
      </c>
      <c r="F221" s="10" t="s">
        <v>151</v>
      </c>
      <c r="G221" s="10" t="s">
        <v>182</v>
      </c>
      <c r="H221" s="10" t="str">
        <f t="shared" si="15"/>
        <v>Salt Lake City (피합병)</v>
      </c>
      <c r="I221" s="63"/>
      <c r="J221" s="63"/>
      <c r="K221" s="63"/>
      <c r="L221" s="63"/>
      <c r="M221" s="63"/>
      <c r="N221" s="63"/>
    </row>
    <row r="222" spans="4:14" ht="15.6" x14ac:dyDescent="0.25">
      <c r="D222" s="10" t="s">
        <v>135</v>
      </c>
      <c r="E222" s="10" t="s">
        <v>115</v>
      </c>
      <c r="F222" s="10" t="s">
        <v>151</v>
      </c>
      <c r="G222" s="10" t="s">
        <v>182</v>
      </c>
      <c r="H222" s="10" t="str">
        <f t="shared" si="15"/>
        <v>Olympia (피합병)</v>
      </c>
      <c r="I222" s="63"/>
      <c r="J222" s="63"/>
      <c r="K222" s="63"/>
      <c r="L222" s="63"/>
      <c r="M222" s="63"/>
      <c r="N222" s="63"/>
    </row>
    <row r="223" spans="4:14" ht="15.6" x14ac:dyDescent="0.25">
      <c r="D223" s="10" t="s">
        <v>136</v>
      </c>
      <c r="E223" s="10" t="s">
        <v>115</v>
      </c>
      <c r="F223" s="10" t="s">
        <v>151</v>
      </c>
      <c r="G223" s="10" t="s">
        <v>182</v>
      </c>
      <c r="H223" s="10" t="str">
        <f t="shared" si="15"/>
        <v>Seattle (피합병)</v>
      </c>
      <c r="I223" s="63"/>
      <c r="J223" s="63"/>
      <c r="K223" s="63"/>
      <c r="L223" s="63"/>
      <c r="M223" s="63"/>
      <c r="N223" s="63"/>
    </row>
    <row r="224" spans="4:14" ht="15.6" x14ac:dyDescent="0.25">
      <c r="D224" s="10" t="s">
        <v>36</v>
      </c>
      <c r="E224" s="10" t="s">
        <v>35</v>
      </c>
      <c r="F224" s="10" t="s">
        <v>150</v>
      </c>
      <c r="G224" s="10" t="s">
        <v>182</v>
      </c>
      <c r="H224" s="10" t="str">
        <f t="shared" si="15"/>
        <v>Jacksonville (피합병)</v>
      </c>
      <c r="I224" s="63"/>
      <c r="J224" s="63"/>
      <c r="K224" s="63"/>
      <c r="L224" s="63"/>
      <c r="M224" s="63"/>
      <c r="N224" s="63"/>
    </row>
    <row r="225" spans="4:14" ht="15.6" x14ac:dyDescent="0.25">
      <c r="D225" s="10" t="s">
        <v>38</v>
      </c>
      <c r="E225" s="10" t="s">
        <v>37</v>
      </c>
      <c r="F225" s="10" t="s">
        <v>149</v>
      </c>
      <c r="G225" s="10" t="s">
        <v>182</v>
      </c>
      <c r="H225" s="10" t="str">
        <f t="shared" si="15"/>
        <v>Jefferson City (피합병)</v>
      </c>
      <c r="I225" s="63"/>
      <c r="J225" s="63"/>
      <c r="K225" s="63"/>
      <c r="L225" s="63"/>
      <c r="M225" s="63"/>
      <c r="N225" s="63"/>
    </row>
    <row r="226" spans="4:14" ht="15.6" x14ac:dyDescent="0.25">
      <c r="D226" s="10" t="s">
        <v>39</v>
      </c>
      <c r="E226" s="10" t="s">
        <v>37</v>
      </c>
      <c r="F226" s="10" t="s">
        <v>149</v>
      </c>
      <c r="G226" s="10" t="s">
        <v>182</v>
      </c>
      <c r="H226" s="10" t="str">
        <f t="shared" si="15"/>
        <v>Kansas City (피합병)</v>
      </c>
      <c r="I226" s="63"/>
      <c r="J226" s="63"/>
      <c r="K226" s="63"/>
      <c r="L226" s="63"/>
      <c r="M226" s="63"/>
      <c r="N226" s="63"/>
    </row>
    <row r="227" spans="4:14" ht="15.6" x14ac:dyDescent="0.25">
      <c r="D227" s="10" t="s">
        <v>40</v>
      </c>
      <c r="E227" s="10" t="s">
        <v>25</v>
      </c>
      <c r="F227" s="10" t="s">
        <v>149</v>
      </c>
      <c r="G227" s="10" t="s">
        <v>182</v>
      </c>
      <c r="H227" s="10" t="str">
        <f t="shared" si="15"/>
        <v>Lansing (피합병)</v>
      </c>
      <c r="I227" s="63"/>
      <c r="J227" s="63"/>
      <c r="K227" s="63"/>
      <c r="L227" s="63"/>
      <c r="M227" s="63"/>
      <c r="N227" s="63"/>
    </row>
    <row r="228" spans="4:14" ht="15.6" x14ac:dyDescent="0.25">
      <c r="D228" s="10" t="s">
        <v>42</v>
      </c>
      <c r="E228" s="10" t="s">
        <v>41</v>
      </c>
      <c r="F228" s="10" t="s">
        <v>149</v>
      </c>
      <c r="G228" s="10" t="s">
        <v>182</v>
      </c>
      <c r="H228" s="10" t="str">
        <f t="shared" si="15"/>
        <v>Lincoln (피합병)</v>
      </c>
      <c r="I228" s="63"/>
      <c r="J228" s="63"/>
      <c r="K228" s="63"/>
      <c r="L228" s="63"/>
      <c r="M228" s="63"/>
      <c r="N228" s="63"/>
    </row>
    <row r="229" spans="4:14" ht="15.6" x14ac:dyDescent="0.25">
      <c r="D229" s="10" t="s">
        <v>44</v>
      </c>
      <c r="E229" s="10" t="s">
        <v>43</v>
      </c>
      <c r="F229" s="10" t="s">
        <v>150</v>
      </c>
      <c r="G229" s="10" t="s">
        <v>182</v>
      </c>
      <c r="H229" s="10" t="str">
        <f t="shared" si="15"/>
        <v>Little Rock (피합병)</v>
      </c>
      <c r="I229" s="63"/>
      <c r="J229" s="63"/>
      <c r="K229" s="63"/>
      <c r="L229" s="63"/>
      <c r="M229" s="63"/>
      <c r="N229" s="63"/>
    </row>
    <row r="230" spans="4:14" ht="15.6" x14ac:dyDescent="0.25">
      <c r="D230" s="10" t="s">
        <v>45</v>
      </c>
      <c r="E230" s="10" t="s">
        <v>29</v>
      </c>
      <c r="F230" s="10" t="s">
        <v>150</v>
      </c>
      <c r="G230" s="10" t="s">
        <v>182</v>
      </c>
      <c r="H230" s="10" t="str">
        <f t="shared" si="15"/>
        <v>Louisville (피합병)</v>
      </c>
      <c r="I230" s="63"/>
      <c r="J230" s="63"/>
      <c r="K230" s="63"/>
      <c r="L230" s="63"/>
      <c r="M230" s="63"/>
      <c r="N230" s="63"/>
    </row>
    <row r="231" spans="4:14" ht="15.6" x14ac:dyDescent="0.25">
      <c r="D231" s="10" t="s">
        <v>55</v>
      </c>
      <c r="E231" s="10" t="s">
        <v>54</v>
      </c>
      <c r="F231" s="10" t="s">
        <v>149</v>
      </c>
      <c r="G231" s="10" t="s">
        <v>182</v>
      </c>
      <c r="H231" s="10" t="str">
        <f t="shared" si="15"/>
        <v>Madison (피합병)</v>
      </c>
      <c r="I231" s="63"/>
      <c r="J231" s="63"/>
      <c r="K231" s="63"/>
      <c r="L231" s="63"/>
      <c r="M231" s="63"/>
      <c r="N231" s="63"/>
    </row>
    <row r="232" spans="4:14" ht="15.6" x14ac:dyDescent="0.25">
      <c r="D232" s="10" t="s">
        <v>57</v>
      </c>
      <c r="E232" s="10" t="s">
        <v>56</v>
      </c>
      <c r="F232" s="10" t="s">
        <v>150</v>
      </c>
      <c r="G232" s="10" t="s">
        <v>182</v>
      </c>
      <c r="H232" s="10" t="str">
        <f t="shared" si="15"/>
        <v>Memphis (피합병)</v>
      </c>
      <c r="I232" s="63"/>
      <c r="J232" s="63"/>
      <c r="K232" s="63"/>
      <c r="L232" s="63"/>
      <c r="M232" s="63"/>
      <c r="N232" s="63"/>
    </row>
    <row r="233" spans="4:14" ht="15.6" x14ac:dyDescent="0.25">
      <c r="D233" s="10" t="s">
        <v>58</v>
      </c>
      <c r="E233" s="10" t="s">
        <v>54</v>
      </c>
      <c r="F233" s="10" t="s">
        <v>149</v>
      </c>
      <c r="G233" s="10" t="s">
        <v>182</v>
      </c>
      <c r="H233" s="10" t="str">
        <f t="shared" si="15"/>
        <v>Milwaukee (피합병)</v>
      </c>
      <c r="I233" s="63"/>
      <c r="J233" s="63"/>
      <c r="K233" s="63"/>
      <c r="L233" s="63"/>
      <c r="M233" s="63"/>
      <c r="N233" s="63"/>
    </row>
    <row r="234" spans="4:14" ht="15.6" x14ac:dyDescent="0.25">
      <c r="D234" s="10" t="s">
        <v>60</v>
      </c>
      <c r="E234" s="10" t="s">
        <v>59</v>
      </c>
      <c r="F234" s="10" t="s">
        <v>149</v>
      </c>
      <c r="G234" s="10" t="s">
        <v>182</v>
      </c>
      <c r="H234" s="10" t="str">
        <f t="shared" si="15"/>
        <v>Minneapolis (피합병)</v>
      </c>
      <c r="I234" s="63"/>
      <c r="J234" s="63"/>
      <c r="K234" s="63"/>
      <c r="L234" s="63"/>
      <c r="M234" s="63"/>
      <c r="N234" s="63"/>
    </row>
    <row r="235" spans="4:14" ht="15.6" x14ac:dyDescent="0.25">
      <c r="D235" s="10" t="s">
        <v>61</v>
      </c>
      <c r="E235" s="10" t="s">
        <v>2</v>
      </c>
      <c r="F235" s="10" t="s">
        <v>150</v>
      </c>
      <c r="G235" s="10" t="s">
        <v>182</v>
      </c>
      <c r="H235" s="10" t="str">
        <f t="shared" si="15"/>
        <v>Montgomery (피합병)</v>
      </c>
      <c r="I235" s="63"/>
      <c r="J235" s="63"/>
      <c r="K235" s="63"/>
      <c r="L235" s="63"/>
      <c r="M235" s="63"/>
      <c r="N235" s="63"/>
    </row>
    <row r="236" spans="4:14" ht="15.6" x14ac:dyDescent="0.25">
      <c r="D236" s="10" t="s">
        <v>62</v>
      </c>
      <c r="E236" s="10" t="s">
        <v>56</v>
      </c>
      <c r="F236" s="10" t="s">
        <v>150</v>
      </c>
      <c r="G236" s="10" t="s">
        <v>182</v>
      </c>
      <c r="H236" s="10" t="str">
        <f t="shared" si="15"/>
        <v>Nashville (피합병)</v>
      </c>
      <c r="I236" s="63"/>
      <c r="J236" s="63"/>
      <c r="K236" s="63"/>
      <c r="L236" s="63"/>
      <c r="M236" s="63"/>
      <c r="N236" s="63"/>
    </row>
    <row r="237" spans="4:14" ht="15.6" x14ac:dyDescent="0.25">
      <c r="D237" s="10" t="s">
        <v>63</v>
      </c>
      <c r="E237" s="10" t="s">
        <v>14</v>
      </c>
      <c r="F237" s="10" t="s">
        <v>150</v>
      </c>
      <c r="G237" s="10" t="s">
        <v>182</v>
      </c>
      <c r="H237" s="10" t="str">
        <f t="shared" si="15"/>
        <v>New Orleans (피합병)</v>
      </c>
      <c r="I237" s="63"/>
      <c r="J237" s="63"/>
      <c r="K237" s="63"/>
      <c r="L237" s="63"/>
      <c r="M237" s="63"/>
      <c r="N237" s="63"/>
    </row>
    <row r="238" spans="4:14" ht="15.6" x14ac:dyDescent="0.25">
      <c r="D238" s="10" t="s">
        <v>65</v>
      </c>
      <c r="E238" s="10" t="s">
        <v>64</v>
      </c>
      <c r="F238" s="10" t="s">
        <v>150</v>
      </c>
      <c r="G238" s="10" t="s">
        <v>182</v>
      </c>
      <c r="H238" s="10" t="str">
        <f t="shared" si="15"/>
        <v>Oklahoma City (피합병)</v>
      </c>
      <c r="I238" s="63"/>
      <c r="J238" s="63"/>
      <c r="K238" s="63"/>
      <c r="L238" s="63"/>
      <c r="M238" s="63"/>
      <c r="N238" s="63"/>
    </row>
    <row r="239" spans="4:14" ht="15.6" x14ac:dyDescent="0.25">
      <c r="D239" s="10" t="s">
        <v>66</v>
      </c>
      <c r="E239" s="10" t="s">
        <v>41</v>
      </c>
      <c r="F239" s="10" t="s">
        <v>149</v>
      </c>
      <c r="G239" s="10" t="s">
        <v>182</v>
      </c>
      <c r="H239" s="10" t="str">
        <f t="shared" si="15"/>
        <v>Omaha (피합병)</v>
      </c>
      <c r="I239" s="63"/>
      <c r="J239" s="63"/>
      <c r="K239" s="63"/>
      <c r="L239" s="63"/>
      <c r="M239" s="63"/>
      <c r="N239" s="63"/>
    </row>
    <row r="240" spans="4:14" ht="15.6" x14ac:dyDescent="0.25">
      <c r="D240" s="10" t="s">
        <v>68</v>
      </c>
      <c r="E240" s="10" t="s">
        <v>67</v>
      </c>
      <c r="F240" s="10" t="s">
        <v>149</v>
      </c>
      <c r="G240" s="10" t="s">
        <v>182</v>
      </c>
      <c r="H240" s="10" t="str">
        <f t="shared" si="15"/>
        <v>Pierre (피합병)</v>
      </c>
      <c r="I240" s="63"/>
      <c r="J240" s="63"/>
      <c r="K240" s="63"/>
      <c r="L240" s="63"/>
      <c r="M240" s="63"/>
      <c r="N240" s="63"/>
    </row>
    <row r="241" spans="4:17" ht="15.6" x14ac:dyDescent="0.35">
      <c r="D241" s="10" t="s">
        <v>69</v>
      </c>
      <c r="E241" s="10" t="s">
        <v>59</v>
      </c>
      <c r="F241" s="10" t="s">
        <v>149</v>
      </c>
      <c r="G241" s="10" t="s">
        <v>182</v>
      </c>
      <c r="H241" s="10" t="str">
        <f t="shared" si="15"/>
        <v>Saint Paul (피합병)</v>
      </c>
      <c r="I241" s="63"/>
      <c r="J241" s="63"/>
      <c r="K241" s="63"/>
      <c r="L241" s="63"/>
      <c r="M241" s="63"/>
      <c r="N241" s="63"/>
      <c r="P241" s="43"/>
    </row>
    <row r="242" spans="4:17" ht="15.6" x14ac:dyDescent="0.25">
      <c r="D242" s="10" t="s">
        <v>70</v>
      </c>
      <c r="E242" s="10" t="s">
        <v>8</v>
      </c>
      <c r="F242" s="10" t="s">
        <v>151</v>
      </c>
      <c r="G242" s="10" t="s">
        <v>182</v>
      </c>
      <c r="H242" s="10" t="str">
        <f t="shared" si="15"/>
        <v>Santa Fe (피합병)</v>
      </c>
      <c r="I242" s="63"/>
      <c r="J242" s="63"/>
      <c r="K242" s="63"/>
      <c r="L242" s="63"/>
      <c r="M242" s="63"/>
      <c r="N242" s="63"/>
    </row>
    <row r="243" spans="4:17" ht="15.6" x14ac:dyDescent="0.25">
      <c r="D243" s="10" t="s">
        <v>71</v>
      </c>
      <c r="E243" s="10" t="s">
        <v>67</v>
      </c>
      <c r="F243" s="10" t="s">
        <v>149</v>
      </c>
      <c r="G243" s="10" t="s">
        <v>182</v>
      </c>
      <c r="H243" s="10" t="str">
        <f t="shared" si="15"/>
        <v>Sioux Falls (피합병)</v>
      </c>
      <c r="I243" s="63"/>
      <c r="J243" s="63"/>
      <c r="K243" s="63"/>
      <c r="L243" s="63"/>
      <c r="M243" s="63"/>
      <c r="N243" s="63"/>
    </row>
    <row r="244" spans="4:17" ht="15.6" x14ac:dyDescent="0.25">
      <c r="D244" s="10" t="s">
        <v>72</v>
      </c>
      <c r="E244" s="10" t="s">
        <v>17</v>
      </c>
      <c r="F244" s="10" t="s">
        <v>149</v>
      </c>
      <c r="G244" s="10" t="s">
        <v>182</v>
      </c>
      <c r="H244" s="10" t="str">
        <f t="shared" si="15"/>
        <v>Springfield (피합병)</v>
      </c>
      <c r="I244" s="63"/>
      <c r="J244" s="63"/>
      <c r="K244" s="63"/>
      <c r="L244" s="63"/>
      <c r="M244" s="63"/>
      <c r="N244" s="63"/>
    </row>
    <row r="245" spans="4:17" ht="15.6" x14ac:dyDescent="0.25">
      <c r="D245" s="10" t="s">
        <v>73</v>
      </c>
      <c r="E245" s="10" t="s">
        <v>35</v>
      </c>
      <c r="F245" s="10" t="s">
        <v>150</v>
      </c>
      <c r="G245" s="10" t="s">
        <v>182</v>
      </c>
      <c r="H245" s="10" t="str">
        <f t="shared" si="15"/>
        <v>Tallahassee (피합병)</v>
      </c>
      <c r="I245" s="63"/>
      <c r="J245" s="63"/>
      <c r="K245" s="63"/>
      <c r="L245" s="63"/>
      <c r="M245" s="63"/>
      <c r="N245" s="63"/>
    </row>
    <row r="246" spans="4:17" ht="15.6" x14ac:dyDescent="0.25">
      <c r="D246" s="10" t="s">
        <v>74</v>
      </c>
      <c r="E246" s="10" t="s">
        <v>51</v>
      </c>
      <c r="F246" s="10" t="s">
        <v>149</v>
      </c>
      <c r="G246" s="10" t="s">
        <v>182</v>
      </c>
      <c r="H246" s="10" t="str">
        <f t="shared" si="15"/>
        <v>Topeka (피합병)</v>
      </c>
      <c r="I246" s="63"/>
      <c r="J246" s="63"/>
      <c r="K246" s="63"/>
      <c r="L246" s="63"/>
      <c r="M246" s="63"/>
      <c r="N246" s="63"/>
    </row>
    <row r="247" spans="4:17" ht="15.6" x14ac:dyDescent="0.25">
      <c r="D247" s="10" t="s">
        <v>75</v>
      </c>
      <c r="E247" s="10" t="s">
        <v>64</v>
      </c>
      <c r="F247" s="10" t="s">
        <v>150</v>
      </c>
      <c r="G247" s="10" t="s">
        <v>182</v>
      </c>
      <c r="H247" s="10" t="str">
        <f t="shared" si="15"/>
        <v>Tulsa (피합병)</v>
      </c>
      <c r="I247" s="63"/>
      <c r="J247" s="63"/>
      <c r="K247" s="63"/>
      <c r="L247" s="63"/>
      <c r="M247" s="63"/>
      <c r="N247" s="63"/>
    </row>
    <row r="248" spans="4:17" ht="15.6" x14ac:dyDescent="0.25">
      <c r="D248" s="25" t="s">
        <v>76</v>
      </c>
      <c r="E248" s="25" t="s">
        <v>51</v>
      </c>
      <c r="F248" s="25" t="s">
        <v>149</v>
      </c>
      <c r="G248" s="25" t="s">
        <v>182</v>
      </c>
      <c r="H248" s="25" t="str">
        <f t="shared" si="15"/>
        <v>Wichita (피합병)</v>
      </c>
      <c r="I248" s="71"/>
      <c r="J248" s="71"/>
      <c r="K248" s="71"/>
      <c r="L248" s="71"/>
      <c r="M248" s="71"/>
      <c r="N248" s="71"/>
    </row>
    <row r="249" spans="4:17" ht="14.4" x14ac:dyDescent="0.3">
      <c r="D249" s="10"/>
      <c r="E249" s="10"/>
      <c r="F249" s="10"/>
      <c r="G249" s="10"/>
      <c r="H249" s="10" t="s">
        <v>163</v>
      </c>
      <c r="I249" s="11">
        <f t="shared" ref="I249:M249" si="16">SUM(I155:I248)</f>
        <v>0</v>
      </c>
      <c r="J249" s="11">
        <f t="shared" si="16"/>
        <v>0</v>
      </c>
      <c r="K249" s="11">
        <f t="shared" si="16"/>
        <v>0</v>
      </c>
      <c r="L249" s="11">
        <f t="shared" si="16"/>
        <v>0</v>
      </c>
      <c r="M249" s="11">
        <f t="shared" si="16"/>
        <v>0</v>
      </c>
      <c r="N249" s="11">
        <f>SUM(N155:N248)</f>
        <v>0</v>
      </c>
      <c r="P249" s="72"/>
    </row>
    <row r="250" spans="4:17" x14ac:dyDescent="0.25">
      <c r="Q250" s="6" t="s">
        <v>217</v>
      </c>
    </row>
    <row r="251" spans="4:17" outlineLevel="2" x14ac:dyDescent="0.25">
      <c r="D251" s="6" t="s">
        <v>142</v>
      </c>
      <c r="I251" s="7">
        <v>2015</v>
      </c>
      <c r="J251" s="7">
        <f>+I251+1</f>
        <v>2016</v>
      </c>
      <c r="K251" s="7">
        <f t="shared" ref="K251:N251" si="17">+J251+1</f>
        <v>2017</v>
      </c>
      <c r="L251" s="7">
        <f t="shared" si="17"/>
        <v>2018</v>
      </c>
      <c r="M251" s="7">
        <f t="shared" si="17"/>
        <v>2019</v>
      </c>
      <c r="N251" s="7">
        <f t="shared" si="17"/>
        <v>2020</v>
      </c>
      <c r="P251" s="23" t="s">
        <v>6</v>
      </c>
    </row>
    <row r="252" spans="4:17" ht="14.4" outlineLevel="2" x14ac:dyDescent="0.3">
      <c r="F252" s="10"/>
      <c r="G252" s="10"/>
      <c r="H252" s="26" t="s">
        <v>180</v>
      </c>
      <c r="I252" s="63"/>
      <c r="J252" s="63"/>
      <c r="K252" s="63"/>
      <c r="L252" s="63"/>
      <c r="M252" s="63"/>
      <c r="N252" s="63"/>
      <c r="P252" s="72"/>
      <c r="Q252" s="49"/>
    </row>
    <row r="253" spans="4:17" ht="14.4" outlineLevel="2" x14ac:dyDescent="0.3">
      <c r="F253" s="10"/>
      <c r="G253" s="10"/>
      <c r="H253" s="26" t="s">
        <v>150</v>
      </c>
      <c r="I253" s="63"/>
      <c r="J253" s="63"/>
      <c r="K253" s="63"/>
      <c r="L253" s="63"/>
      <c r="M253" s="63"/>
      <c r="N253" s="63"/>
      <c r="P253" s="72"/>
      <c r="Q253" s="49"/>
    </row>
    <row r="254" spans="4:17" ht="14.4" outlineLevel="2" x14ac:dyDescent="0.3">
      <c r="F254" s="10"/>
      <c r="G254" s="10"/>
      <c r="H254" s="26" t="s">
        <v>149</v>
      </c>
      <c r="I254" s="63"/>
      <c r="J254" s="63"/>
      <c r="K254" s="63"/>
      <c r="L254" s="63"/>
      <c r="M254" s="63"/>
      <c r="N254" s="63"/>
      <c r="P254" s="72"/>
      <c r="Q254" s="49"/>
    </row>
    <row r="255" spans="4:17" ht="14.4" outlineLevel="2" x14ac:dyDescent="0.3">
      <c r="F255" s="10"/>
      <c r="G255" s="10"/>
      <c r="H255" s="26" t="s">
        <v>151</v>
      </c>
      <c r="I255" s="63"/>
      <c r="J255" s="63"/>
      <c r="K255" s="63"/>
      <c r="L255" s="63"/>
      <c r="M255" s="63"/>
      <c r="N255" s="63"/>
      <c r="P255" s="72"/>
      <c r="Q255" s="49"/>
    </row>
    <row r="256" spans="4:17" ht="14.4" outlineLevel="2" x14ac:dyDescent="0.3">
      <c r="H256" s="3" t="s">
        <v>213</v>
      </c>
      <c r="I256" s="72"/>
      <c r="J256" s="72"/>
      <c r="K256" s="72"/>
      <c r="L256" s="72"/>
      <c r="M256" s="72"/>
      <c r="N256" s="72"/>
    </row>
    <row r="257" spans="4:31" outlineLevel="2" x14ac:dyDescent="0.25">
      <c r="D257" s="6" t="s">
        <v>160</v>
      </c>
      <c r="N257" s="11"/>
    </row>
    <row r="258" spans="4:31" ht="15.6" outlineLevel="2" x14ac:dyDescent="0.3">
      <c r="F258" s="10" t="s">
        <v>180</v>
      </c>
      <c r="G258" s="10" t="s">
        <v>182</v>
      </c>
      <c r="H258" s="10" t="str">
        <f>CONCATENATE(F258," ",G258)</f>
        <v>East (피합병)</v>
      </c>
      <c r="I258" s="63"/>
      <c r="J258" s="63"/>
      <c r="K258" s="63"/>
      <c r="L258" s="63"/>
      <c r="M258" s="63"/>
      <c r="N258" s="63"/>
      <c r="P258" s="72"/>
      <c r="Q258" s="49"/>
      <c r="AE258" s="4"/>
    </row>
    <row r="259" spans="4:31" ht="15.6" outlineLevel="2" x14ac:dyDescent="0.3">
      <c r="F259" s="10" t="s">
        <v>150</v>
      </c>
      <c r="G259" s="10" t="s">
        <v>182</v>
      </c>
      <c r="H259" s="10" t="str">
        <f t="shared" ref="H259:H261" si="18">CONCATENATE(F259," ",G259)</f>
        <v>South (피합병)</v>
      </c>
      <c r="I259" s="63"/>
      <c r="J259" s="63"/>
      <c r="K259" s="63"/>
      <c r="L259" s="63"/>
      <c r="M259" s="63"/>
      <c r="N259" s="63"/>
      <c r="P259" s="72"/>
      <c r="Q259" s="49"/>
      <c r="AE259" s="4"/>
    </row>
    <row r="260" spans="4:31" ht="15.6" outlineLevel="2" x14ac:dyDescent="0.3">
      <c r="F260" s="10" t="s">
        <v>149</v>
      </c>
      <c r="G260" s="10" t="s">
        <v>182</v>
      </c>
      <c r="H260" s="10" t="str">
        <f t="shared" si="18"/>
        <v>Midwest (피합병)</v>
      </c>
      <c r="I260" s="63"/>
      <c r="J260" s="63"/>
      <c r="K260" s="63"/>
      <c r="L260" s="63"/>
      <c r="M260" s="63"/>
      <c r="N260" s="63"/>
      <c r="P260" s="72"/>
      <c r="Q260" s="49"/>
      <c r="AE260" s="4"/>
    </row>
    <row r="261" spans="4:31" ht="15.6" outlineLevel="2" x14ac:dyDescent="0.3">
      <c r="F261" s="10" t="s">
        <v>151</v>
      </c>
      <c r="G261" s="10" t="s">
        <v>182</v>
      </c>
      <c r="H261" s="10" t="str">
        <f t="shared" si="18"/>
        <v>West (피합병)</v>
      </c>
      <c r="I261" s="63"/>
      <c r="J261" s="63"/>
      <c r="K261" s="63"/>
      <c r="L261" s="63"/>
      <c r="M261" s="63"/>
      <c r="N261" s="63"/>
      <c r="P261" s="72"/>
      <c r="Q261" s="49"/>
    </row>
    <row r="262" spans="4:31" outlineLevel="2" x14ac:dyDescent="0.25">
      <c r="N262" s="11"/>
      <c r="Y262" s="27"/>
    </row>
    <row r="263" spans="4:31" outlineLevel="2" x14ac:dyDescent="0.25">
      <c r="Y263" s="27"/>
    </row>
    <row r="264" spans="4:31" outlineLevel="2" x14ac:dyDescent="0.25">
      <c r="Y264" s="27"/>
    </row>
    <row r="265" spans="4:31" outlineLevel="2" x14ac:dyDescent="0.25">
      <c r="Y265" s="27"/>
    </row>
    <row r="266" spans="4:31" outlineLevel="1" x14ac:dyDescent="0.25">
      <c r="D266" s="6" t="s">
        <v>161</v>
      </c>
      <c r="I266" s="7">
        <v>2015</v>
      </c>
      <c r="J266" s="7">
        <f>+I266+1</f>
        <v>2016</v>
      </c>
      <c r="K266" s="7">
        <f t="shared" ref="K266:N266" si="19">+J266+1</f>
        <v>2017</v>
      </c>
      <c r="L266" s="7">
        <f t="shared" si="19"/>
        <v>2018</v>
      </c>
      <c r="M266" s="7">
        <f t="shared" si="19"/>
        <v>2019</v>
      </c>
      <c r="N266" s="7">
        <f t="shared" si="19"/>
        <v>2020</v>
      </c>
      <c r="Y266" s="27"/>
    </row>
    <row r="267" spans="4:31" ht="14.4" outlineLevel="1" x14ac:dyDescent="0.3">
      <c r="F267" s="10"/>
      <c r="G267" s="10"/>
      <c r="H267" s="10" t="s">
        <v>180</v>
      </c>
      <c r="I267" s="63"/>
      <c r="J267" s="63"/>
      <c r="K267" s="63"/>
      <c r="L267" s="63"/>
      <c r="M267" s="63"/>
      <c r="N267" s="63"/>
      <c r="P267" s="24"/>
      <c r="Y267" s="27"/>
    </row>
    <row r="268" spans="4:31" ht="14.4" outlineLevel="1" x14ac:dyDescent="0.3">
      <c r="F268" s="10"/>
      <c r="G268" s="10"/>
      <c r="H268" s="10" t="s">
        <v>150</v>
      </c>
      <c r="I268" s="63"/>
      <c r="J268" s="63"/>
      <c r="K268" s="63"/>
      <c r="L268" s="63"/>
      <c r="M268" s="63"/>
      <c r="N268" s="63"/>
      <c r="P268" s="24"/>
      <c r="Y268" s="27"/>
    </row>
    <row r="269" spans="4:31" ht="14.4" outlineLevel="1" x14ac:dyDescent="0.3">
      <c r="F269" s="10"/>
      <c r="G269" s="10"/>
      <c r="H269" s="10" t="s">
        <v>149</v>
      </c>
      <c r="I269" s="63"/>
      <c r="J269" s="63"/>
      <c r="K269" s="63"/>
      <c r="L269" s="63"/>
      <c r="M269" s="63"/>
      <c r="N269" s="63"/>
      <c r="P269" s="24"/>
      <c r="Y269" s="27"/>
    </row>
    <row r="270" spans="4:31" ht="14.4" outlineLevel="1" x14ac:dyDescent="0.3">
      <c r="F270" s="10"/>
      <c r="G270" s="10"/>
      <c r="H270" s="10" t="s">
        <v>151</v>
      </c>
      <c r="I270" s="63"/>
      <c r="J270" s="63"/>
      <c r="K270" s="63"/>
      <c r="L270" s="63"/>
      <c r="M270" s="63"/>
      <c r="N270" s="63"/>
      <c r="P270" s="24"/>
      <c r="Y270" s="27"/>
      <c r="AE270" s="4"/>
    </row>
    <row r="271" spans="4:31" outlineLevel="1" x14ac:dyDescent="0.25">
      <c r="N271" s="11"/>
      <c r="Y271" s="27"/>
    </row>
    <row r="272" spans="4:31" ht="15.6" outlineLevel="1" x14ac:dyDescent="0.3">
      <c r="D272" s="6" t="s">
        <v>162</v>
      </c>
      <c r="F272" s="10" t="s">
        <v>180</v>
      </c>
      <c r="G272" s="10" t="s">
        <v>182</v>
      </c>
      <c r="H272" s="10" t="str">
        <f>CONCATENATE(F272," ",G272)</f>
        <v>East (피합병)</v>
      </c>
      <c r="I272" s="63"/>
      <c r="J272" s="63"/>
      <c r="K272" s="63"/>
      <c r="L272" s="63"/>
      <c r="M272" s="63"/>
      <c r="N272" s="63"/>
      <c r="P272" s="24"/>
      <c r="Y272" s="27"/>
    </row>
    <row r="273" spans="4:25" ht="15.6" outlineLevel="1" x14ac:dyDescent="0.3">
      <c r="F273" s="10" t="s">
        <v>150</v>
      </c>
      <c r="G273" s="10" t="s">
        <v>182</v>
      </c>
      <c r="H273" s="10" t="str">
        <f t="shared" ref="H273:H275" si="20">CONCATENATE(F273," ",G273)</f>
        <v>South (피합병)</v>
      </c>
      <c r="I273" s="63"/>
      <c r="J273" s="63"/>
      <c r="K273" s="63"/>
      <c r="L273" s="63"/>
      <c r="M273" s="63"/>
      <c r="N273" s="63"/>
      <c r="P273" s="24"/>
      <c r="Y273" s="27"/>
    </row>
    <row r="274" spans="4:25" ht="15.6" outlineLevel="1" x14ac:dyDescent="0.3">
      <c r="F274" s="10" t="s">
        <v>149</v>
      </c>
      <c r="G274" s="10" t="s">
        <v>182</v>
      </c>
      <c r="H274" s="10" t="str">
        <f t="shared" si="20"/>
        <v>Midwest (피합병)</v>
      </c>
      <c r="I274" s="63"/>
      <c r="J274" s="63"/>
      <c r="K274" s="63"/>
      <c r="L274" s="63"/>
      <c r="M274" s="63"/>
      <c r="N274" s="63"/>
      <c r="P274" s="24"/>
      <c r="Y274" s="27"/>
    </row>
    <row r="275" spans="4:25" ht="15.6" outlineLevel="1" x14ac:dyDescent="0.3">
      <c r="F275" s="10" t="s">
        <v>151</v>
      </c>
      <c r="G275" s="10" t="s">
        <v>182</v>
      </c>
      <c r="H275" s="10" t="str">
        <f t="shared" si="20"/>
        <v>West (피합병)</v>
      </c>
      <c r="I275" s="63"/>
      <c r="J275" s="63"/>
      <c r="K275" s="63"/>
      <c r="L275" s="63"/>
      <c r="M275" s="63"/>
      <c r="N275" s="63"/>
      <c r="P275" s="24"/>
      <c r="Y275" s="27"/>
    </row>
    <row r="276" spans="4:25" outlineLevel="1" x14ac:dyDescent="0.25">
      <c r="F276" s="10"/>
      <c r="G276" s="10"/>
      <c r="H276" s="10"/>
      <c r="I276" s="10"/>
      <c r="J276" s="10"/>
      <c r="K276" s="10"/>
      <c r="L276" s="10"/>
      <c r="M276" s="10"/>
      <c r="N276" s="10"/>
      <c r="Y276" s="27"/>
    </row>
    <row r="277" spans="4:25" outlineLevel="2" x14ac:dyDescent="0.25">
      <c r="H277" s="6" t="s">
        <v>144</v>
      </c>
      <c r="I277" s="3" t="b">
        <f>ISERROR(I272)</f>
        <v>0</v>
      </c>
      <c r="J277" s="3" t="b">
        <f>ISERROR(J272)</f>
        <v>0</v>
      </c>
      <c r="K277" s="3" t="b">
        <f>ISERROR(K272)</f>
        <v>0</v>
      </c>
      <c r="L277" s="3" t="b">
        <f t="shared" ref="L277:N277" si="21">ISERROR(L272)</f>
        <v>0</v>
      </c>
      <c r="M277" s="3" t="b">
        <f t="shared" si="21"/>
        <v>0</v>
      </c>
      <c r="N277" s="3" t="b">
        <f t="shared" si="21"/>
        <v>0</v>
      </c>
      <c r="Y277" s="27"/>
    </row>
    <row r="278" spans="4:25" outlineLevel="2" x14ac:dyDescent="0.25">
      <c r="H278" s="6" t="s">
        <v>143</v>
      </c>
      <c r="I278" s="3" t="b">
        <f>ISNUMBER(I272)</f>
        <v>0</v>
      </c>
      <c r="J278" s="3" t="b">
        <f>ISNUMBER(J272)</f>
        <v>0</v>
      </c>
      <c r="K278" s="3" t="b">
        <f>ISNUMBER(K272)</f>
        <v>0</v>
      </c>
      <c r="L278" s="3" t="b">
        <f>ISNUMBER(L272)</f>
        <v>0</v>
      </c>
      <c r="M278" s="3" t="b">
        <f>ISNUMBER(M272)</f>
        <v>0</v>
      </c>
      <c r="N278" s="3" t="b">
        <f>ISNUMBER(N272)</f>
        <v>0</v>
      </c>
      <c r="Y278" s="27"/>
    </row>
    <row r="279" spans="4:25" outlineLevel="2" x14ac:dyDescent="0.25">
      <c r="H279" s="6"/>
      <c r="Y279" s="27"/>
    </row>
    <row r="280" spans="4:25" outlineLevel="1" x14ac:dyDescent="0.25">
      <c r="I280" s="7">
        <v>2015</v>
      </c>
      <c r="J280" s="7">
        <f>+I280+1</f>
        <v>2016</v>
      </c>
      <c r="K280" s="7">
        <f t="shared" ref="K280:N280" si="22">+J280+1</f>
        <v>2017</v>
      </c>
      <c r="L280" s="7">
        <f t="shared" si="22"/>
        <v>2018</v>
      </c>
      <c r="M280" s="7">
        <f t="shared" si="22"/>
        <v>2019</v>
      </c>
      <c r="N280" s="7">
        <f t="shared" si="22"/>
        <v>2020</v>
      </c>
      <c r="Y280" s="27"/>
    </row>
    <row r="281" spans="4:25" ht="15.6" outlineLevel="1" x14ac:dyDescent="0.25">
      <c r="D281" s="6" t="s">
        <v>191</v>
      </c>
      <c r="F281" s="10" t="s">
        <v>180</v>
      </c>
      <c r="G281" s="10" t="s">
        <v>182</v>
      </c>
      <c r="H281" s="10" t="str">
        <f>CONCATENATE(F281," ",G281)</f>
        <v>East (피합병)</v>
      </c>
      <c r="I281" s="63"/>
      <c r="J281" s="63"/>
      <c r="K281" s="63"/>
      <c r="L281" s="63"/>
      <c r="M281" s="63"/>
      <c r="N281" s="63"/>
      <c r="Y281" s="27"/>
    </row>
    <row r="282" spans="4:25" ht="15.6" outlineLevel="1" x14ac:dyDescent="0.25">
      <c r="D282" s="6"/>
      <c r="F282" s="10" t="s">
        <v>150</v>
      </c>
      <c r="G282" s="10" t="s">
        <v>182</v>
      </c>
      <c r="H282" s="10" t="str">
        <f t="shared" ref="H282:H284" si="23">CONCATENATE(F282," ",G282)</f>
        <v>South (피합병)</v>
      </c>
      <c r="I282" s="63"/>
      <c r="J282" s="63"/>
      <c r="K282" s="63"/>
      <c r="L282" s="63"/>
      <c r="M282" s="63"/>
      <c r="N282" s="63"/>
      <c r="Y282" s="27"/>
    </row>
    <row r="283" spans="4:25" ht="15.6" outlineLevel="1" x14ac:dyDescent="0.25">
      <c r="F283" s="10" t="s">
        <v>149</v>
      </c>
      <c r="G283" s="10" t="s">
        <v>182</v>
      </c>
      <c r="H283" s="10" t="str">
        <f t="shared" si="23"/>
        <v>Midwest (피합병)</v>
      </c>
      <c r="I283" s="63"/>
      <c r="J283" s="63"/>
      <c r="K283" s="63"/>
      <c r="L283" s="63"/>
      <c r="M283" s="63"/>
      <c r="N283" s="63"/>
      <c r="Y283" s="27"/>
    </row>
    <row r="284" spans="4:25" ht="15.6" outlineLevel="1" x14ac:dyDescent="0.25">
      <c r="F284" s="10" t="s">
        <v>151</v>
      </c>
      <c r="G284" s="10" t="s">
        <v>182</v>
      </c>
      <c r="H284" s="10" t="str">
        <f t="shared" si="23"/>
        <v>West (피합병)</v>
      </c>
      <c r="I284" s="63"/>
      <c r="J284" s="63"/>
      <c r="K284" s="63"/>
      <c r="L284" s="63"/>
      <c r="M284" s="63"/>
      <c r="N284" s="63"/>
      <c r="Y284" s="27"/>
    </row>
    <row r="285" spans="4:25" outlineLevel="1" x14ac:dyDescent="0.25">
      <c r="N285" s="11"/>
      <c r="Y285" s="27"/>
    </row>
    <row r="286" spans="4:25" ht="15.6" outlineLevel="1" x14ac:dyDescent="0.25">
      <c r="D286" s="6" t="s">
        <v>192</v>
      </c>
      <c r="F286" s="10" t="s">
        <v>180</v>
      </c>
      <c r="G286" s="10" t="s">
        <v>182</v>
      </c>
      <c r="H286" s="10" t="str">
        <f>CONCATENATE(F286," ",G286)</f>
        <v>East (피합병)</v>
      </c>
      <c r="I286" s="63"/>
      <c r="J286" s="63"/>
      <c r="K286" s="63"/>
      <c r="L286" s="63"/>
      <c r="M286" s="63"/>
      <c r="N286" s="63"/>
      <c r="Y286" s="27"/>
    </row>
    <row r="287" spans="4:25" ht="15.6" outlineLevel="1" x14ac:dyDescent="0.25">
      <c r="D287" s="6"/>
      <c r="F287" s="10" t="s">
        <v>150</v>
      </c>
      <c r="G287" s="10" t="s">
        <v>182</v>
      </c>
      <c r="H287" s="10" t="str">
        <f t="shared" ref="H287:H289" si="24">CONCATENATE(F287," ",G287)</f>
        <v>South (피합병)</v>
      </c>
      <c r="I287" s="63"/>
      <c r="J287" s="63"/>
      <c r="K287" s="63"/>
      <c r="L287" s="63"/>
      <c r="M287" s="63"/>
      <c r="N287" s="63"/>
      <c r="Y287" s="27"/>
    </row>
    <row r="288" spans="4:25" ht="15.6" outlineLevel="1" x14ac:dyDescent="0.25">
      <c r="F288" s="10" t="s">
        <v>149</v>
      </c>
      <c r="G288" s="10" t="s">
        <v>182</v>
      </c>
      <c r="H288" s="10" t="str">
        <f t="shared" si="24"/>
        <v>Midwest (피합병)</v>
      </c>
      <c r="I288" s="63"/>
      <c r="J288" s="63"/>
      <c r="K288" s="63"/>
      <c r="L288" s="63"/>
      <c r="M288" s="63"/>
      <c r="N288" s="63"/>
      <c r="Y288" s="27"/>
    </row>
    <row r="289" spans="4:80" ht="15.6" outlineLevel="1" x14ac:dyDescent="0.35">
      <c r="F289" s="10" t="s">
        <v>151</v>
      </c>
      <c r="G289" s="10" t="s">
        <v>182</v>
      </c>
      <c r="H289" s="10" t="str">
        <f t="shared" si="24"/>
        <v>West (피합병)</v>
      </c>
      <c r="I289" s="63"/>
      <c r="J289" s="63"/>
      <c r="K289" s="63"/>
      <c r="L289" s="63"/>
      <c r="M289" s="63"/>
      <c r="N289" s="63"/>
      <c r="P289" s="4" t="s">
        <v>183</v>
      </c>
      <c r="Y289" s="27"/>
    </row>
    <row r="290" spans="4:80" outlineLevel="1" x14ac:dyDescent="0.25">
      <c r="N290" s="11"/>
      <c r="Y290" s="27"/>
    </row>
    <row r="291" spans="4:80" outlineLevel="1" x14ac:dyDescent="0.25">
      <c r="N291" s="11"/>
      <c r="Y291" s="27"/>
    </row>
    <row r="292" spans="4:80" x14ac:dyDescent="0.25">
      <c r="I292" s="7">
        <v>2015</v>
      </c>
      <c r="J292" s="7">
        <f>+I292+1</f>
        <v>2016</v>
      </c>
      <c r="K292" s="7">
        <f t="shared" ref="K292:N292" si="25">+J292+1</f>
        <v>2017</v>
      </c>
      <c r="L292" s="7">
        <f t="shared" si="25"/>
        <v>2018</v>
      </c>
      <c r="M292" s="7">
        <f t="shared" si="25"/>
        <v>2019</v>
      </c>
      <c r="N292" s="7">
        <f t="shared" si="25"/>
        <v>2020</v>
      </c>
      <c r="Y292" s="27"/>
    </row>
    <row r="293" spans="4:80" s="29" customFormat="1" x14ac:dyDescent="0.25">
      <c r="D293" s="28" t="s">
        <v>137</v>
      </c>
      <c r="H293" s="29" t="s">
        <v>167</v>
      </c>
      <c r="I293" s="73"/>
      <c r="J293" s="73"/>
      <c r="K293" s="73"/>
      <c r="L293" s="73"/>
      <c r="M293" s="73"/>
      <c r="N293" s="73"/>
      <c r="P293" s="4"/>
      <c r="Y293" s="30"/>
    </row>
    <row r="294" spans="4:80" s="29" customFormat="1" x14ac:dyDescent="0.25">
      <c r="D294" s="28" t="s">
        <v>138</v>
      </c>
      <c r="H294" s="29" t="s">
        <v>167</v>
      </c>
      <c r="I294" s="73"/>
      <c r="J294" s="73"/>
      <c r="K294" s="73"/>
      <c r="L294" s="73"/>
      <c r="M294" s="73"/>
      <c r="N294" s="73"/>
      <c r="Y294" s="30"/>
    </row>
    <row r="295" spans="4:80" ht="15.6" x14ac:dyDescent="0.35">
      <c r="D295" s="28" t="s">
        <v>139</v>
      </c>
      <c r="H295" s="45" t="s">
        <v>193</v>
      </c>
      <c r="I295" s="73"/>
      <c r="J295" s="73"/>
      <c r="K295" s="73"/>
      <c r="L295" s="73"/>
      <c r="M295" s="73"/>
      <c r="N295" s="73"/>
      <c r="Y295" s="27"/>
    </row>
    <row r="296" spans="4:80" x14ac:dyDescent="0.25">
      <c r="N296" s="11"/>
      <c r="Y296" s="27"/>
    </row>
    <row r="297" spans="4:80" x14ac:dyDescent="0.25">
      <c r="N297" s="11"/>
      <c r="Y297" s="27"/>
    </row>
    <row r="298" spans="4:80" ht="15.6" x14ac:dyDescent="0.35">
      <c r="H298" s="44" t="s">
        <v>194</v>
      </c>
      <c r="I298" s="73"/>
      <c r="J298" s="73"/>
      <c r="K298" s="73"/>
      <c r="L298" s="73"/>
      <c r="M298" s="73"/>
      <c r="N298" s="73"/>
      <c r="Y298" s="27"/>
    </row>
    <row r="299" spans="4:80" ht="15.6" x14ac:dyDescent="0.35">
      <c r="H299" s="44" t="s">
        <v>194</v>
      </c>
      <c r="I299" s="73"/>
      <c r="J299" s="73"/>
      <c r="K299" s="73"/>
      <c r="L299" s="73"/>
      <c r="M299" s="73"/>
      <c r="N299" s="73"/>
      <c r="Y299" s="27"/>
    </row>
    <row r="300" spans="4:80" x14ac:dyDescent="0.25">
      <c r="N300" s="11"/>
      <c r="Y300" s="27"/>
    </row>
    <row r="301" spans="4:80" ht="15.6" x14ac:dyDescent="0.35">
      <c r="D301" s="4" t="s">
        <v>184</v>
      </c>
      <c r="H301" s="50" t="s">
        <v>202</v>
      </c>
      <c r="I301" s="63"/>
      <c r="J301" s="63"/>
      <c r="K301" s="63"/>
      <c r="L301" s="63"/>
      <c r="M301" s="63"/>
      <c r="N301" s="63"/>
      <c r="Y301" s="27"/>
    </row>
    <row r="303" spans="4:80" x14ac:dyDescent="0.25">
      <c r="N303" s="23"/>
    </row>
    <row r="304" spans="4:80" ht="14.4" x14ac:dyDescent="0.3">
      <c r="D304" s="16" t="s">
        <v>169</v>
      </c>
      <c r="E304" s="17"/>
      <c r="F304" s="17"/>
      <c r="G304" s="17"/>
      <c r="H304" s="17"/>
      <c r="I304" s="18"/>
      <c r="J304" s="19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</row>
    <row r="305" spans="4:14" ht="14.4" x14ac:dyDescent="0.3">
      <c r="H305" s="11"/>
      <c r="I305" s="11"/>
      <c r="J305" s="11"/>
      <c r="K305" s="11"/>
      <c r="L305" s="11"/>
      <c r="M305" s="11"/>
      <c r="N305" s="24"/>
    </row>
    <row r="306" spans="4:14" x14ac:dyDescent="0.25">
      <c r="D306" s="28" t="s">
        <v>7</v>
      </c>
      <c r="G306" s="7"/>
      <c r="H306" s="31">
        <f>+I306-1</f>
        <v>2015</v>
      </c>
      <c r="I306" s="31">
        <f>+J306-1</f>
        <v>2016</v>
      </c>
      <c r="J306" s="31">
        <f>+K306-1</f>
        <v>2017</v>
      </c>
      <c r="K306" s="31">
        <f>+L306-1</f>
        <v>2018</v>
      </c>
      <c r="L306" s="31">
        <f>+M306-1</f>
        <v>2019</v>
      </c>
      <c r="M306" s="31">
        <v>2020</v>
      </c>
    </row>
    <row r="307" spans="4:14" ht="15.6" x14ac:dyDescent="0.35">
      <c r="G307" s="46" t="s">
        <v>195</v>
      </c>
      <c r="H307" s="33">
        <f>+I249</f>
        <v>0</v>
      </c>
      <c r="I307" s="33">
        <f>+J249</f>
        <v>0</v>
      </c>
      <c r="J307" s="33">
        <f>+K249</f>
        <v>0</v>
      </c>
      <c r="K307" s="33">
        <f>+L249</f>
        <v>0</v>
      </c>
      <c r="L307" s="33">
        <f>+M249</f>
        <v>0</v>
      </c>
      <c r="M307" s="33">
        <f>+N249</f>
        <v>0</v>
      </c>
      <c r="N307" s="6"/>
    </row>
    <row r="308" spans="4:14" x14ac:dyDescent="0.25">
      <c r="G308" s="3" t="s">
        <v>174</v>
      </c>
      <c r="H308" s="6">
        <f>320823.581787238*0.98</f>
        <v>314407.11015149322</v>
      </c>
      <c r="I308" s="6">
        <v>349838.35155587865</v>
      </c>
      <c r="J308" s="6">
        <v>403317.9423688908</v>
      </c>
      <c r="K308" s="6">
        <v>404219.21945467865</v>
      </c>
      <c r="L308" s="6">
        <v>439837.41518952226</v>
      </c>
      <c r="M308" s="6">
        <v>480262.75591780443</v>
      </c>
    </row>
    <row r="309" spans="4:14" x14ac:dyDescent="0.25">
      <c r="G309" s="3" t="s">
        <v>176</v>
      </c>
      <c r="H309" s="6">
        <f>294644.430635761*0.98</f>
        <v>288751.54202304577</v>
      </c>
      <c r="I309" s="6">
        <v>358242.98528189835</v>
      </c>
      <c r="J309" s="6">
        <v>350556.67317756865</v>
      </c>
      <c r="K309" s="6">
        <f>395088.686332445*1.06</f>
        <v>418794.00751239172</v>
      </c>
      <c r="L309" s="6">
        <f>421923.745506007*0.98</f>
        <v>413485.27059588686</v>
      </c>
      <c r="M309" s="6">
        <f>476639.307130329*1.04</f>
        <v>495704.87941554218</v>
      </c>
    </row>
    <row r="310" spans="4:14" outlineLevel="1" x14ac:dyDescent="0.25"/>
    <row r="311" spans="4:14" ht="15.6" outlineLevel="1" x14ac:dyDescent="0.35">
      <c r="G311" s="1" t="s">
        <v>197</v>
      </c>
      <c r="N311" s="47" t="s">
        <v>188</v>
      </c>
    </row>
    <row r="312" spans="4:14" ht="14.4" outlineLevel="1" x14ac:dyDescent="0.3">
      <c r="G312" s="3" t="s">
        <v>173</v>
      </c>
      <c r="H312" s="24" t="e">
        <f t="shared" ref="H312:M313" si="26">+H308/H$307-1</f>
        <v>#DIV/0!</v>
      </c>
      <c r="I312" s="24" t="e">
        <f t="shared" si="26"/>
        <v>#DIV/0!</v>
      </c>
      <c r="J312" s="24" t="e">
        <f t="shared" si="26"/>
        <v>#DIV/0!</v>
      </c>
      <c r="K312" s="24" t="e">
        <f t="shared" si="26"/>
        <v>#DIV/0!</v>
      </c>
      <c r="L312" s="24" t="e">
        <f t="shared" si="26"/>
        <v>#DIV/0!</v>
      </c>
      <c r="M312" s="24" t="e">
        <f t="shared" si="26"/>
        <v>#DIV/0!</v>
      </c>
      <c r="N312" s="34" t="e">
        <f>AVERAGE(H312:M312)</f>
        <v>#DIV/0!</v>
      </c>
    </row>
    <row r="313" spans="4:14" ht="14.4" outlineLevel="1" x14ac:dyDescent="0.3">
      <c r="G313" s="3" t="s">
        <v>175</v>
      </c>
      <c r="H313" s="24" t="e">
        <f t="shared" si="26"/>
        <v>#DIV/0!</v>
      </c>
      <c r="I313" s="24" t="e">
        <f t="shared" si="26"/>
        <v>#DIV/0!</v>
      </c>
      <c r="J313" s="24" t="e">
        <f t="shared" si="26"/>
        <v>#DIV/0!</v>
      </c>
      <c r="K313" s="24" t="e">
        <f t="shared" si="26"/>
        <v>#DIV/0!</v>
      </c>
      <c r="L313" s="24" t="e">
        <f t="shared" si="26"/>
        <v>#DIV/0!</v>
      </c>
      <c r="M313" s="24" t="e">
        <f t="shared" si="26"/>
        <v>#DIV/0!</v>
      </c>
      <c r="N313" s="34" t="e">
        <f>AVERAGE(H313:M313)</f>
        <v>#DIV/0!</v>
      </c>
    </row>
    <row r="315" spans="4:14" ht="15.6" x14ac:dyDescent="0.35">
      <c r="G315" s="4" t="s">
        <v>7</v>
      </c>
      <c r="N315" s="47" t="s">
        <v>188</v>
      </c>
    </row>
    <row r="316" spans="4:14" ht="14.4" x14ac:dyDescent="0.3">
      <c r="G316" s="3" t="s">
        <v>173</v>
      </c>
      <c r="H316" s="24" t="e">
        <f t="shared" ref="H316:M317" si="27">+ABS(H308/H$307-1)</f>
        <v>#DIV/0!</v>
      </c>
      <c r="I316" s="24" t="e">
        <f t="shared" si="27"/>
        <v>#DIV/0!</v>
      </c>
      <c r="J316" s="24" t="e">
        <f t="shared" si="27"/>
        <v>#DIV/0!</v>
      </c>
      <c r="K316" s="24" t="e">
        <f t="shared" si="27"/>
        <v>#DIV/0!</v>
      </c>
      <c r="L316" s="24" t="e">
        <f t="shared" si="27"/>
        <v>#DIV/0!</v>
      </c>
      <c r="M316" s="24" t="e">
        <f t="shared" si="27"/>
        <v>#DIV/0!</v>
      </c>
      <c r="N316" s="35" t="e">
        <f>AVERAGE(H316:M316)</f>
        <v>#DIV/0!</v>
      </c>
    </row>
    <row r="317" spans="4:14" ht="14.4" x14ac:dyDescent="0.3">
      <c r="G317" s="3" t="s">
        <v>175</v>
      </c>
      <c r="H317" s="24" t="e">
        <f t="shared" si="27"/>
        <v>#DIV/0!</v>
      </c>
      <c r="I317" s="24" t="e">
        <f t="shared" si="27"/>
        <v>#DIV/0!</v>
      </c>
      <c r="J317" s="24" t="e">
        <f t="shared" si="27"/>
        <v>#DIV/0!</v>
      </c>
      <c r="K317" s="24" t="e">
        <f t="shared" si="27"/>
        <v>#DIV/0!</v>
      </c>
      <c r="L317" s="24" t="e">
        <f t="shared" si="27"/>
        <v>#DIV/0!</v>
      </c>
      <c r="M317" s="24" t="e">
        <f t="shared" si="27"/>
        <v>#DIV/0!</v>
      </c>
      <c r="N317" s="24" t="e">
        <f>AVERAGE(H317:M317)</f>
        <v>#DIV/0!</v>
      </c>
    </row>
    <row r="318" spans="4:14" ht="14.4" x14ac:dyDescent="0.3">
      <c r="H318" s="11"/>
      <c r="I318" s="11"/>
      <c r="J318" s="24"/>
    </row>
    <row r="319" spans="4:14" ht="14.4" x14ac:dyDescent="0.3">
      <c r="H319" s="11"/>
      <c r="I319" s="11"/>
      <c r="J319" s="24"/>
    </row>
    <row r="320" spans="4:14" ht="14.4" x14ac:dyDescent="0.3">
      <c r="G320" s="27" t="s">
        <v>196</v>
      </c>
      <c r="H320" s="11"/>
      <c r="I320" s="11"/>
      <c r="J320" s="24"/>
    </row>
    <row r="321" spans="4:19" x14ac:dyDescent="0.25">
      <c r="G321" s="7"/>
      <c r="H321" s="9">
        <f>+CC106</f>
        <v>44227</v>
      </c>
      <c r="I321" s="9">
        <f>+CD106</f>
        <v>44255</v>
      </c>
      <c r="J321" s="9">
        <f>+CE106</f>
        <v>44286</v>
      </c>
      <c r="K321" s="9">
        <f>+CF106</f>
        <v>44316</v>
      </c>
      <c r="L321" s="9">
        <f>+CG106</f>
        <v>44347</v>
      </c>
      <c r="M321" s="9">
        <f>+CH106</f>
        <v>44377</v>
      </c>
      <c r="N321" s="9">
        <f>+CI106</f>
        <v>44408</v>
      </c>
      <c r="O321" s="9">
        <f>+CJ106</f>
        <v>44439</v>
      </c>
      <c r="P321" s="9">
        <f>+CK106</f>
        <v>44469</v>
      </c>
      <c r="Q321" s="9">
        <f>+CL106</f>
        <v>44500</v>
      </c>
      <c r="R321" s="9">
        <f>+CM106</f>
        <v>44530</v>
      </c>
      <c r="S321" s="9">
        <f>+CN106</f>
        <v>44561</v>
      </c>
    </row>
    <row r="322" spans="4:19" x14ac:dyDescent="0.25">
      <c r="G322" s="32" t="s">
        <v>174</v>
      </c>
      <c r="H322" s="6">
        <v>38186.620013588414</v>
      </c>
      <c r="I322" s="6">
        <v>38124.884216517319</v>
      </c>
      <c r="J322" s="6">
        <v>38250.323144000002</v>
      </c>
      <c r="K322" s="6">
        <v>38393.165104803244</v>
      </c>
      <c r="L322" s="6">
        <v>38729.784093444672</v>
      </c>
      <c r="M322" s="6">
        <v>39317.41048522343</v>
      </c>
      <c r="N322" s="6">
        <v>40341.255064107892</v>
      </c>
      <c r="O322" s="6">
        <v>41330.494700359392</v>
      </c>
      <c r="P322" s="6">
        <v>41621.444911897001</v>
      </c>
      <c r="Q322" s="6">
        <v>41740.386243246088</v>
      </c>
      <c r="R322" s="6">
        <v>41073.284539005763</v>
      </c>
      <c r="S322" s="6">
        <v>40600.525823927062</v>
      </c>
    </row>
    <row r="323" spans="4:19" ht="14.4" x14ac:dyDescent="0.3">
      <c r="H323" s="11"/>
      <c r="I323" s="11"/>
      <c r="J323" s="24"/>
    </row>
    <row r="324" spans="4:19" ht="15.6" x14ac:dyDescent="0.35">
      <c r="G324" s="74">
        <f>+CC106</f>
        <v>44227</v>
      </c>
      <c r="H324" s="11" t="s">
        <v>214</v>
      </c>
      <c r="I324" s="11"/>
      <c r="J324" s="24"/>
    </row>
    <row r="325" spans="4:19" ht="14.4" x14ac:dyDescent="0.3">
      <c r="H325" s="11"/>
      <c r="I325" s="11"/>
      <c r="J325" s="24"/>
    </row>
    <row r="326" spans="4:19" ht="14.4" x14ac:dyDescent="0.3">
      <c r="H326" s="11"/>
      <c r="I326" s="11"/>
      <c r="J326" s="24"/>
    </row>
    <row r="327" spans="4:19" ht="14.4" x14ac:dyDescent="0.3">
      <c r="H327" s="11"/>
      <c r="I327" s="11"/>
      <c r="J327" s="24"/>
    </row>
    <row r="328" spans="4:19" ht="14.4" x14ac:dyDescent="0.3">
      <c r="H328" s="11"/>
      <c r="I328" s="11"/>
      <c r="J328" s="24"/>
    </row>
    <row r="329" spans="4:19" ht="14.4" x14ac:dyDescent="0.3">
      <c r="H329" s="11"/>
      <c r="I329" s="11"/>
      <c r="J329" s="24"/>
    </row>
    <row r="330" spans="4:19" ht="14.4" x14ac:dyDescent="0.3">
      <c r="H330" s="11"/>
      <c r="I330" s="11"/>
      <c r="J330" s="24"/>
    </row>
    <row r="331" spans="4:19" ht="14.4" x14ac:dyDescent="0.3">
      <c r="H331" s="11"/>
      <c r="I331" s="11"/>
      <c r="J331" s="24"/>
    </row>
    <row r="332" spans="4:19" ht="14.4" x14ac:dyDescent="0.3">
      <c r="H332" s="11"/>
      <c r="I332" s="11"/>
      <c r="J332" s="24"/>
    </row>
    <row r="333" spans="4:19" ht="14.4" x14ac:dyDescent="0.3">
      <c r="H333" s="11"/>
      <c r="I333" s="11"/>
      <c r="J333" s="24"/>
    </row>
    <row r="334" spans="4:19" x14ac:dyDescent="0.25">
      <c r="D334" s="28"/>
    </row>
    <row r="335" spans="4:19" x14ac:dyDescent="0.25">
      <c r="D335" s="28" t="s">
        <v>219</v>
      </c>
    </row>
    <row r="337" spans="7:16" ht="15.6" x14ac:dyDescent="0.35">
      <c r="G337" s="48" t="s">
        <v>198</v>
      </c>
    </row>
    <row r="338" spans="7:16" x14ac:dyDescent="0.25">
      <c r="G338" s="7"/>
      <c r="H338" s="31">
        <v>2015</v>
      </c>
      <c r="I338" s="31">
        <v>2016</v>
      </c>
      <c r="J338" s="31">
        <v>2017</v>
      </c>
      <c r="K338" s="31">
        <v>2018</v>
      </c>
      <c r="L338" s="31">
        <v>2019</v>
      </c>
      <c r="M338" s="31">
        <v>2020</v>
      </c>
      <c r="O338" s="36"/>
      <c r="P338" s="36"/>
    </row>
    <row r="339" spans="7:16" x14ac:dyDescent="0.25">
      <c r="G339" s="3" t="s">
        <v>145</v>
      </c>
      <c r="H339" s="63"/>
      <c r="I339" s="63"/>
      <c r="J339" s="63"/>
      <c r="K339" s="63"/>
      <c r="L339" s="63"/>
      <c r="M339" s="63"/>
    </row>
    <row r="340" spans="7:16" x14ac:dyDescent="0.25">
      <c r="G340" s="3" t="s">
        <v>146</v>
      </c>
      <c r="H340" s="68">
        <v>592663.76704816998</v>
      </c>
      <c r="I340" s="68">
        <v>575014.97608166595</v>
      </c>
      <c r="J340" s="68">
        <v>457693.575863968</v>
      </c>
      <c r="K340" s="68">
        <v>545286.46313591104</v>
      </c>
      <c r="L340" s="68">
        <v>459665.23824421602</v>
      </c>
      <c r="M340" s="68">
        <v>497276.78805215546</v>
      </c>
      <c r="N340" s="11"/>
    </row>
    <row r="341" spans="7:16" x14ac:dyDescent="0.25">
      <c r="G341" s="3" t="s">
        <v>147</v>
      </c>
      <c r="H341" s="68">
        <v>330898.09774855501</v>
      </c>
      <c r="I341" s="68">
        <v>285455.68188322301</v>
      </c>
      <c r="J341" s="68">
        <v>247875.535068319</v>
      </c>
      <c r="K341" s="68">
        <v>211900.331972819</v>
      </c>
      <c r="L341" s="68">
        <v>179080.55900314101</v>
      </c>
      <c r="M341" s="68">
        <v>162101.16919591723</v>
      </c>
      <c r="N341" s="11"/>
    </row>
    <row r="342" spans="7:16" x14ac:dyDescent="0.25">
      <c r="G342" s="37" t="s">
        <v>148</v>
      </c>
      <c r="H342" s="79">
        <v>364482.81435079797</v>
      </c>
      <c r="I342" s="79">
        <v>336456.54400683596</v>
      </c>
      <c r="J342" s="79">
        <v>309239.624358111</v>
      </c>
      <c r="K342" s="79">
        <v>307182.93325668498</v>
      </c>
      <c r="L342" s="79">
        <v>281254.85082343104</v>
      </c>
      <c r="M342" s="79">
        <v>286265.36432018026</v>
      </c>
      <c r="N342" s="11"/>
    </row>
    <row r="343" spans="7:16" x14ac:dyDescent="0.25">
      <c r="G343" s="11" t="s">
        <v>163</v>
      </c>
      <c r="H343" s="63"/>
      <c r="I343" s="63"/>
      <c r="J343" s="63"/>
      <c r="K343" s="63"/>
      <c r="L343" s="63"/>
      <c r="M343" s="63"/>
      <c r="N343" s="11"/>
    </row>
    <row r="345" spans="7:16" ht="15.6" x14ac:dyDescent="0.35">
      <c r="G345" s="48" t="s">
        <v>199</v>
      </c>
    </row>
    <row r="346" spans="7:16" ht="14.4" x14ac:dyDescent="0.3">
      <c r="G346" s="12" t="s">
        <v>172</v>
      </c>
      <c r="H346" s="72"/>
      <c r="I346" s="72"/>
      <c r="J346" s="72"/>
      <c r="K346" s="72"/>
      <c r="L346" s="72"/>
      <c r="M346" s="72"/>
    </row>
    <row r="347" spans="7:16" ht="14.4" x14ac:dyDescent="0.3">
      <c r="G347" s="12" t="s">
        <v>157</v>
      </c>
      <c r="H347" s="72"/>
      <c r="I347" s="72"/>
      <c r="J347" s="72"/>
      <c r="K347" s="72"/>
      <c r="L347" s="72"/>
      <c r="M347" s="72"/>
    </row>
    <row r="348" spans="7:16" ht="14.4" x14ac:dyDescent="0.3">
      <c r="G348" s="12" t="s">
        <v>178</v>
      </c>
      <c r="H348" s="72"/>
      <c r="I348" s="72"/>
      <c r="J348" s="72"/>
      <c r="K348" s="72"/>
      <c r="L348" s="72"/>
      <c r="M348" s="72"/>
    </row>
    <row r="349" spans="7:16" ht="14.4" x14ac:dyDescent="0.3">
      <c r="G349" s="12" t="s">
        <v>179</v>
      </c>
      <c r="H349" s="72"/>
      <c r="I349" s="72"/>
      <c r="J349" s="72"/>
      <c r="K349" s="72"/>
      <c r="L349" s="72"/>
      <c r="M349" s="72"/>
    </row>
    <row r="351" spans="7:16" x14ac:dyDescent="0.25">
      <c r="G351" s="11" t="s">
        <v>177</v>
      </c>
      <c r="H351" s="63"/>
      <c r="I351" s="63"/>
      <c r="J351" s="63"/>
      <c r="K351" s="63"/>
      <c r="L351" s="63"/>
      <c r="M351" s="63"/>
    </row>
    <row r="352" spans="7:16" ht="15.6" x14ac:dyDescent="0.35">
      <c r="G352" s="11" t="s">
        <v>200</v>
      </c>
      <c r="H352" s="63"/>
      <c r="I352" s="63"/>
      <c r="J352" s="63"/>
      <c r="K352" s="63"/>
      <c r="L352" s="63"/>
      <c r="M352" s="6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6FCC-6242-47BF-BA39-45BA3600BF75}">
  <sheetPr>
    <tabColor rgb="FFFF0000"/>
    <pageSetUpPr autoPageBreaks="0"/>
  </sheetPr>
  <dimension ref="A1:DF352"/>
  <sheetViews>
    <sheetView topLeftCell="A280" zoomScale="55" zoomScaleNormal="55" workbookViewId="0">
      <pane xSplit="4" topLeftCell="E1" activePane="topRight" state="frozen"/>
      <selection pane="topRight" activeCell="D334" sqref="D334"/>
    </sheetView>
  </sheetViews>
  <sheetFormatPr defaultColWidth="11.69921875" defaultRowHeight="13.8" outlineLevelRow="2" x14ac:dyDescent="0.25"/>
  <cols>
    <col min="1" max="3" width="1.69921875" style="3" customWidth="1"/>
    <col min="4" max="4" width="25.69921875" style="3" customWidth="1"/>
    <col min="5" max="5" width="5.69921875" style="3" customWidth="1"/>
    <col min="6" max="6" width="8.59765625" style="3" bestFit="1" customWidth="1"/>
    <col min="7" max="7" width="10.69921875" style="3" customWidth="1"/>
    <col min="8" max="8" width="15.69921875" style="3" customWidth="1"/>
    <col min="9" max="9" width="13.09765625" style="3" bestFit="1" customWidth="1"/>
    <col min="10" max="10" width="12.796875" style="3" bestFit="1" customWidth="1"/>
    <col min="11" max="11" width="13.19921875" style="3" bestFit="1" customWidth="1"/>
    <col min="12" max="12" width="12.69921875" style="3" bestFit="1" customWidth="1"/>
    <col min="13" max="16384" width="11.69921875" style="3"/>
  </cols>
  <sheetData>
    <row r="1" spans="1:110" s="41" customFormat="1" ht="25.05" customHeight="1" x14ac:dyDescent="0.6">
      <c r="A1" s="42" t="s">
        <v>212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10" x14ac:dyDescent="0.25">
      <c r="D2" s="4"/>
    </row>
    <row r="3" spans="1:110" ht="14.4" x14ac:dyDescent="0.3">
      <c r="D3" s="38" t="s">
        <v>186</v>
      </c>
    </row>
    <row r="4" spans="1:110" ht="14.4" x14ac:dyDescent="0.3">
      <c r="D4" s="38"/>
    </row>
    <row r="5" spans="1:110" x14ac:dyDescent="0.25">
      <c r="D5" s="6" t="s">
        <v>141</v>
      </c>
      <c r="I5" s="3">
        <f>YEAR(I6)</f>
        <v>2015</v>
      </c>
      <c r="J5" s="3">
        <f>YEAR(J6)</f>
        <v>2015</v>
      </c>
      <c r="K5" s="3">
        <f t="shared" ref="K5:BV5" si="0">YEAR(K6)</f>
        <v>2015</v>
      </c>
      <c r="L5" s="3">
        <f>YEAR(L6)</f>
        <v>2015</v>
      </c>
      <c r="M5" s="3">
        <f t="shared" si="0"/>
        <v>2015</v>
      </c>
      <c r="N5" s="3">
        <f t="shared" si="0"/>
        <v>2015</v>
      </c>
      <c r="O5" s="3">
        <f>YEAR(O6)</f>
        <v>2015</v>
      </c>
      <c r="P5" s="3">
        <f t="shared" si="0"/>
        <v>2015</v>
      </c>
      <c r="Q5" s="3">
        <f t="shared" si="0"/>
        <v>2015</v>
      </c>
      <c r="R5" s="3">
        <f>YEAR(R6)</f>
        <v>2015</v>
      </c>
      <c r="S5" s="3">
        <f t="shared" si="0"/>
        <v>2015</v>
      </c>
      <c r="T5" s="3">
        <f t="shared" si="0"/>
        <v>2015</v>
      </c>
      <c r="U5" s="3">
        <f t="shared" si="0"/>
        <v>2016</v>
      </c>
      <c r="V5" s="3">
        <f t="shared" si="0"/>
        <v>2016</v>
      </c>
      <c r="W5" s="3">
        <f t="shared" si="0"/>
        <v>2016</v>
      </c>
      <c r="X5" s="3">
        <f t="shared" si="0"/>
        <v>2016</v>
      </c>
      <c r="Y5" s="3">
        <f t="shared" si="0"/>
        <v>2016</v>
      </c>
      <c r="Z5" s="3">
        <f t="shared" si="0"/>
        <v>2016</v>
      </c>
      <c r="AA5" s="3">
        <f t="shared" si="0"/>
        <v>2016</v>
      </c>
      <c r="AB5" s="3">
        <f t="shared" si="0"/>
        <v>2016</v>
      </c>
      <c r="AC5" s="3">
        <f t="shared" si="0"/>
        <v>2016</v>
      </c>
      <c r="AD5" s="3">
        <f t="shared" si="0"/>
        <v>2016</v>
      </c>
      <c r="AE5" s="3">
        <f t="shared" si="0"/>
        <v>2016</v>
      </c>
      <c r="AF5" s="3">
        <f t="shared" si="0"/>
        <v>2016</v>
      </c>
      <c r="AG5" s="3">
        <f t="shared" si="0"/>
        <v>2017</v>
      </c>
      <c r="AH5" s="3">
        <f t="shared" si="0"/>
        <v>2017</v>
      </c>
      <c r="AI5" s="3">
        <f t="shared" si="0"/>
        <v>2017</v>
      </c>
      <c r="AJ5" s="3">
        <f t="shared" si="0"/>
        <v>2017</v>
      </c>
      <c r="AK5" s="3">
        <f t="shared" si="0"/>
        <v>2017</v>
      </c>
      <c r="AL5" s="3">
        <f t="shared" si="0"/>
        <v>2017</v>
      </c>
      <c r="AM5" s="3">
        <f t="shared" si="0"/>
        <v>2017</v>
      </c>
      <c r="AN5" s="3">
        <f t="shared" si="0"/>
        <v>2017</v>
      </c>
      <c r="AO5" s="3">
        <f t="shared" si="0"/>
        <v>2017</v>
      </c>
      <c r="AP5" s="3">
        <f t="shared" si="0"/>
        <v>2017</v>
      </c>
      <c r="AQ5" s="3">
        <f t="shared" si="0"/>
        <v>2017</v>
      </c>
      <c r="AR5" s="3">
        <f t="shared" si="0"/>
        <v>2017</v>
      </c>
      <c r="AS5" s="3">
        <f t="shared" si="0"/>
        <v>2018</v>
      </c>
      <c r="AT5" s="3">
        <f t="shared" si="0"/>
        <v>2018</v>
      </c>
      <c r="AU5" s="3">
        <f t="shared" si="0"/>
        <v>2018</v>
      </c>
      <c r="AV5" s="3">
        <f t="shared" si="0"/>
        <v>2018</v>
      </c>
      <c r="AW5" s="3">
        <f t="shared" si="0"/>
        <v>2018</v>
      </c>
      <c r="AX5" s="3">
        <f t="shared" si="0"/>
        <v>2018</v>
      </c>
      <c r="AY5" s="3">
        <f t="shared" si="0"/>
        <v>2018</v>
      </c>
      <c r="AZ5" s="3">
        <f t="shared" si="0"/>
        <v>2018</v>
      </c>
      <c r="BA5" s="3">
        <f t="shared" si="0"/>
        <v>2018</v>
      </c>
      <c r="BB5" s="3">
        <f t="shared" si="0"/>
        <v>2018</v>
      </c>
      <c r="BC5" s="3">
        <f t="shared" si="0"/>
        <v>2018</v>
      </c>
      <c r="BD5" s="3">
        <f t="shared" si="0"/>
        <v>2018</v>
      </c>
      <c r="BE5" s="3">
        <f t="shared" si="0"/>
        <v>2019</v>
      </c>
      <c r="BF5" s="3">
        <f t="shared" si="0"/>
        <v>2019</v>
      </c>
      <c r="BG5" s="3">
        <f t="shared" si="0"/>
        <v>2019</v>
      </c>
      <c r="BH5" s="3">
        <f t="shared" si="0"/>
        <v>2019</v>
      </c>
      <c r="BI5" s="3">
        <f t="shared" si="0"/>
        <v>2019</v>
      </c>
      <c r="BJ5" s="3">
        <f t="shared" si="0"/>
        <v>2019</v>
      </c>
      <c r="BK5" s="3">
        <f t="shared" si="0"/>
        <v>2019</v>
      </c>
      <c r="BL5" s="3">
        <f t="shared" si="0"/>
        <v>2019</v>
      </c>
      <c r="BM5" s="3">
        <f t="shared" si="0"/>
        <v>2019</v>
      </c>
      <c r="BN5" s="3">
        <f t="shared" si="0"/>
        <v>2019</v>
      </c>
      <c r="BO5" s="3">
        <f t="shared" si="0"/>
        <v>2019</v>
      </c>
      <c r="BP5" s="3">
        <f t="shared" si="0"/>
        <v>2019</v>
      </c>
      <c r="BQ5" s="3">
        <f t="shared" si="0"/>
        <v>2020</v>
      </c>
      <c r="BR5" s="3">
        <f t="shared" si="0"/>
        <v>2020</v>
      </c>
      <c r="BS5" s="3">
        <f t="shared" si="0"/>
        <v>2020</v>
      </c>
      <c r="BT5" s="3">
        <f t="shared" si="0"/>
        <v>2020</v>
      </c>
      <c r="BU5" s="3">
        <f t="shared" si="0"/>
        <v>2020</v>
      </c>
      <c r="BV5" s="3">
        <f t="shared" si="0"/>
        <v>2020</v>
      </c>
      <c r="BW5" s="3">
        <f t="shared" ref="BW5:CB5" si="1">YEAR(BW6)</f>
        <v>2020</v>
      </c>
      <c r="BX5" s="3">
        <f t="shared" si="1"/>
        <v>2020</v>
      </c>
      <c r="BY5" s="3">
        <f t="shared" si="1"/>
        <v>2020</v>
      </c>
      <c r="BZ5" s="3">
        <f t="shared" si="1"/>
        <v>2020</v>
      </c>
      <c r="CA5" s="3">
        <f t="shared" si="1"/>
        <v>2020</v>
      </c>
      <c r="CB5" s="3">
        <f t="shared" si="1"/>
        <v>2020</v>
      </c>
      <c r="DD5" s="4"/>
    </row>
    <row r="6" spans="1:110" ht="15.6" x14ac:dyDescent="0.35">
      <c r="D6" s="7" t="s">
        <v>0</v>
      </c>
      <c r="E6" s="7" t="s">
        <v>1</v>
      </c>
      <c r="F6" s="22" t="s">
        <v>140</v>
      </c>
      <c r="G6" s="2" t="s">
        <v>185</v>
      </c>
      <c r="H6" s="7" t="s">
        <v>171</v>
      </c>
      <c r="I6" s="9">
        <v>42035</v>
      </c>
      <c r="J6" s="9">
        <v>42063</v>
      </c>
      <c r="K6" s="9">
        <v>42094</v>
      </c>
      <c r="L6" s="9">
        <v>42124</v>
      </c>
      <c r="M6" s="9">
        <v>42155</v>
      </c>
      <c r="N6" s="9">
        <v>42185</v>
      </c>
      <c r="O6" s="9">
        <v>42216</v>
      </c>
      <c r="P6" s="9">
        <v>42247</v>
      </c>
      <c r="Q6" s="9">
        <v>42277</v>
      </c>
      <c r="R6" s="9">
        <v>42308</v>
      </c>
      <c r="S6" s="9">
        <v>42338</v>
      </c>
      <c r="T6" s="9">
        <v>42369</v>
      </c>
      <c r="U6" s="9">
        <v>42400</v>
      </c>
      <c r="V6" s="9">
        <v>42429</v>
      </c>
      <c r="W6" s="9">
        <v>42460</v>
      </c>
      <c r="X6" s="9">
        <v>42490</v>
      </c>
      <c r="Y6" s="9">
        <v>42521</v>
      </c>
      <c r="Z6" s="9">
        <v>42551</v>
      </c>
      <c r="AA6" s="9">
        <v>42582</v>
      </c>
      <c r="AB6" s="9">
        <v>42613</v>
      </c>
      <c r="AC6" s="9">
        <v>42643</v>
      </c>
      <c r="AD6" s="9">
        <v>42674</v>
      </c>
      <c r="AE6" s="9">
        <v>42704</v>
      </c>
      <c r="AF6" s="9">
        <v>42735</v>
      </c>
      <c r="AG6" s="9">
        <v>42766</v>
      </c>
      <c r="AH6" s="9">
        <v>42794</v>
      </c>
      <c r="AI6" s="9">
        <v>42825</v>
      </c>
      <c r="AJ6" s="9">
        <v>42855</v>
      </c>
      <c r="AK6" s="9">
        <v>42886</v>
      </c>
      <c r="AL6" s="9">
        <v>42916</v>
      </c>
      <c r="AM6" s="9">
        <v>42947</v>
      </c>
      <c r="AN6" s="9">
        <v>42978</v>
      </c>
      <c r="AO6" s="9">
        <v>43008</v>
      </c>
      <c r="AP6" s="9">
        <v>43039</v>
      </c>
      <c r="AQ6" s="9">
        <v>43069</v>
      </c>
      <c r="AR6" s="9">
        <v>43100</v>
      </c>
      <c r="AS6" s="9">
        <v>43131</v>
      </c>
      <c r="AT6" s="9">
        <v>43159</v>
      </c>
      <c r="AU6" s="9">
        <v>43190</v>
      </c>
      <c r="AV6" s="9">
        <v>43220</v>
      </c>
      <c r="AW6" s="9">
        <v>43251</v>
      </c>
      <c r="AX6" s="9">
        <v>43281</v>
      </c>
      <c r="AY6" s="9">
        <v>43312</v>
      </c>
      <c r="AZ6" s="9">
        <v>43343</v>
      </c>
      <c r="BA6" s="9">
        <v>43373</v>
      </c>
      <c r="BB6" s="9">
        <v>43404</v>
      </c>
      <c r="BC6" s="9">
        <v>43434</v>
      </c>
      <c r="BD6" s="9">
        <v>43465</v>
      </c>
      <c r="BE6" s="9">
        <v>43496</v>
      </c>
      <c r="BF6" s="9">
        <v>43524</v>
      </c>
      <c r="BG6" s="9">
        <v>43555</v>
      </c>
      <c r="BH6" s="9">
        <v>43585</v>
      </c>
      <c r="BI6" s="9">
        <v>43616</v>
      </c>
      <c r="BJ6" s="9">
        <v>43646</v>
      </c>
      <c r="BK6" s="9">
        <v>43677</v>
      </c>
      <c r="BL6" s="9">
        <v>43708</v>
      </c>
      <c r="BM6" s="9">
        <v>43738</v>
      </c>
      <c r="BN6" s="9">
        <v>43769</v>
      </c>
      <c r="BO6" s="9">
        <v>43799</v>
      </c>
      <c r="BP6" s="9">
        <v>43830</v>
      </c>
      <c r="BQ6" s="9">
        <v>43861</v>
      </c>
      <c r="BR6" s="9">
        <v>43890</v>
      </c>
      <c r="BS6" s="9">
        <v>43921</v>
      </c>
      <c r="BT6" s="9">
        <v>43951</v>
      </c>
      <c r="BU6" s="9">
        <v>43982</v>
      </c>
      <c r="BV6" s="9">
        <v>44012</v>
      </c>
      <c r="BW6" s="9">
        <v>44043</v>
      </c>
      <c r="BX6" s="9">
        <v>44074</v>
      </c>
      <c r="BY6" s="9">
        <v>44104</v>
      </c>
      <c r="BZ6" s="9">
        <v>44135</v>
      </c>
      <c r="CA6" s="9">
        <v>44165</v>
      </c>
      <c r="CB6" s="9">
        <v>44196</v>
      </c>
      <c r="DD6" s="4"/>
    </row>
    <row r="7" spans="1:110" x14ac:dyDescent="0.25">
      <c r="D7" s="10" t="s">
        <v>78</v>
      </c>
      <c r="E7" s="10" t="s">
        <v>48</v>
      </c>
      <c r="F7" s="10" t="s">
        <v>180</v>
      </c>
      <c r="G7" s="10"/>
      <c r="H7" s="67" t="str">
        <f t="shared" ref="H7:H70" si="2">CONCATENATE(D7," ",G7)</f>
        <v xml:space="preserve">Hartford </v>
      </c>
      <c r="I7" s="11">
        <v>887.03200000000004</v>
      </c>
      <c r="J7" s="11">
        <v>878.70940491318822</v>
      </c>
      <c r="K7" s="11">
        <v>871.76166383322072</v>
      </c>
      <c r="L7" s="11">
        <v>883.88016885409286</v>
      </c>
      <c r="M7" s="11">
        <v>904.67516772847705</v>
      </c>
      <c r="N7" s="11">
        <v>939.18268383907673</v>
      </c>
      <c r="O7" s="11">
        <v>984.07937095964758</v>
      </c>
      <c r="P7" s="11">
        <v>1028.682715135933</v>
      </c>
      <c r="Q7" s="11">
        <v>1048.0056670323104</v>
      </c>
      <c r="R7" s="11">
        <v>1058.819770830901</v>
      </c>
      <c r="S7" s="11">
        <v>1023.7753967050077</v>
      </c>
      <c r="T7" s="11">
        <v>1019.3133608156986</v>
      </c>
      <c r="U7" s="11">
        <v>997.40491783570747</v>
      </c>
      <c r="V7" s="11">
        <v>976.43509847851601</v>
      </c>
      <c r="W7" s="11">
        <v>980.50541233956824</v>
      </c>
      <c r="X7" s="11">
        <v>985.01033407098521</v>
      </c>
      <c r="Y7" s="11">
        <v>1014.8513012179661</v>
      </c>
      <c r="Z7" s="11">
        <v>1061.4081769738173</v>
      </c>
      <c r="AA7" s="11">
        <v>1077.361343276639</v>
      </c>
      <c r="AB7" s="11">
        <v>1112.9529540654405</v>
      </c>
      <c r="AC7" s="11">
        <v>1135.6782738439833</v>
      </c>
      <c r="AD7" s="11">
        <v>1109.2608822692869</v>
      </c>
      <c r="AE7" s="11">
        <v>1044.7170247478161</v>
      </c>
      <c r="AF7" s="11">
        <v>1005.2723922228846</v>
      </c>
      <c r="AG7" s="11">
        <v>981.62518298714133</v>
      </c>
      <c r="AH7" s="11">
        <v>995.71402121523693</v>
      </c>
      <c r="AI7" s="11">
        <v>990.25358732038944</v>
      </c>
      <c r="AJ7" s="11">
        <v>1003.159618219987</v>
      </c>
      <c r="AK7" s="11">
        <v>1020.3814983884947</v>
      </c>
      <c r="AL7" s="11">
        <v>1049.1596133595131</v>
      </c>
      <c r="AM7" s="11">
        <v>1080.4714711030094</v>
      </c>
      <c r="AN7" s="11">
        <v>1088.5165526229093</v>
      </c>
      <c r="AO7" s="11">
        <v>1092.060157007216</v>
      </c>
      <c r="AP7" s="11">
        <v>1125.646051666824</v>
      </c>
      <c r="AQ7" s="11">
        <v>1080.4835853842721</v>
      </c>
      <c r="AR7" s="11">
        <v>1042.2613590087687</v>
      </c>
      <c r="AS7" s="11">
        <v>1032.7010468071785</v>
      </c>
      <c r="AT7" s="11">
        <v>1043.3857573639507</v>
      </c>
      <c r="AU7" s="11">
        <v>1073.4279339592322</v>
      </c>
      <c r="AV7" s="11">
        <v>1082.2783000966635</v>
      </c>
      <c r="AW7" s="11">
        <v>1094.0162551860587</v>
      </c>
      <c r="AX7" s="11">
        <v>1153.3239775602608</v>
      </c>
      <c r="AY7" s="11">
        <v>1171.0214804544839</v>
      </c>
      <c r="AZ7" s="11">
        <v>1199.5868320211605</v>
      </c>
      <c r="BA7" s="11">
        <v>1245.7538620999371</v>
      </c>
      <c r="BB7" s="11">
        <v>1301.9947305628425</v>
      </c>
      <c r="BC7" s="11">
        <v>1211.1646727697446</v>
      </c>
      <c r="BD7" s="11">
        <v>1199.1804790986068</v>
      </c>
      <c r="BE7" s="11">
        <v>1163.3856291354305</v>
      </c>
      <c r="BF7" s="11">
        <v>1202.0071246864793</v>
      </c>
      <c r="BG7" s="11">
        <v>1167.662449215356</v>
      </c>
      <c r="BH7" s="11">
        <v>1155.325634382084</v>
      </c>
      <c r="BI7" s="11">
        <v>1208.8496961502763</v>
      </c>
      <c r="BJ7" s="11">
        <v>1295.8807794258444</v>
      </c>
      <c r="BK7" s="11">
        <v>1352.0101636913139</v>
      </c>
      <c r="BL7" s="11">
        <v>1394.5391220013992</v>
      </c>
      <c r="BM7" s="11">
        <v>1431.6574613262662</v>
      </c>
      <c r="BN7" s="11">
        <v>1470.6327487512838</v>
      </c>
      <c r="BO7" s="11">
        <v>1375.9228894061926</v>
      </c>
      <c r="BP7" s="11">
        <v>1314.4977918313923</v>
      </c>
      <c r="BQ7" s="11">
        <v>1279.242417231025</v>
      </c>
      <c r="BR7" s="11">
        <v>1278.0249457440759</v>
      </c>
      <c r="BS7" s="11">
        <v>1326.8308029531729</v>
      </c>
      <c r="BT7" s="11">
        <v>1367.0883353184656</v>
      </c>
      <c r="BU7" s="11">
        <v>1426.3456579735609</v>
      </c>
      <c r="BV7" s="11">
        <v>1556.6233656948332</v>
      </c>
      <c r="BW7" s="11">
        <v>1614.6508993415143</v>
      </c>
      <c r="BX7" s="11">
        <v>1622.8999333654237</v>
      </c>
      <c r="BY7" s="11">
        <v>1670.7707436534454</v>
      </c>
      <c r="BZ7" s="11">
        <v>1669.1190943792665</v>
      </c>
      <c r="CA7" s="11">
        <v>1542.4057697099609</v>
      </c>
      <c r="CB7" s="11">
        <v>1519.5643953143763</v>
      </c>
      <c r="CC7" s="12"/>
      <c r="DD7" s="11"/>
      <c r="DE7" s="11"/>
      <c r="DF7" s="11"/>
    </row>
    <row r="8" spans="1:110" x14ac:dyDescent="0.25">
      <c r="D8" s="10" t="s">
        <v>79</v>
      </c>
      <c r="E8" s="10" t="s">
        <v>48</v>
      </c>
      <c r="F8" s="10" t="s">
        <v>180</v>
      </c>
      <c r="G8" s="10"/>
      <c r="H8" s="67" t="str">
        <f t="shared" si="2"/>
        <v xml:space="preserve">Bridgeport </v>
      </c>
      <c r="I8" s="11">
        <f>746917/(10^3)</f>
        <v>746.91700000000003</v>
      </c>
      <c r="J8" s="11">
        <f>779956.183377035/(10^3)</f>
        <v>779.95618337703502</v>
      </c>
      <c r="K8" s="11">
        <v>756.83152701191682</v>
      </c>
      <c r="L8" s="11">
        <f>781529.516462763/(10^3)</f>
        <v>781.52951646276301</v>
      </c>
      <c r="M8" s="11">
        <f>764907.519071423/(10^3)</f>
        <v>764.90751907142294</v>
      </c>
      <c r="N8" s="11">
        <f>800695.117439494/(10^3)</f>
        <v>800.69511743949397</v>
      </c>
      <c r="O8" s="11">
        <f>816497.365209805/(10^3)</f>
        <v>816.49736520980491</v>
      </c>
      <c r="P8" s="11">
        <f>846794.329567683/(10^3)</f>
        <v>846.79432956768301</v>
      </c>
      <c r="Q8" s="11">
        <v>875.18832862165641</v>
      </c>
      <c r="R8" s="11">
        <f>871240.217552805/(10^3)</f>
        <v>871.24021755280501</v>
      </c>
      <c r="S8" s="11">
        <f>850080.283107634/(10^3)</f>
        <v>850.08028310763405</v>
      </c>
      <c r="T8" s="11">
        <f>826284.971749687/(10^3)</f>
        <v>826.28497174968697</v>
      </c>
      <c r="U8" s="11">
        <f>809959.641978705/(10^3)</f>
        <v>809.95964197870501</v>
      </c>
      <c r="V8" s="11">
        <f>797052.328998936/(10^3)</f>
        <v>797.05232899893599</v>
      </c>
      <c r="W8" s="11">
        <v>775.98226679582217</v>
      </c>
      <c r="X8" s="11">
        <f>768653.082624127/(10^3)</f>
        <v>768.65308262412702</v>
      </c>
      <c r="Y8" s="11">
        <f>781519.724206368/(10^3)</f>
        <v>781.51972420636798</v>
      </c>
      <c r="Z8" s="11">
        <f>811763.572260812/(10^3)</f>
        <v>811.763572260812</v>
      </c>
      <c r="AA8" s="11">
        <f>819657.973070503/(10^3)</f>
        <v>819.65797307050298</v>
      </c>
      <c r="AB8" s="11">
        <f>842553.40597956/(10^3)</f>
        <v>842.55340597956001</v>
      </c>
      <c r="AC8" s="11">
        <v>846.38504753643974</v>
      </c>
      <c r="AD8" s="11">
        <f>880223.551111981/(10^3)</f>
        <v>880.22355111198101</v>
      </c>
      <c r="AE8" s="11">
        <f>819512.179998056/(10^3)</f>
        <v>819.51217999805601</v>
      </c>
      <c r="AF8" s="11">
        <f>786640.212283744/(10^3)</f>
        <v>786.64021228374406</v>
      </c>
      <c r="AG8" s="11">
        <f>775216.00811935/(10^3)</f>
        <v>775.21600811934991</v>
      </c>
      <c r="AH8" s="11">
        <f>796093.052056162/(10^3)</f>
        <v>796.09305205616204</v>
      </c>
      <c r="AI8" s="11">
        <v>811.52555263456111</v>
      </c>
      <c r="AJ8" s="11">
        <f>789382.926812032/(10^3)</f>
        <v>789.382926812032</v>
      </c>
      <c r="AK8" s="11">
        <f>798352.590372488/(10^3)</f>
        <v>798.35259037248807</v>
      </c>
      <c r="AL8" s="11">
        <f>844768.327946392/(10^3)</f>
        <v>844.76832794639199</v>
      </c>
      <c r="AM8" s="11">
        <f>854072.472425844/(10^3)</f>
        <v>854.07247242584401</v>
      </c>
      <c r="AN8" s="11">
        <f>881688.742628926/(10^3)</f>
        <v>881.68874262892598</v>
      </c>
      <c r="AO8" s="11">
        <v>902.65314719707851</v>
      </c>
      <c r="AP8" s="11">
        <f>931799.24316735/(10^3)</f>
        <v>931.79924316734991</v>
      </c>
      <c r="AQ8" s="11">
        <f>929602.250398509/(10^3)</f>
        <v>929.602250398509</v>
      </c>
      <c r="AR8" s="11">
        <f>901132.465573448/(10^3)</f>
        <v>901.13246557344803</v>
      </c>
      <c r="AS8" s="11">
        <f>882093.976469425/(10^3)</f>
        <v>882.093976469425</v>
      </c>
      <c r="AT8" s="11">
        <f>876388.873095143/(10^3)</f>
        <v>876.38887309514303</v>
      </c>
      <c r="AU8" s="11">
        <v>854.90308832250537</v>
      </c>
      <c r="AV8" s="11">
        <f>830215.727759921/(10^3)</f>
        <v>830.21572775992104</v>
      </c>
      <c r="AW8" s="11">
        <f>813238.948089163/(10^3)</f>
        <v>813.23894808916305</v>
      </c>
      <c r="AX8" s="11">
        <f>856640.400329862/(10^3)</f>
        <v>856.64040032986202</v>
      </c>
      <c r="AY8" s="11">
        <f>876471.126036195/(10^3)</f>
        <v>876.47112603619496</v>
      </c>
      <c r="AZ8" s="11">
        <f>912822.070948397/(10^3)</f>
        <v>912.82207094839703</v>
      </c>
      <c r="BA8" s="11">
        <v>944.45162051145917</v>
      </c>
      <c r="BB8" s="11">
        <f>946044.878006471/(10^3)</f>
        <v>946.04487800647098</v>
      </c>
      <c r="BC8" s="11">
        <f>928302.868498682/(10^3)</f>
        <v>928.30286849868207</v>
      </c>
      <c r="BD8" s="11">
        <f>902427.616758259/(10^3)</f>
        <v>902.42761675825898</v>
      </c>
      <c r="BE8" s="11">
        <f>892467.846673363/(10^3)</f>
        <v>892.46784667336306</v>
      </c>
      <c r="BF8" s="11">
        <f>898846.125402617/(10^3)</f>
        <v>898.84612540261708</v>
      </c>
      <c r="BG8" s="11">
        <v>927.70397336514873</v>
      </c>
      <c r="BH8" s="11">
        <f>917368.203901459/(10^3)</f>
        <v>917.36820390145897</v>
      </c>
      <c r="BI8" s="11">
        <f>895655.389064729/(10^3)</f>
        <v>895.65538906472898</v>
      </c>
      <c r="BJ8" s="11">
        <f>966939.134556671/(10^3)</f>
        <v>966.93913455667098</v>
      </c>
      <c r="BK8" s="11">
        <f>1004927.08764261/(10^3)</f>
        <v>1004.92708764261</v>
      </c>
      <c r="BL8" s="11">
        <f>1048813.2642191/(10^3)</f>
        <v>1048.8132642190999</v>
      </c>
      <c r="BM8" s="11">
        <v>1095.9685068853562</v>
      </c>
      <c r="BN8" s="11">
        <f>1110761.77278425/(10^3)</f>
        <v>1110.7617727842501</v>
      </c>
      <c r="BO8" s="11">
        <f>1058794.56639316/(10^3)</f>
        <v>1058.79456639316</v>
      </c>
      <c r="BP8" s="11">
        <f>1010215.09782201/(10^3)</f>
        <v>1010.2150978220101</v>
      </c>
      <c r="BQ8" s="11">
        <f>1006281.92389592/(10^3)</f>
        <v>1006.28192389592</v>
      </c>
      <c r="BR8" s="11">
        <f>1002706.19049374/(10^3)</f>
        <v>1002.70619049374</v>
      </c>
      <c r="BS8" s="11">
        <v>986.86542136960929</v>
      </c>
      <c r="BT8" s="11">
        <f>1005752.10416556/(10^3)</f>
        <v>1005.75210416556</v>
      </c>
      <c r="BU8" s="11">
        <f>1008373.00154166/(10^3)</f>
        <v>1008.3730015416601</v>
      </c>
      <c r="BV8" s="11">
        <f>1009496.09555676/(10^3)</f>
        <v>1009.49609555676</v>
      </c>
      <c r="BW8" s="11">
        <f>1053359.77838239/(10^3)</f>
        <v>1053.35977838239</v>
      </c>
      <c r="BX8" s="11">
        <f>1094202.70444028/(10^3)</f>
        <v>1094.2027044402801</v>
      </c>
      <c r="BY8" s="11">
        <v>1126.6440159199335</v>
      </c>
      <c r="BZ8" s="11">
        <f>1130259.37605451/(10^3)</f>
        <v>1130.2593760545101</v>
      </c>
      <c r="CA8" s="11">
        <f>1102036.7190536/(10^3)</f>
        <v>1102.0367190535999</v>
      </c>
      <c r="CB8" s="11">
        <f>1047601.81515437/(10^3)</f>
        <v>1047.6018151543701</v>
      </c>
      <c r="CC8" s="12"/>
      <c r="DD8" s="11"/>
      <c r="DE8" s="11"/>
      <c r="DF8" s="11"/>
    </row>
    <row r="9" spans="1:110" x14ac:dyDescent="0.25">
      <c r="D9" s="10" t="s">
        <v>80</v>
      </c>
      <c r="E9" s="10" t="s">
        <v>49</v>
      </c>
      <c r="F9" s="10" t="s">
        <v>150</v>
      </c>
      <c r="G9" s="10"/>
      <c r="H9" s="67" t="str">
        <f t="shared" si="2"/>
        <v xml:space="preserve">Dover </v>
      </c>
      <c r="I9" s="11">
        <f>202698/(10^3)</f>
        <v>202.69800000000001</v>
      </c>
      <c r="J9" s="11">
        <f>211926.126832518/(10^3)</f>
        <v>211.92612683251801</v>
      </c>
      <c r="K9" s="11">
        <v>211.74834302446132</v>
      </c>
      <c r="L9" s="11">
        <f>207209.621153056/(10^3)</f>
        <v>207.20962115305602</v>
      </c>
      <c r="M9" s="11">
        <f>217163.409309506/(10^3)</f>
        <v>217.16340930950602</v>
      </c>
      <c r="N9" s="11">
        <f>233922.752967273/(10^3)</f>
        <v>233.922752967273</v>
      </c>
      <c r="O9" s="11">
        <f>235161.563624815/(10^3)</f>
        <v>235.16156362481499</v>
      </c>
      <c r="P9" s="11">
        <f>243921.652657094/(10^3)</f>
        <v>243.921652657094</v>
      </c>
      <c r="Q9" s="11">
        <v>244.07408773952537</v>
      </c>
      <c r="R9" s="11">
        <f>240797.093229431/(10^3)</f>
        <v>240.797093229431</v>
      </c>
      <c r="S9" s="11">
        <f>236836.688596219/(10^3)</f>
        <v>236.83668859621901</v>
      </c>
      <c r="T9" s="11">
        <f>226886.595163733/(10^3)</f>
        <v>226.88659516373301</v>
      </c>
      <c r="U9" s="11">
        <f>224438.966153926/(10^3)</f>
        <v>224.438966153926</v>
      </c>
      <c r="V9" s="11">
        <f>220342.048975794/(10^3)</f>
        <v>220.342048975794</v>
      </c>
      <c r="W9" s="11">
        <v>225.26376353477596</v>
      </c>
      <c r="X9" s="11">
        <f>227604.580632046/(10^3)</f>
        <v>227.60458063204601</v>
      </c>
      <c r="Y9" s="11">
        <f>224306.27561978/(10^3)</f>
        <v>224.30627561978</v>
      </c>
      <c r="Z9" s="11">
        <f>232053.15409708/(10^3)</f>
        <v>232.05315409708001</v>
      </c>
      <c r="AA9" s="11">
        <f>235617.153075786/(10^3)</f>
        <v>235.61715307578598</v>
      </c>
      <c r="AB9" s="11">
        <f>237109.443679799/(10^3)</f>
        <v>237.109443679799</v>
      </c>
      <c r="AC9" s="11">
        <v>237.5324047607092</v>
      </c>
      <c r="AD9" s="11">
        <f>246469.904404663/(10^3)</f>
        <v>246.469904404663</v>
      </c>
      <c r="AE9" s="11">
        <f>241718.481288072/(10^3)</f>
        <v>241.71848128807201</v>
      </c>
      <c r="AF9" s="11">
        <f>241663.29375256/(10^3)</f>
        <v>241.66329375256001</v>
      </c>
      <c r="AG9" s="11">
        <f>240968.273398008/(10^3)</f>
        <v>240.96827339800799</v>
      </c>
      <c r="AH9" s="11">
        <f>249464.88180969/(10^3)</f>
        <v>249.46488180969001</v>
      </c>
      <c r="AI9" s="11">
        <v>257.28854729034123</v>
      </c>
      <c r="AJ9" s="11">
        <f>250962.360510597/(10^3)</f>
        <v>250.96236051059699</v>
      </c>
      <c r="AK9" s="11">
        <f>258417.249172678/(10^3)</f>
        <v>258.417249172678</v>
      </c>
      <c r="AL9" s="11">
        <f>269642.084077056/(10^3)</f>
        <v>269.64208407705598</v>
      </c>
      <c r="AM9" s="11">
        <f>281303.160415308/(10^3)</f>
        <v>281.30316041530801</v>
      </c>
      <c r="AN9" s="11">
        <f>291953.567561711/(10^3)</f>
        <v>291.953567561711</v>
      </c>
      <c r="AO9" s="11">
        <v>298.82227925175533</v>
      </c>
      <c r="AP9" s="11">
        <f>307300.540214099/(10^3)</f>
        <v>307.30054021409899</v>
      </c>
      <c r="AQ9" s="11">
        <f>303872.243669193/(10^3)</f>
        <v>303.87224366919298</v>
      </c>
      <c r="AR9" s="11">
        <f>299744.115465117/(10^3)</f>
        <v>299.74411546511698</v>
      </c>
      <c r="AS9" s="11">
        <f>291149.384268906/(10^3)</f>
        <v>291.14938426890603</v>
      </c>
      <c r="AT9" s="11">
        <f>296855.10398889/(10^3)</f>
        <v>296.85510398888999</v>
      </c>
      <c r="AU9" s="11">
        <v>309.95463081831338</v>
      </c>
      <c r="AV9" s="11">
        <f>323804.198746531/(10^3)</f>
        <v>323.80419874653097</v>
      </c>
      <c r="AW9" s="11">
        <f>326496.212559367/(10^3)</f>
        <v>326.496212559367</v>
      </c>
      <c r="AX9" s="11">
        <f>338247.259220362/(10^3)</f>
        <v>338.24725922036203</v>
      </c>
      <c r="AY9" s="11">
        <f>348311.982369033/(10^3)</f>
        <v>348.31198236903299</v>
      </c>
      <c r="AZ9" s="11">
        <f>349773.922382644/(10^3)</f>
        <v>349.773922382644</v>
      </c>
      <c r="BA9" s="11">
        <v>364.32077463196941</v>
      </c>
      <c r="BB9" s="11">
        <f>366297.660394133/(10^3)</f>
        <v>366.297660394133</v>
      </c>
      <c r="BC9" s="11">
        <f>365047.170261542/(10^3)</f>
        <v>365.04717026154202</v>
      </c>
      <c r="BD9" s="11">
        <f>353003.291349564/(10^3)</f>
        <v>353.00329134956399</v>
      </c>
      <c r="BE9" s="11">
        <f>345299.656052641/(10^3)</f>
        <v>345.29965605264101</v>
      </c>
      <c r="BF9" s="11">
        <f>345515.933191686/(10^3)</f>
        <v>345.51593319168597</v>
      </c>
      <c r="BG9" s="11">
        <v>361.97721957928047</v>
      </c>
      <c r="BH9" s="11">
        <f>351466.724448306/(10^3)</f>
        <v>351.46672444830602</v>
      </c>
      <c r="BI9" s="11">
        <f>352050.137358848/(10^3)</f>
        <v>352.05013735884802</v>
      </c>
      <c r="BJ9" s="11">
        <f>357822.167287486/(10^3)</f>
        <v>357.82216728748602</v>
      </c>
      <c r="BK9" s="11">
        <f>370489.26154545/(10^3)</f>
        <v>370.48926154545001</v>
      </c>
      <c r="BL9" s="11">
        <f>374461.248154484/(10^3)</f>
        <v>374.46124815448405</v>
      </c>
      <c r="BM9" s="11">
        <v>389.9831157923719</v>
      </c>
      <c r="BN9" s="11">
        <f>393426.065045406/(10^3)</f>
        <v>393.42606504540601</v>
      </c>
      <c r="BO9" s="11">
        <f>376367.700792477/(10^3)</f>
        <v>376.36770079247702</v>
      </c>
      <c r="BP9" s="11">
        <f>373372.959662042/(10^3)</f>
        <v>373.37295966204198</v>
      </c>
      <c r="BQ9" s="11">
        <f>366788.412572907/(10^3)</f>
        <v>366.78841257290702</v>
      </c>
      <c r="BR9" s="11">
        <f>358812.993159145/(10^3)</f>
        <v>358.81299315914498</v>
      </c>
      <c r="BS9" s="11">
        <v>367.40092477153598</v>
      </c>
      <c r="BT9" s="11">
        <f>369796.803652205/(10^3)</f>
        <v>369.79680365220497</v>
      </c>
      <c r="BU9" s="11">
        <f>372979.270038048/(10^3)</f>
        <v>372.97927003804796</v>
      </c>
      <c r="BV9" s="11">
        <f>383320.687084103/(10^3)</f>
        <v>383.32068708410299</v>
      </c>
      <c r="BW9" s="11">
        <f>401217.647211031/(10^3)</f>
        <v>401.21764721103102</v>
      </c>
      <c r="BX9" s="11">
        <f>404779.005730774/(10^3)</f>
        <v>404.77900573077403</v>
      </c>
      <c r="BY9" s="11">
        <v>417.93055941205824</v>
      </c>
      <c r="BZ9" s="11">
        <f>406152.680108267/(10^3)</f>
        <v>406.15268010826702</v>
      </c>
      <c r="CA9" s="11">
        <f>401767.575726734/(10^3)</f>
        <v>401.76757572673398</v>
      </c>
      <c r="CB9" s="11">
        <f>382663.796758516/(10^3)</f>
        <v>382.66379675851601</v>
      </c>
      <c r="CC9" s="12"/>
      <c r="DD9" s="11"/>
      <c r="DE9" s="11"/>
      <c r="DF9" s="11"/>
    </row>
    <row r="10" spans="1:110" x14ac:dyDescent="0.25">
      <c r="D10" s="10" t="s">
        <v>81</v>
      </c>
      <c r="E10" s="10" t="s">
        <v>49</v>
      </c>
      <c r="F10" s="10" t="s">
        <v>150</v>
      </c>
      <c r="G10" s="10"/>
      <c r="H10" s="67" t="str">
        <f t="shared" si="2"/>
        <v xml:space="preserve">Wilmington </v>
      </c>
      <c r="I10" s="11">
        <f>250444/(10^3)</f>
        <v>250.44399999999999</v>
      </c>
      <c r="J10" s="11">
        <f>243355.528412885/(10^3)</f>
        <v>243.35552841288501</v>
      </c>
      <c r="K10" s="11">
        <v>236.60491137431293</v>
      </c>
      <c r="L10" s="11">
        <f>232962.741104965/(10^3)</f>
        <v>232.962741104965</v>
      </c>
      <c r="M10" s="11">
        <f>231590.441495484/(10^3)</f>
        <v>231.59044149548401</v>
      </c>
      <c r="N10" s="11">
        <f>253974.125766348/(10^3)</f>
        <v>253.97412576634801</v>
      </c>
      <c r="O10" s="11">
        <f>258262.346617669/(10^3)</f>
        <v>258.26234661766904</v>
      </c>
      <c r="P10" s="11">
        <f>264155.286507392/(10^3)</f>
        <v>264.15528650739202</v>
      </c>
      <c r="Q10" s="11">
        <v>270.60821759904422</v>
      </c>
      <c r="R10" s="11">
        <f>268533.956036393/(10^3)</f>
        <v>268.53395603639302</v>
      </c>
      <c r="S10" s="11">
        <f>264082.559482729/(10^3)</f>
        <v>264.08255948272898</v>
      </c>
      <c r="T10" s="11">
        <f>253364.212648643/(10^3)</f>
        <v>253.36421264864302</v>
      </c>
      <c r="U10" s="11">
        <f>251212.480481271/(10^3)</f>
        <v>251.212480481271</v>
      </c>
      <c r="V10" s="11">
        <f>252479.938553098/(10^3)</f>
        <v>252.47993855309801</v>
      </c>
      <c r="W10" s="11">
        <v>245.92525064553374</v>
      </c>
      <c r="X10" s="11">
        <f>243247.323330501/(10^3)</f>
        <v>243.24732333050102</v>
      </c>
      <c r="Y10" s="11">
        <f>238839.663539552/(10^3)</f>
        <v>238.83966353955202</v>
      </c>
      <c r="Z10" s="11">
        <f>238731.961841388/(10^3)</f>
        <v>238.731961841388</v>
      </c>
      <c r="AA10" s="11">
        <f>241984.944197371/(10^3)</f>
        <v>241.98494419737099</v>
      </c>
      <c r="AB10" s="11">
        <f>246143.342282805/(10^3)</f>
        <v>246.14334228280501</v>
      </c>
      <c r="AC10" s="11">
        <v>248.56919723168426</v>
      </c>
      <c r="AD10" s="11">
        <f>243890.629199843/(10^3)</f>
        <v>243.890629199843</v>
      </c>
      <c r="AE10" s="11">
        <f>233036.554045469/(10^3)</f>
        <v>233.03655404546902</v>
      </c>
      <c r="AF10" s="11">
        <f>227948.683031837/(10^3)</f>
        <v>227.94868303183699</v>
      </c>
      <c r="AG10" s="11">
        <f>222307.363344608/(10^3)</f>
        <v>222.30736334460798</v>
      </c>
      <c r="AH10" s="11">
        <f>228065.544483439/(10^3)</f>
        <v>228.065544483439</v>
      </c>
      <c r="AI10" s="11">
        <v>226.41126825511193</v>
      </c>
      <c r="AJ10" s="11">
        <f>227367.945574567/(10^3)</f>
        <v>227.36794557456702</v>
      </c>
      <c r="AK10" s="11">
        <f>233534.812072967/(10^3)</f>
        <v>233.53481207296701</v>
      </c>
      <c r="AL10" s="11">
        <f>242341.219101849/(10^3)</f>
        <v>242.34121910184902</v>
      </c>
      <c r="AM10" s="11">
        <f>249810.225283338/(10^3)</f>
        <v>249.81022528333799</v>
      </c>
      <c r="AN10" s="11">
        <f>255261.233329988/(10^3)</f>
        <v>255.26123332998799</v>
      </c>
      <c r="AO10" s="11">
        <v>261.92616015355202</v>
      </c>
      <c r="AP10" s="11">
        <f>260046.931842467/(10^3)</f>
        <v>260.04693184246702</v>
      </c>
      <c r="AQ10" s="11">
        <f>255720.679362197/(10^3)</f>
        <v>255.72067936219699</v>
      </c>
      <c r="AR10" s="11">
        <f>248053.249149786/(10^3)</f>
        <v>248.05324914978598</v>
      </c>
      <c r="AS10" s="11">
        <f>242880.449189763/(10^3)</f>
        <v>242.880449189763</v>
      </c>
      <c r="AT10" s="11">
        <f>245473.698539261/(10^3)</f>
        <v>245.47369853926099</v>
      </c>
      <c r="AU10" s="11">
        <v>253.62392419064315</v>
      </c>
      <c r="AV10" s="11">
        <f>263059.003945424/(10^3)</f>
        <v>263.05900394542397</v>
      </c>
      <c r="AW10" s="11">
        <f>268729.501227408/(10^3)</f>
        <v>268.72950122740798</v>
      </c>
      <c r="AX10" s="11">
        <f>282833.503460634/(10^3)</f>
        <v>282.83350346063395</v>
      </c>
      <c r="AY10" s="11">
        <f>294818.608814624/(10^3)</f>
        <v>294.81860881462404</v>
      </c>
      <c r="AZ10" s="11">
        <f>301816.131371101/(10^3)</f>
        <v>301.81613137110099</v>
      </c>
      <c r="BA10" s="11">
        <v>305.5880103594186</v>
      </c>
      <c r="BB10" s="11">
        <f>315613.120794162/(10^3)</f>
        <v>315.613120794162</v>
      </c>
      <c r="BC10" s="11">
        <f>297915.068596369/(10^3)</f>
        <v>297.915068596369</v>
      </c>
      <c r="BD10" s="11">
        <f>295244.542309337/(10^3)</f>
        <v>295.24454230933702</v>
      </c>
      <c r="BE10" s="11">
        <f>286582.857462722/(10^3)</f>
        <v>286.58285746272202</v>
      </c>
      <c r="BF10" s="11">
        <f>283279.025736984/(10^3)</f>
        <v>283.27902573698395</v>
      </c>
      <c r="BG10" s="11">
        <v>291.12312714363264</v>
      </c>
      <c r="BH10" s="11">
        <f>285958.076953613/(10^3)</f>
        <v>285.95807695361304</v>
      </c>
      <c r="BI10" s="11">
        <f>279002.74314665/(10^3)</f>
        <v>279.00274314665</v>
      </c>
      <c r="BJ10" s="11">
        <f>287616.3548703/(10^3)</f>
        <v>287.61635487029997</v>
      </c>
      <c r="BK10" s="11">
        <f>284512.954239632/(10^3)</f>
        <v>284.51295423963199</v>
      </c>
      <c r="BL10" s="11">
        <f>283182.936131644/(10^3)</f>
        <v>283.182936131644</v>
      </c>
      <c r="BM10" s="11">
        <v>274.70642611334222</v>
      </c>
      <c r="BN10" s="11">
        <f>280099.828254112/(10^3)</f>
        <v>280.09982825411197</v>
      </c>
      <c r="BO10" s="11">
        <f>257884.661005789/(10^3)</f>
        <v>257.88466100578898</v>
      </c>
      <c r="BP10" s="11">
        <f>245176.592061483/(10^3)</f>
        <v>245.17659206148301</v>
      </c>
      <c r="BQ10" s="11">
        <f>239912.719434428/(10^3)</f>
        <v>239.912719434428</v>
      </c>
      <c r="BR10" s="11">
        <f>244894.326009134/(10^3)</f>
        <v>244.89432600913401</v>
      </c>
      <c r="BS10" s="11">
        <v>245.89387251157609</v>
      </c>
      <c r="BT10" s="11">
        <f>246502.15085431/(10^3)</f>
        <v>246.50215085431</v>
      </c>
      <c r="BU10" s="11">
        <f>246664.302751546/(10^3)</f>
        <v>246.66430275154599</v>
      </c>
      <c r="BV10" s="11">
        <f>260996.999474072/(10^3)</f>
        <v>260.99699947407203</v>
      </c>
      <c r="BW10" s="11">
        <f>263540.926365246/(10^3)</f>
        <v>263.54092636524598</v>
      </c>
      <c r="BX10" s="11">
        <f>273459.706361377/(10^3)</f>
        <v>273.45970636137696</v>
      </c>
      <c r="BY10" s="11">
        <v>273.90993609297777</v>
      </c>
      <c r="BZ10" s="11">
        <f>279729.558518527/(10^3)</f>
        <v>279.72955851852703</v>
      </c>
      <c r="CA10" s="11">
        <f>253751.408241729/(10^3)</f>
        <v>253.751408241729</v>
      </c>
      <c r="CB10" s="11">
        <f>251816.886847934/(10^3)</f>
        <v>251.816886847934</v>
      </c>
      <c r="CC10" s="12"/>
      <c r="DD10" s="11"/>
      <c r="DE10" s="11"/>
      <c r="DF10" s="11"/>
    </row>
    <row r="11" spans="1:110" x14ac:dyDescent="0.25">
      <c r="D11" s="10" t="s">
        <v>82</v>
      </c>
      <c r="E11" s="10" t="s">
        <v>52</v>
      </c>
      <c r="F11" s="10" t="s">
        <v>180</v>
      </c>
      <c r="G11" s="10"/>
      <c r="H11" s="67" t="str">
        <f t="shared" si="2"/>
        <v xml:space="preserve">Boston </v>
      </c>
      <c r="I11" s="11">
        <f>418862/(10^3)</f>
        <v>418.86200000000002</v>
      </c>
      <c r="J11" s="11">
        <f>434017.149806292/(10^3)</f>
        <v>434.01714980629203</v>
      </c>
      <c r="K11" s="11">
        <v>423.11152576368698</v>
      </c>
      <c r="L11" s="11">
        <f>431993.189131992/(10^3)</f>
        <v>431.99318913199198</v>
      </c>
      <c r="M11" s="11">
        <f>439238.101927608/(10^3)</f>
        <v>439.238101927608</v>
      </c>
      <c r="N11" s="11">
        <f>457087.752862882/(10^3)</f>
        <v>457.08775286288198</v>
      </c>
      <c r="O11" s="11">
        <f>476853.323807506/(10^3)</f>
        <v>476.853323807506</v>
      </c>
      <c r="P11" s="11">
        <f>482045.005112134/(10^3)</f>
        <v>482.04500511213399</v>
      </c>
      <c r="Q11" s="11">
        <v>498.69602766464703</v>
      </c>
      <c r="R11" s="11">
        <f>520230.964492718/(10^3)</f>
        <v>520.23096449271804</v>
      </c>
      <c r="S11" s="11">
        <f>514707.667424795/(10^3)</f>
        <v>514.70766742479498</v>
      </c>
      <c r="T11" s="11">
        <f>508484.101108304/(10^3)</f>
        <v>508.484101108304</v>
      </c>
      <c r="U11" s="11">
        <f>496647.454767075/(10^3)</f>
        <v>496.64745476707503</v>
      </c>
      <c r="V11" s="11">
        <f>493889.124892549/(10^3)</f>
        <v>493.88912489254903</v>
      </c>
      <c r="W11" s="11">
        <v>508.25225025915233</v>
      </c>
      <c r="X11" s="11">
        <f>509893.278510875/(10^3)</f>
        <v>509.89327851087501</v>
      </c>
      <c r="Y11" s="11">
        <f>506776.556420315/(10^3)</f>
        <v>506.77655642031499</v>
      </c>
      <c r="Z11" s="11">
        <f>494343.240047122/(10^3)</f>
        <v>494.34324004712198</v>
      </c>
      <c r="AA11" s="11">
        <f>512420.450466506/(10^3)</f>
        <v>512.42045046650605</v>
      </c>
      <c r="AB11" s="11">
        <f>535845.177870748/(10^3)</f>
        <v>535.84517787074799</v>
      </c>
      <c r="AC11" s="11">
        <v>537.79076007465073</v>
      </c>
      <c r="AD11" s="11">
        <f>541132.389616972/(10^3)</f>
        <v>541.13238961697198</v>
      </c>
      <c r="AE11" s="11">
        <f>505655.997446667/(10^3)</f>
        <v>505.65599744666702</v>
      </c>
      <c r="AF11" s="11">
        <f>485581.566722143/(10^3)</f>
        <v>485.58156672214295</v>
      </c>
      <c r="AG11" s="11">
        <f>481265.872077806/(10^3)</f>
        <v>481.26587207780597</v>
      </c>
      <c r="AH11" s="11">
        <f>488410.273891496/(10^3)</f>
        <v>488.41027389149599</v>
      </c>
      <c r="AI11" s="11">
        <v>477.89450958499123</v>
      </c>
      <c r="AJ11" s="11">
        <f>484399.23675448/(10^3)</f>
        <v>484.39923675448</v>
      </c>
      <c r="AK11" s="11">
        <f>506784.983288336/(10^3)</f>
        <v>506.78498328833604</v>
      </c>
      <c r="AL11" s="11">
        <f>546242.328274318/(10^3)</f>
        <v>546.24232827431797</v>
      </c>
      <c r="AM11" s="11">
        <f>568117.572894887/(10^3)</f>
        <v>568.11757289488696</v>
      </c>
      <c r="AN11" s="11">
        <f>583693.662339845/(10^3)</f>
        <v>583.69366233984499</v>
      </c>
      <c r="AO11" s="11">
        <v>596.79912362806022</v>
      </c>
      <c r="AP11" s="11">
        <f>583096.930683837/(10^3)</f>
        <v>583.09693068383706</v>
      </c>
      <c r="AQ11" s="11">
        <f>566175.851201804/(10^3)</f>
        <v>566.17585120180399</v>
      </c>
      <c r="AR11" s="11">
        <f>549342.669559702/(10^3)</f>
        <v>549.34266955970202</v>
      </c>
      <c r="AS11" s="11">
        <f>543035.118150022/(10^3)</f>
        <v>543.03511815002196</v>
      </c>
      <c r="AT11" s="11">
        <f>556492.151023258/(10^3)</f>
        <v>556.49215102325797</v>
      </c>
      <c r="AU11" s="11">
        <v>579.13261396874816</v>
      </c>
      <c r="AV11" s="11">
        <f>577041.565196905/(10^3)</f>
        <v>577.04156519690503</v>
      </c>
      <c r="AW11" s="11">
        <f>591144.464176026/(10^3)</f>
        <v>591.14446417602608</v>
      </c>
      <c r="AX11" s="11">
        <f>637167.257527713/(10^3)</f>
        <v>637.16725752771299</v>
      </c>
      <c r="AY11" s="11">
        <f>666166.922188627/(10^3)</f>
        <v>666.16692218862693</v>
      </c>
      <c r="AZ11" s="11">
        <f>673006.076261089/(10^3)</f>
        <v>673.00607626108899</v>
      </c>
      <c r="BA11" s="11">
        <v>686.57168806102788</v>
      </c>
      <c r="BB11" s="11">
        <f>719318.496091906/(10^3)</f>
        <v>719.31849609190601</v>
      </c>
      <c r="BC11" s="11">
        <f>655337.6761811/(10^3)</f>
        <v>655.33767618109994</v>
      </c>
      <c r="BD11" s="11">
        <f>635322.134893468/(10^3)</f>
        <v>635.32213489346805</v>
      </c>
      <c r="BE11" s="11">
        <f>626258.090296824/(10^3)</f>
        <v>626.25809029682398</v>
      </c>
      <c r="BF11" s="11">
        <f>643091.962200436/(10^3)</f>
        <v>643.091962200436</v>
      </c>
      <c r="BG11" s="11">
        <v>640.61296255042635</v>
      </c>
      <c r="BH11" s="11">
        <f>661557.599026919/(10^3)</f>
        <v>661.55759902691898</v>
      </c>
      <c r="BI11" s="11">
        <f>680862.799861718/(10^3)</f>
        <v>680.86279986171792</v>
      </c>
      <c r="BJ11" s="11">
        <f>704085.333358943/(10^3)</f>
        <v>704.08533335894299</v>
      </c>
      <c r="BK11" s="11">
        <f>696225.163171438/(10^3)</f>
        <v>696.225163171438</v>
      </c>
      <c r="BL11" s="11">
        <f>725690.6013695/(10^3)</f>
        <v>725.69060136950009</v>
      </c>
      <c r="BM11" s="11">
        <v>720.39235298907954</v>
      </c>
      <c r="BN11" s="11">
        <f>718479.351844481/(10^3)</f>
        <v>718.47935184448102</v>
      </c>
      <c r="BO11" s="11">
        <f>672553.374552538/(10^3)</f>
        <v>672.553374552538</v>
      </c>
      <c r="BP11" s="11">
        <f>669081.840616465/(10^3)</f>
        <v>669.081840616465</v>
      </c>
      <c r="BQ11" s="11">
        <f>663691.646912497/(10^3)</f>
        <v>663.69164691249705</v>
      </c>
      <c r="BR11" s="11">
        <f>694244.00993735/(10^3)</f>
        <v>694.24400993735003</v>
      </c>
      <c r="BS11" s="11">
        <v>726.01816824407661</v>
      </c>
      <c r="BT11" s="11">
        <f>715824.715439572/(10^3)</f>
        <v>715.82471543957195</v>
      </c>
      <c r="BU11" s="11">
        <f>736904.731538992/(10^3)</f>
        <v>736.904731538992</v>
      </c>
      <c r="BV11" s="11">
        <f>778012.415010361/(10^3)</f>
        <v>778.012415010361</v>
      </c>
      <c r="BW11" s="11">
        <f>803185.525023921/(10^3)</f>
        <v>803.18552502392106</v>
      </c>
      <c r="BX11" s="11">
        <f>805012.762912815/(10^3)</f>
        <v>805.01276291281499</v>
      </c>
      <c r="BY11" s="11">
        <v>833.33854922533874</v>
      </c>
      <c r="BZ11" s="11">
        <f>822440.290361275/(10^3)</f>
        <v>822.44029036127495</v>
      </c>
      <c r="CA11" s="11">
        <f>800388.435006347/(10^3)</f>
        <v>800.38843500634698</v>
      </c>
      <c r="CB11" s="11">
        <f>787892.203635249/(10^3)</f>
        <v>787.89220363524907</v>
      </c>
      <c r="CC11" s="12"/>
      <c r="DD11" s="11"/>
      <c r="DE11" s="11"/>
      <c r="DF11" s="11"/>
    </row>
    <row r="12" spans="1:110" x14ac:dyDescent="0.25">
      <c r="D12" s="10" t="s">
        <v>84</v>
      </c>
      <c r="E12" s="10" t="s">
        <v>53</v>
      </c>
      <c r="F12" s="10" t="s">
        <v>150</v>
      </c>
      <c r="G12" s="10"/>
      <c r="H12" s="67" t="str">
        <f t="shared" si="2"/>
        <v xml:space="preserve">Annapolis </v>
      </c>
      <c r="I12" s="11">
        <f>1037699/(10^3)</f>
        <v>1037.6990000000001</v>
      </c>
      <c r="J12" s="11">
        <f>1067288.78727128/(10^3)</f>
        <v>1067.2887872712802</v>
      </c>
      <c r="K12" s="11">
        <v>1038.4282415608138</v>
      </c>
      <c r="L12" s="11">
        <f>1020083.74013691/(10^3)</f>
        <v>1020.08374013691</v>
      </c>
      <c r="M12" s="11">
        <f>1007235.28690848/(10^3)</f>
        <v>1007.23528690848</v>
      </c>
      <c r="N12" s="11">
        <f>1024976.32414874/(10^3)</f>
        <v>1024.9763241487401</v>
      </c>
      <c r="O12" s="11">
        <f>1060362.52723919/(10^3)</f>
        <v>1060.3625272391901</v>
      </c>
      <c r="P12" s="11">
        <f>1086452.25970161/(10^3)</f>
        <v>1086.45225970161</v>
      </c>
      <c r="Q12" s="11">
        <v>1131.0687541637378</v>
      </c>
      <c r="R12" s="11">
        <f>1182699.03711572/(10^3)</f>
        <v>1182.6990371157201</v>
      </c>
      <c r="S12" s="11">
        <f>1137294.7293361/(10^3)</f>
        <v>1137.2947293360999</v>
      </c>
      <c r="T12" s="11">
        <f>1107595.27782085/(10^3)</f>
        <v>1107.59527782085</v>
      </c>
      <c r="U12" s="11">
        <f>1097044.21294669/(10^3)</f>
        <v>1097.0442129466899</v>
      </c>
      <c r="V12" s="11">
        <f>1090075.32190266/(10^3)</f>
        <v>1090.0753219026599</v>
      </c>
      <c r="W12" s="11">
        <v>1060.4515576296444</v>
      </c>
      <c r="X12" s="11">
        <f>1113163.64644996/(10^3)</f>
        <v>1113.16364644996</v>
      </c>
      <c r="Y12" s="11">
        <f>1086439.71781153/(10^3)</f>
        <v>1086.43971781153</v>
      </c>
      <c r="Z12" s="11">
        <f>1089439.60067833/(10^3)</f>
        <v>1089.43960067833</v>
      </c>
      <c r="AA12" s="11">
        <f>1108904.91872391/(10^3)</f>
        <v>1108.9049187239102</v>
      </c>
      <c r="AB12" s="11">
        <f>1126583.13748724/(10^3)</f>
        <v>1126.5831374872398</v>
      </c>
      <c r="AC12" s="11">
        <v>1176.5695084947022</v>
      </c>
      <c r="AD12" s="11">
        <f>1222171.91880882/(10^3)</f>
        <v>1222.17191880882</v>
      </c>
      <c r="AE12" s="11">
        <f>1175741.87472116/(10^3)</f>
        <v>1175.74187472116</v>
      </c>
      <c r="AF12" s="11">
        <f>1113286.94946036/(10^3)</f>
        <v>1113.2869494603599</v>
      </c>
      <c r="AG12" s="11">
        <f>1090120.98224412/(10^3)</f>
        <v>1090.1209822441199</v>
      </c>
      <c r="AH12" s="11">
        <f>1144214.46887788/(10^3)</f>
        <v>1144.2144688778799</v>
      </c>
      <c r="AI12" s="11">
        <v>1179.5440428657346</v>
      </c>
      <c r="AJ12" s="11">
        <f>1214987.0499577/(10^3)</f>
        <v>1214.9870499577</v>
      </c>
      <c r="AK12" s="11">
        <f>1188293.59224791/(10^3)</f>
        <v>1188.2935922479101</v>
      </c>
      <c r="AL12" s="11">
        <f>1197190.57949443/(10^3)</f>
        <v>1197.19057949443</v>
      </c>
      <c r="AM12" s="11">
        <f>1249742.07535895/(10^3)</f>
        <v>1249.7420753589502</v>
      </c>
      <c r="AN12" s="11">
        <f>1277456.2650017/(10^3)</f>
        <v>1277.4562650017001</v>
      </c>
      <c r="AO12" s="11">
        <v>1296.6166515535915</v>
      </c>
      <c r="AP12" s="11">
        <f>1329516.96751683/(10^3)</f>
        <v>1329.5169675168299</v>
      </c>
      <c r="AQ12" s="11">
        <f>1291881.94063252/(10^3)</f>
        <v>1291.8819406325199</v>
      </c>
      <c r="AR12" s="11">
        <f>1232539.040792/(10^3)</f>
        <v>1232.5390407919999</v>
      </c>
      <c r="AS12" s="11">
        <f>1198765.30041421/(10^3)</f>
        <v>1198.7653004142101</v>
      </c>
      <c r="AT12" s="11">
        <f>1227523.65621341/(10^3)</f>
        <v>1227.52365621341</v>
      </c>
      <c r="AU12" s="11">
        <v>1258.3085678390601</v>
      </c>
      <c r="AV12" s="11">
        <f>1277703.76450858/(10^3)</f>
        <v>1277.70376450858</v>
      </c>
      <c r="AW12" s="11">
        <f>1310183.8288567/(10^3)</f>
        <v>1310.1838288567001</v>
      </c>
      <c r="AX12" s="11">
        <f>1393055.27924096/(10^3)</f>
        <v>1393.0552792409601</v>
      </c>
      <c r="AY12" s="11">
        <f>1431649.48373977/(10^3)</f>
        <v>1431.6494837397699</v>
      </c>
      <c r="AZ12" s="11">
        <f>1444069.9708818/(10^3)</f>
        <v>1444.0699708817999</v>
      </c>
      <c r="BA12" s="11">
        <v>1508.0500445427515</v>
      </c>
      <c r="BB12" s="11">
        <f>1567706.54280048/(10^3)</f>
        <v>1567.7065428004801</v>
      </c>
      <c r="BC12" s="11">
        <f>1447276.1596975/(10^3)</f>
        <v>1447.2761596975001</v>
      </c>
      <c r="BD12" s="11">
        <f>1408349.48803951/(10^3)</f>
        <v>1408.3494880395101</v>
      </c>
      <c r="BE12" s="11">
        <f>1402643.19032762/(10^3)</f>
        <v>1402.64319032762</v>
      </c>
      <c r="BF12" s="11">
        <f>1387704.45404233/(10^3)</f>
        <v>1387.7044540423299</v>
      </c>
      <c r="BG12" s="11">
        <v>1454.8771070568039</v>
      </c>
      <c r="BH12" s="11">
        <f>1497154.25582315/(10^3)</f>
        <v>1497.1542558231502</v>
      </c>
      <c r="BI12" s="11">
        <f>1480352.20102187/(10^3)</f>
        <v>1480.3522010218699</v>
      </c>
      <c r="BJ12" s="11">
        <f>1444669.84290402/(10^3)</f>
        <v>1444.66984290402</v>
      </c>
      <c r="BK12" s="11">
        <f>1504239.13589207/(10^3)</f>
        <v>1504.23913589207</v>
      </c>
      <c r="BL12" s="11">
        <f>1543336.25969364/(10^3)</f>
        <v>1543.3362596936402</v>
      </c>
      <c r="BM12" s="11">
        <v>1597.9966147325022</v>
      </c>
      <c r="BN12" s="11">
        <f>1654032.87068425/(10^3)</f>
        <v>1654.0328706842499</v>
      </c>
      <c r="BO12" s="11">
        <f>1503833.0152624/(10^3)</f>
        <v>1503.8330152624001</v>
      </c>
      <c r="BP12" s="11">
        <f>1466858.01809382/(10^3)</f>
        <v>1466.85801809382</v>
      </c>
      <c r="BQ12" s="11">
        <f>1440542.46147065/(10^3)</f>
        <v>1440.5424614706501</v>
      </c>
      <c r="BR12" s="11">
        <f>1419535.62321514/(10^3)</f>
        <v>1419.53562321514</v>
      </c>
      <c r="BS12" s="11">
        <v>1443.765164237024</v>
      </c>
      <c r="BT12" s="11">
        <f>1438453.31996591/(10^3)</f>
        <v>1438.4533199659099</v>
      </c>
      <c r="BU12" s="11">
        <f>1467358.18576406/(10^3)</f>
        <v>1467.35818576406</v>
      </c>
      <c r="BV12" s="11">
        <f>1605072.09557432/(10^3)</f>
        <v>1605.07209557432</v>
      </c>
      <c r="BW12" s="11">
        <f>1637582.14388631/(10^3)</f>
        <v>1637.58214388631</v>
      </c>
      <c r="BX12" s="11">
        <f>1662401.9141473/(10^3)</f>
        <v>1662.4019141473</v>
      </c>
      <c r="BY12" s="11">
        <v>1738.1331381876894</v>
      </c>
      <c r="BZ12" s="11">
        <f>1740148.83699447/(10^3)</f>
        <v>1740.14883699447</v>
      </c>
      <c r="CA12" s="11">
        <f>1623136.04269568/(10^3)</f>
        <v>1623.1360426956799</v>
      </c>
      <c r="CB12" s="11">
        <f>1587829.43700163/(10^3)</f>
        <v>1587.8294370016299</v>
      </c>
      <c r="CC12" s="12"/>
      <c r="DD12" s="11"/>
      <c r="DE12" s="11"/>
      <c r="DF12" s="11"/>
    </row>
    <row r="13" spans="1:110" x14ac:dyDescent="0.25">
      <c r="D13" s="10" t="s">
        <v>85</v>
      </c>
      <c r="E13" s="10" t="s">
        <v>53</v>
      </c>
      <c r="F13" s="10" t="s">
        <v>150</v>
      </c>
      <c r="G13" s="10"/>
      <c r="H13" s="67" t="str">
        <f t="shared" si="2"/>
        <v xml:space="preserve">Baltimore </v>
      </c>
      <c r="I13" s="11">
        <f>1203964/(10^3)</f>
        <v>1203.9639999999999</v>
      </c>
      <c r="J13" s="11">
        <f>1245168.65129479/(10^3)</f>
        <v>1245.1686512947899</v>
      </c>
      <c r="K13" s="11">
        <v>1237.6621626918868</v>
      </c>
      <c r="L13" s="11">
        <f>1227360.21479529/(10^3)</f>
        <v>1227.3602147952899</v>
      </c>
      <c r="M13" s="11">
        <f>1284189.29222322/(10^3)</f>
        <v>1284.18929222322</v>
      </c>
      <c r="N13" s="11">
        <f>1334447.36209835/(10^3)</f>
        <v>1334.4473620983499</v>
      </c>
      <c r="O13" s="11">
        <f>1343253.07182241/(10^3)</f>
        <v>1343.25307182241</v>
      </c>
      <c r="P13" s="11">
        <f>1347765.61918033/(10^3)</f>
        <v>1347.7656191803301</v>
      </c>
      <c r="Q13" s="11">
        <v>1404.5698593011659</v>
      </c>
      <c r="R13" s="11">
        <f>1367081.67816842/(10^3)</f>
        <v>1367.08167816842</v>
      </c>
      <c r="S13" s="11">
        <f>1351815.27653578/(10^3)</f>
        <v>1351.81527653578</v>
      </c>
      <c r="T13" s="11">
        <f>1297769.05982769/(10^3)</f>
        <v>1297.7690598276899</v>
      </c>
      <c r="U13" s="11">
        <f>1272407.34552039/(10^3)</f>
        <v>1272.40734552039</v>
      </c>
      <c r="V13" s="11">
        <f>1250065.80711511/(10^3)</f>
        <v>1250.0658071151101</v>
      </c>
      <c r="W13" s="11">
        <v>1273.7327956458289</v>
      </c>
      <c r="X13" s="11">
        <f>1308965.53966105/(10^3)</f>
        <v>1308.9655396610501</v>
      </c>
      <c r="Y13" s="11">
        <f>1354043.97638047/(10^3)</f>
        <v>1354.04397638047</v>
      </c>
      <c r="Z13" s="11">
        <f>1342535.46840312/(10^3)</f>
        <v>1342.5354684031201</v>
      </c>
      <c r="AA13" s="11">
        <f>1353051.98004166/(10^3)</f>
        <v>1353.0519800416598</v>
      </c>
      <c r="AB13" s="11">
        <f>1404177.65478954/(10^3)</f>
        <v>1404.1776547895399</v>
      </c>
      <c r="AC13" s="11">
        <v>1456.4191037790292</v>
      </c>
      <c r="AD13" s="11">
        <f>1481329.15362493/(10^3)</f>
        <v>1481.3291536249299</v>
      </c>
      <c r="AE13" s="11">
        <f>1497029.49467177/(10^3)</f>
        <v>1497.02949467177</v>
      </c>
      <c r="AF13" s="11">
        <f>1498455.90186315/(10^3)</f>
        <v>1498.4559018631501</v>
      </c>
      <c r="AG13" s="11">
        <f>1524447.29317743/(10^3)</f>
        <v>1524.4472931774301</v>
      </c>
      <c r="AH13" s="11">
        <f>1552694.84998568/(10^3)</f>
        <v>1552.6948499856801</v>
      </c>
      <c r="AI13" s="11">
        <v>1592.614880746215</v>
      </c>
      <c r="AJ13" s="11">
        <f>1618391.6467044/(10^3)</f>
        <v>1618.3916467044</v>
      </c>
      <c r="AK13" s="11">
        <f>1609244.69139972/(10^3)</f>
        <v>1609.2446913997201</v>
      </c>
      <c r="AL13" s="11">
        <f>1711859.22936898/(10^3)</f>
        <v>1711.8592293689801</v>
      </c>
      <c r="AM13" s="11">
        <f>1720929.90816344/(10^3)</f>
        <v>1720.9299081634399</v>
      </c>
      <c r="AN13" s="11">
        <f>1775455.34893768/(10^3)</f>
        <v>1775.4553489376799</v>
      </c>
      <c r="AO13" s="11">
        <v>1845.5053308805534</v>
      </c>
      <c r="AP13" s="11">
        <f>1886961.56996153/(10^3)</f>
        <v>1886.9615699615299</v>
      </c>
      <c r="AQ13" s="11">
        <f>1837380.41546164/(10^3)</f>
        <v>1837.38041546164</v>
      </c>
      <c r="AR13" s="11">
        <f>1797538.39388045/(10^3)</f>
        <v>1797.53839388045</v>
      </c>
      <c r="AS13" s="11">
        <f>1762515.77434533/(10^3)</f>
        <v>1762.5157743453299</v>
      </c>
      <c r="AT13" s="11">
        <f>1710182.07383148/(10^3)</f>
        <v>1710.18207383148</v>
      </c>
      <c r="AU13" s="11">
        <v>1678.3493298923036</v>
      </c>
      <c r="AV13" s="11">
        <f>1733442.04977821/(10^3)</f>
        <v>1733.44204977821</v>
      </c>
      <c r="AW13" s="11">
        <f>1742843.45660091/(10^3)</f>
        <v>1742.84345660091</v>
      </c>
      <c r="AX13" s="11">
        <f>1801111.90594165/(10^3)</f>
        <v>1801.1119059416501</v>
      </c>
      <c r="AY13" s="11">
        <f>1814931.31460785/(10^3)</f>
        <v>1814.93131460785</v>
      </c>
      <c r="AZ13" s="11">
        <f>1879861.96773084/(10^3)</f>
        <v>1879.86196773084</v>
      </c>
      <c r="BA13" s="11">
        <v>1895.4534553623994</v>
      </c>
      <c r="BB13" s="11">
        <f>1972275.01176655/(10^3)</f>
        <v>1972.2750117665498</v>
      </c>
      <c r="BC13" s="11">
        <f>1965541.85508936/(10^3)</f>
        <v>1965.5418550893598</v>
      </c>
      <c r="BD13" s="11">
        <f>1883789.10184674/(10^3)</f>
        <v>1883.7891018467401</v>
      </c>
      <c r="BE13" s="11">
        <f>1870820.1315072/(10^3)</f>
        <v>1870.8201315071999</v>
      </c>
      <c r="BF13" s="11">
        <f>1899430.68315103/(10^3)</f>
        <v>1899.4306831510301</v>
      </c>
      <c r="BG13" s="11">
        <v>1901.0402607329897</v>
      </c>
      <c r="BH13" s="11">
        <f>1971604.5354082/(10^3)</f>
        <v>1971.6045354082</v>
      </c>
      <c r="BI13" s="11">
        <f>2035932.77619007/(10^3)</f>
        <v>2035.9327761900699</v>
      </c>
      <c r="BJ13" s="11">
        <f>2238326.15235012/(10^3)</f>
        <v>2238.3261523501196</v>
      </c>
      <c r="BK13" s="11">
        <f>2238925.16970613/(10^3)</f>
        <v>2238.92516970613</v>
      </c>
      <c r="BL13" s="11">
        <f>2349124.58040029/(10^3)</f>
        <v>2349.1245804002901</v>
      </c>
      <c r="BM13" s="11">
        <v>2459.5179548571346</v>
      </c>
      <c r="BN13" s="11">
        <f>2537062.42331801/(10^3)</f>
        <v>2537.0624233180097</v>
      </c>
      <c r="BO13" s="11">
        <f>2444701.09661492/(10^3)</f>
        <v>2444.7010966149201</v>
      </c>
      <c r="BP13" s="11">
        <f>2435975.15082882/(10^3)</f>
        <v>2435.97515082882</v>
      </c>
      <c r="BQ13" s="11">
        <f>2411976.69494959/(10^3)</f>
        <v>2411.9766949495902</v>
      </c>
      <c r="BR13" s="11">
        <f>2429032.1044294/(10^3)</f>
        <v>2429.0321044294001</v>
      </c>
      <c r="BS13" s="11">
        <v>2488.338925771232</v>
      </c>
      <c r="BT13" s="11">
        <f>2573036.00498506/(10^3)</f>
        <v>2573.0360049850601</v>
      </c>
      <c r="BU13" s="11">
        <f>2616533.59505634/(10^3)</f>
        <v>2616.5335950563399</v>
      </c>
      <c r="BV13" s="11">
        <f>2629852.36790555/(10^3)</f>
        <v>2629.8523679055502</v>
      </c>
      <c r="BW13" s="11">
        <f>2632526.8028127/(10^3)</f>
        <v>2632.5268028127002</v>
      </c>
      <c r="BX13" s="11">
        <f>2633951.68938676/(10^3)</f>
        <v>2633.9516893867599</v>
      </c>
      <c r="BY13" s="11">
        <v>2664.6180671154279</v>
      </c>
      <c r="BZ13" s="11">
        <f>2615398.17736309/(10^3)</f>
        <v>2615.3981773630903</v>
      </c>
      <c r="CA13" s="11">
        <f>2460449.95198721/(10^3)</f>
        <v>2460.4499519872102</v>
      </c>
      <c r="CB13" s="11">
        <f>2388593.77655435/(10^3)</f>
        <v>2388.5937765543499</v>
      </c>
      <c r="CC13" s="12"/>
      <c r="DD13" s="11"/>
      <c r="DE13" s="11"/>
      <c r="DF13" s="11"/>
    </row>
    <row r="14" spans="1:110" x14ac:dyDescent="0.25">
      <c r="D14" s="10" t="s">
        <v>87</v>
      </c>
      <c r="E14" s="10" t="s">
        <v>77</v>
      </c>
      <c r="F14" s="10" t="s">
        <v>180</v>
      </c>
      <c r="G14" s="10"/>
      <c r="H14" s="67" t="str">
        <f t="shared" si="2"/>
        <v xml:space="preserve">Augusta </v>
      </c>
      <c r="I14" s="11">
        <f>637760/(10^3)</f>
        <v>637.76</v>
      </c>
      <c r="J14" s="11">
        <f>663849.317822511/(10^3)</f>
        <v>663.84931782251101</v>
      </c>
      <c r="K14" s="11">
        <v>696.70376406072239</v>
      </c>
      <c r="L14" s="11">
        <f>683512.070308572/(10^3)</f>
        <v>683.51207030857199</v>
      </c>
      <c r="M14" s="11">
        <f>700706.538725485/(10^3)</f>
        <v>700.70653872548496</v>
      </c>
      <c r="N14" s="11">
        <f>735474.233772277/(10^3)</f>
        <v>735.47423377227699</v>
      </c>
      <c r="O14" s="11">
        <f>759609.246546103/(10^3)</f>
        <v>759.60924654610301</v>
      </c>
      <c r="P14" s="11">
        <f>785496.531597389/(10^3)</f>
        <v>785.49653159738898</v>
      </c>
      <c r="Q14" s="11">
        <v>800.80611988705448</v>
      </c>
      <c r="R14" s="11">
        <f>783551.153286511/(10^3)</f>
        <v>783.55115328651095</v>
      </c>
      <c r="S14" s="11">
        <f>718453.031694986/(10^3)</f>
        <v>718.45303169498607</v>
      </c>
      <c r="T14" s="11">
        <f>698609.856559121/(10^3)</f>
        <v>698.609856559121</v>
      </c>
      <c r="U14" s="11">
        <f>695125.86725834/(10^3)</f>
        <v>695.12586725834001</v>
      </c>
      <c r="V14" s="11">
        <f>676698.083848351/(10^3)</f>
        <v>676.69808384835108</v>
      </c>
      <c r="W14" s="11">
        <v>672.78872603809714</v>
      </c>
      <c r="X14" s="11">
        <f>681014.628139075/(10^3)</f>
        <v>681.01462813907506</v>
      </c>
      <c r="Y14" s="11">
        <f>668351.123647431/(10^3)</f>
        <v>668.351123647431</v>
      </c>
      <c r="Z14" s="11">
        <f>680143.427116123/(10^3)</f>
        <v>680.14342711612301</v>
      </c>
      <c r="AA14" s="11">
        <f>699533.386539157/(10^3)</f>
        <v>699.53338653915705</v>
      </c>
      <c r="AB14" s="11">
        <f>724461.483774047/(10^3)</f>
        <v>724.461483774047</v>
      </c>
      <c r="AC14" s="11">
        <v>727.62873047771166</v>
      </c>
      <c r="AD14" s="11">
        <f>740941.295600499/(10^3)</f>
        <v>740.94129560049907</v>
      </c>
      <c r="AE14" s="11">
        <f>748991.123454758/(10^3)</f>
        <v>748.99112345475794</v>
      </c>
      <c r="AF14" s="11">
        <f>766376.840310529/(10^3)</f>
        <v>766.37684031052902</v>
      </c>
      <c r="AG14" s="11">
        <f>796596.128991998/(10^3)</f>
        <v>796.59612899199806</v>
      </c>
      <c r="AH14" s="11">
        <f>829781.142485467/(10^3)</f>
        <v>829.78114248546706</v>
      </c>
      <c r="AI14" s="11">
        <v>865.68633000789066</v>
      </c>
      <c r="AJ14" s="11">
        <f>895975.74220057/(10^3)</f>
        <v>895.97574220056993</v>
      </c>
      <c r="AK14" s="11">
        <f>892530.60924997/(10^3)</f>
        <v>892.53060924996998</v>
      </c>
      <c r="AL14" s="11">
        <f>936846.978652936/(10^3)</f>
        <v>936.84697865293606</v>
      </c>
      <c r="AM14" s="11">
        <f>942308.771608609/(10^3)</f>
        <v>942.30877160860905</v>
      </c>
      <c r="AN14" s="11">
        <f>978990.477703784/(10^3)</f>
        <v>978.99047770378399</v>
      </c>
      <c r="AO14" s="11">
        <v>1019.1987078303745</v>
      </c>
      <c r="AP14" s="11">
        <f>1040732.51396615/(10^3)</f>
        <v>1040.73251396615</v>
      </c>
      <c r="AQ14" s="11">
        <f>959971.162920011/(10^3)</f>
        <v>959.97116292001101</v>
      </c>
      <c r="AR14" s="11">
        <f>920283.592333081/(10^3)</f>
        <v>920.28359233308095</v>
      </c>
      <c r="AS14" s="11">
        <f>894847.642190033/(10^3)</f>
        <v>894.84764219003296</v>
      </c>
      <c r="AT14" s="11">
        <f>870742.69235197/(10^3)</f>
        <v>870.74269235197005</v>
      </c>
      <c r="AU14" s="11">
        <v>857.99561995681654</v>
      </c>
      <c r="AV14" s="11">
        <f>845250.66548662/(10^3)</f>
        <v>845.25066548662005</v>
      </c>
      <c r="AW14" s="11">
        <f>880724.535023717/(10^3)</f>
        <v>880.72453502371695</v>
      </c>
      <c r="AX14" s="11">
        <f>944944.793349811/(10^3)</f>
        <v>944.94479334981099</v>
      </c>
      <c r="AY14" s="11">
        <f>956707.867882474/(10^3)</f>
        <v>956.70786788247392</v>
      </c>
      <c r="AZ14" s="11">
        <f>999341.099772985/(10^3)</f>
        <v>999.34109977298499</v>
      </c>
      <c r="BA14" s="11">
        <v>1035.2731332692447</v>
      </c>
      <c r="BB14" s="11">
        <f>1077676.01772529/(10^3)</f>
        <v>1077.67601772529</v>
      </c>
      <c r="BC14" s="11">
        <f>990871.802447302/(10^3)</f>
        <v>990.871802447302</v>
      </c>
      <c r="BD14" s="11">
        <f>959346.269713483/(10^3)</f>
        <v>959.34626971348303</v>
      </c>
      <c r="BE14" s="11">
        <f>935918.251437571/(10^3)</f>
        <v>935.91825143757103</v>
      </c>
      <c r="BF14" s="11">
        <f>971717.305169665/(10^3)</f>
        <v>971.717305169665</v>
      </c>
      <c r="BG14" s="11">
        <v>958.00024719258192</v>
      </c>
      <c r="BH14" s="11">
        <f>982039.234689166/(10^3)</f>
        <v>982.03923468916594</v>
      </c>
      <c r="BI14" s="11">
        <f>1014452.12584998/(10^3)</f>
        <v>1014.45212584998</v>
      </c>
      <c r="BJ14" s="11">
        <f>1058123.05494347/(10^3)</f>
        <v>1058.1230549434702</v>
      </c>
      <c r="BK14" s="11">
        <f>1100192.02107946/(10^3)</f>
        <v>1100.1920210794599</v>
      </c>
      <c r="BL14" s="11">
        <f>1133350.16632358/(10^3)</f>
        <v>1133.35016632358</v>
      </c>
      <c r="BM14" s="11">
        <v>1168.5205162573088</v>
      </c>
      <c r="BN14" s="11">
        <f>1148475.10521039/(10^3)</f>
        <v>1148.47510521039</v>
      </c>
      <c r="BO14" s="11">
        <f>1089395.17591181/(10^3)</f>
        <v>1089.3951759118099</v>
      </c>
      <c r="BP14" s="11">
        <f>1064373.06324552/(10^3)</f>
        <v>1064.3730632455199</v>
      </c>
      <c r="BQ14" s="11">
        <f>1062952.48065165/(10^3)</f>
        <v>1062.9524806516501</v>
      </c>
      <c r="BR14" s="11">
        <f>1114954.52628429/(10^3)</f>
        <v>1114.9545262842901</v>
      </c>
      <c r="BS14" s="11">
        <v>1139.430180779387</v>
      </c>
      <c r="BT14" s="11">
        <f>1155092.71521596/(10^3)</f>
        <v>1155.09271521596</v>
      </c>
      <c r="BU14" s="11">
        <f>1208647.60582172/(10^3)</f>
        <v>1208.6476058217202</v>
      </c>
      <c r="BV14" s="11">
        <f>1228978.94729975/(10^3)</f>
        <v>1228.97894729975</v>
      </c>
      <c r="BW14" s="11">
        <f>1265571.4885542/(10^3)</f>
        <v>1265.5714885542</v>
      </c>
      <c r="BX14" s="11">
        <f>1287183.48356665/(10^3)</f>
        <v>1287.18348356665</v>
      </c>
      <c r="BY14" s="11">
        <v>1314.3534832620644</v>
      </c>
      <c r="BZ14" s="11">
        <f>1372229.72920815/(10^3)</f>
        <v>1372.22972920815</v>
      </c>
      <c r="CA14" s="11">
        <f>1278787.82198858/(10^3)</f>
        <v>1278.7878219885802</v>
      </c>
      <c r="CB14" s="11">
        <f>1240557.10675196/(10^3)</f>
        <v>1240.55710675196</v>
      </c>
      <c r="CC14" s="12"/>
      <c r="DD14" s="11"/>
      <c r="DE14" s="11"/>
      <c r="DF14" s="11"/>
    </row>
    <row r="15" spans="1:110" x14ac:dyDescent="0.25">
      <c r="D15" s="10" t="s">
        <v>89</v>
      </c>
      <c r="E15" s="10" t="s">
        <v>77</v>
      </c>
      <c r="F15" s="10" t="s">
        <v>180</v>
      </c>
      <c r="G15" s="10"/>
      <c r="H15" s="67" t="str">
        <f t="shared" si="2"/>
        <v xml:space="preserve">Portland </v>
      </c>
      <c r="I15" s="11">
        <f>384458/(10^3)</f>
        <v>384.45800000000003</v>
      </c>
      <c r="J15" s="11">
        <f>395706.352499704/(10^3)</f>
        <v>395.706352499704</v>
      </c>
      <c r="K15" s="11">
        <v>387.07459487430492</v>
      </c>
      <c r="L15" s="11">
        <f>406267.438221923/(10^3)</f>
        <v>406.26743822192304</v>
      </c>
      <c r="M15" s="11">
        <f>423653.802851817/(10^3)</f>
        <v>423.65380285181698</v>
      </c>
      <c r="N15" s="11">
        <f>459813.039939224/(10^3)</f>
        <v>459.81303993922404</v>
      </c>
      <c r="O15" s="11">
        <f>468385.725125248/(10^3)</f>
        <v>468.38572512524803</v>
      </c>
      <c r="P15" s="11">
        <f>485633.297437247/(10^3)</f>
        <v>485.63329743724699</v>
      </c>
      <c r="Q15" s="11">
        <v>496.25406433363446</v>
      </c>
      <c r="R15" s="11">
        <f>503171.1431075/(10^3)</f>
        <v>503.17114310749997</v>
      </c>
      <c r="S15" s="11">
        <f>464381.544967198/(10^3)</f>
        <v>464.38154496719801</v>
      </c>
      <c r="T15" s="11">
        <f>456925.030501693/(10^3)</f>
        <v>456.92503050169302</v>
      </c>
      <c r="U15" s="11">
        <f>447915.011996632/(10^3)</f>
        <v>447.91501199663196</v>
      </c>
      <c r="V15" s="11">
        <f>446395.796208526/(10^3)</f>
        <v>446.39579620852601</v>
      </c>
      <c r="W15" s="11">
        <v>450.46824519466799</v>
      </c>
      <c r="X15" s="11">
        <f>461735.306484553/(10^3)</f>
        <v>461.73530648455295</v>
      </c>
      <c r="Y15" s="11">
        <f>468039.014698812/(10^3)</f>
        <v>468.03901469881197</v>
      </c>
      <c r="Z15" s="11">
        <f>513648.317884015/(10^3)</f>
        <v>513.648317884015</v>
      </c>
      <c r="AA15" s="11">
        <f>520019.496093535/(10^3)</f>
        <v>520.01949609353494</v>
      </c>
      <c r="AB15" s="11">
        <f>541972.628820589/(10^3)</f>
        <v>541.97262882058908</v>
      </c>
      <c r="AC15" s="11">
        <v>546.20619573690101</v>
      </c>
      <c r="AD15" s="11">
        <f>563162.430859263/(10^3)</f>
        <v>563.16243085926305</v>
      </c>
      <c r="AE15" s="11">
        <f>567664.832554573/(10^3)</f>
        <v>567.66483255457297</v>
      </c>
      <c r="AF15" s="11">
        <f>583667.226420917/(10^3)</f>
        <v>583.66722642091702</v>
      </c>
      <c r="AG15" s="11">
        <f>606632.237487947/(10^3)</f>
        <v>606.63223748794701</v>
      </c>
      <c r="AH15" s="11">
        <f>626737.434399199/(10^3)</f>
        <v>626.73743439919895</v>
      </c>
      <c r="AI15" s="11">
        <v>640.64531641791518</v>
      </c>
      <c r="AJ15" s="11">
        <f>670364.717486484/(10^3)</f>
        <v>670.36471748648398</v>
      </c>
      <c r="AK15" s="11">
        <f>691703.683910361/(10^3)</f>
        <v>691.70368391036106</v>
      </c>
      <c r="AL15" s="11">
        <f>710815.243564971/(10^3)</f>
        <v>710.81524356497107</v>
      </c>
      <c r="AM15" s="11">
        <f>742214.682197302/(10^3)</f>
        <v>742.21468219730195</v>
      </c>
      <c r="AN15" s="11">
        <f>764047.372117407/(10^3)</f>
        <v>764.04737211740701</v>
      </c>
      <c r="AO15" s="11">
        <v>783.15877531511694</v>
      </c>
      <c r="AP15" s="11">
        <f>816808.949766176/(10^3)</f>
        <v>816.80894976617606</v>
      </c>
      <c r="AQ15" s="11">
        <f>759708.219260054/(10^3)</f>
        <v>759.70821926005397</v>
      </c>
      <c r="AR15" s="11">
        <f>726529.197378616/(10^3)</f>
        <v>726.529197378616</v>
      </c>
      <c r="AS15" s="11">
        <f>713738.074008832/(10^3)</f>
        <v>713.73807400883197</v>
      </c>
      <c r="AT15" s="11">
        <f>694519.711323421/(10^3)</f>
        <v>694.51971132342101</v>
      </c>
      <c r="AU15" s="11">
        <v>690.75752058001922</v>
      </c>
      <c r="AV15" s="11">
        <f>686109.376090197/(10^3)</f>
        <v>686.10937609019697</v>
      </c>
      <c r="AW15" s="11">
        <f>677062.241401615/(10^3)</f>
        <v>677.06224140161498</v>
      </c>
      <c r="AX15" s="11">
        <f>663421.623816553/(10^3)</f>
        <v>663.42162381655305</v>
      </c>
      <c r="AY15" s="11">
        <f>662039.571877086/(10^3)</f>
        <v>662.0395718770859</v>
      </c>
      <c r="AZ15" s="11">
        <f>648537.192544959/(10^3)</f>
        <v>648.537192544959</v>
      </c>
      <c r="BA15" s="11">
        <v>636.65523408989702</v>
      </c>
      <c r="BB15" s="11">
        <f>627931.226962646/(10^3)</f>
        <v>627.93122696264595</v>
      </c>
      <c r="BC15" s="11">
        <f>610149.089993536/(10^3)</f>
        <v>610.14908999353599</v>
      </c>
      <c r="BD15" s="11">
        <f>607617.932357659/(10^3)</f>
        <v>607.61793235765901</v>
      </c>
      <c r="BE15" s="11">
        <f>597174.289967943/(10^3)</f>
        <v>597.17428996794297</v>
      </c>
      <c r="BF15" s="11">
        <f>603596.607021064/(10^3)</f>
        <v>603.59660702106407</v>
      </c>
      <c r="BG15" s="11">
        <v>608.73911969880737</v>
      </c>
      <c r="BH15" s="11">
        <f>623509.11515422/(10^3)</f>
        <v>623.50911515422001</v>
      </c>
      <c r="BI15" s="11">
        <f>646579.2787435/(10^3)</f>
        <v>646.57927874350003</v>
      </c>
      <c r="BJ15" s="11">
        <f>697185.487930642/(10^3)</f>
        <v>697.18548793064201</v>
      </c>
      <c r="BK15" s="11">
        <f>725665.148673415/(10^3)</f>
        <v>725.66514867341493</v>
      </c>
      <c r="BL15" s="11">
        <f>760638.544994345/(10^3)</f>
        <v>760.63854499434501</v>
      </c>
      <c r="BM15" s="11">
        <v>781.71682514968245</v>
      </c>
      <c r="BN15" s="11">
        <f>772517.072286611/(10^3)</f>
        <v>772.51707228661098</v>
      </c>
      <c r="BO15" s="11">
        <f>737575.740394419/(10^3)</f>
        <v>737.57574039441897</v>
      </c>
      <c r="BP15" s="11">
        <f>708091.479042824/(10^3)</f>
        <v>708.09147904282406</v>
      </c>
      <c r="BQ15" s="11">
        <f>692436.204871725/(10^3)</f>
        <v>692.43620487172507</v>
      </c>
      <c r="BR15" s="11">
        <f>724834.541587895/(10^3)</f>
        <v>724.83454158789505</v>
      </c>
      <c r="BS15" s="11">
        <v>714.6217670809508</v>
      </c>
      <c r="BT15" s="11">
        <f>705316.206513702/(10^3)</f>
        <v>705.31620651370201</v>
      </c>
      <c r="BU15" s="11">
        <f>712360.942593897/(10^3)</f>
        <v>712.36094259389699</v>
      </c>
      <c r="BV15" s="11">
        <f>744301.642236017/(10^3)</f>
        <v>744.30164223601707</v>
      </c>
      <c r="BW15" s="11">
        <f>770721.755511472/(10^3)</f>
        <v>770.721755511472</v>
      </c>
      <c r="BX15" s="11">
        <f>775562.569843755/(10^3)</f>
        <v>775.562569843755</v>
      </c>
      <c r="BY15" s="11">
        <v>776.85063752675183</v>
      </c>
      <c r="BZ15" s="11">
        <f>753627.40401967/(10^3)</f>
        <v>753.62740401966994</v>
      </c>
      <c r="CA15" s="11">
        <f>678887.996873248/(10^3)</f>
        <v>678.88799687324797</v>
      </c>
      <c r="CB15" s="11">
        <f>676591.847589276/(10^3)</f>
        <v>676.59184758927609</v>
      </c>
      <c r="CC15" s="12"/>
      <c r="DD15" s="11"/>
      <c r="DE15" s="11"/>
      <c r="DF15" s="11"/>
    </row>
    <row r="16" spans="1:110" x14ac:dyDescent="0.25">
      <c r="D16" s="10" t="s">
        <v>90</v>
      </c>
      <c r="E16" s="10" t="s">
        <v>83</v>
      </c>
      <c r="F16" s="10" t="s">
        <v>150</v>
      </c>
      <c r="G16" s="10"/>
      <c r="H16" s="67" t="str">
        <f t="shared" si="2"/>
        <v xml:space="preserve">Raleigh </v>
      </c>
      <c r="I16" s="11">
        <f>1407836/(10^3)</f>
        <v>1407.836</v>
      </c>
      <c r="J16" s="11">
        <f>1438110.2138582/(10^3)</f>
        <v>1438.1102138582</v>
      </c>
      <c r="K16" s="11">
        <v>1505.4287123560014</v>
      </c>
      <c r="L16" s="11">
        <f>1525303.4013505/(10^3)</f>
        <v>1525.3034013505001</v>
      </c>
      <c r="M16" s="11">
        <f>1491000.81560781/(10^3)</f>
        <v>1491.00081560781</v>
      </c>
      <c r="N16" s="11">
        <f>1596227.050946/(10^3)</f>
        <v>1596.227050946</v>
      </c>
      <c r="O16" s="11">
        <f>1660678.00524949/(10^3)</f>
        <v>1660.6780052494901</v>
      </c>
      <c r="P16" s="11">
        <f>1716149.21890998/(10^3)</f>
        <v>1716.1492189099799</v>
      </c>
      <c r="Q16" s="11">
        <v>1746.3042856881682</v>
      </c>
      <c r="R16" s="11">
        <f>1760272.42292235/(10^3)</f>
        <v>1760.27242292235</v>
      </c>
      <c r="S16" s="11">
        <f>1743543.46780438/(10^3)</f>
        <v>1743.54346780438</v>
      </c>
      <c r="T16" s="11">
        <f>1698563.66224748/(10^3)</f>
        <v>1698.5636622474799</v>
      </c>
      <c r="U16" s="11">
        <f>1663130.46285107/(10^3)</f>
        <v>1663.1304628510702</v>
      </c>
      <c r="V16" s="11">
        <f>1727567.42604246/(10^3)</f>
        <v>1727.5674260424598</v>
      </c>
      <c r="W16" s="11">
        <v>1675.97693318713</v>
      </c>
      <c r="X16" s="11">
        <f>1704734.69777616/(10^3)</f>
        <v>1704.7346977761599</v>
      </c>
      <c r="Y16" s="11">
        <f>1687828.94269684/(10^3)</f>
        <v>1687.8289426968399</v>
      </c>
      <c r="Z16" s="11">
        <f>1835053.86462194/(10^3)</f>
        <v>1835.05386462194</v>
      </c>
      <c r="AA16" s="11">
        <f>1874474.27606765/(10^3)</f>
        <v>1874.47427606765</v>
      </c>
      <c r="AB16" s="11">
        <f>1886519.49598153/(10^3)</f>
        <v>1886.5194959815301</v>
      </c>
      <c r="AC16" s="11">
        <v>1929.1020318730925</v>
      </c>
      <c r="AD16" s="11">
        <f>2017196.32396248/(10^3)</f>
        <v>2017.1963239624802</v>
      </c>
      <c r="AE16" s="11">
        <f>2111239.20085829/(10^3)</f>
        <v>2111.2392008582897</v>
      </c>
      <c r="AF16" s="11">
        <f>2206089.84851604/(10^3)</f>
        <v>2206.0898485160401</v>
      </c>
      <c r="AG16" s="11">
        <f>2293294.15124069/(10^3)</f>
        <v>2293.2941512406901</v>
      </c>
      <c r="AH16" s="11">
        <f>2359203.16285473/(10^3)</f>
        <v>2359.2031628547302</v>
      </c>
      <c r="AI16" s="11">
        <v>2418.5511478667895</v>
      </c>
      <c r="AJ16" s="11">
        <f>2473361.10580543/(10^3)</f>
        <v>2473.3611058054303</v>
      </c>
      <c r="AK16" s="11">
        <f>2534435.36984217/(10^3)</f>
        <v>2534.4353698421696</v>
      </c>
      <c r="AL16" s="11">
        <f>2617033.69787063/(10^3)</f>
        <v>2617.03369787063</v>
      </c>
      <c r="AM16" s="11">
        <f>2694044.21017829/(10^3)</f>
        <v>2694.0442101782901</v>
      </c>
      <c r="AN16" s="11">
        <f>2734628.95469528/(10^3)</f>
        <v>2734.6289546952803</v>
      </c>
      <c r="AO16" s="11">
        <v>2779.3225504954489</v>
      </c>
      <c r="AP16" s="11">
        <f>2789836.22498988/(10^3)</f>
        <v>2789.8362249898801</v>
      </c>
      <c r="AQ16" s="11">
        <f>2687775.68378424/(10^3)</f>
        <v>2687.7756837842398</v>
      </c>
      <c r="AR16" s="11">
        <f>2596648.25354611/(10^3)</f>
        <v>2596.64825354611</v>
      </c>
      <c r="AS16" s="11">
        <f>2566188.93164581/(10^3)</f>
        <v>2566.18893164581</v>
      </c>
      <c r="AT16" s="11">
        <f>2501592.07715135/(10^3)</f>
        <v>2501.5920771513502</v>
      </c>
      <c r="AU16" s="11">
        <v>2442.5076607088558</v>
      </c>
      <c r="AV16" s="11">
        <f>2377518.24599395/(10^3)</f>
        <v>2377.5182459939501</v>
      </c>
      <c r="AW16" s="11">
        <f>2338114.88301155/(10^3)</f>
        <v>2338.1148830115503</v>
      </c>
      <c r="AX16" s="11">
        <f>2312516.73575871/(10^3)</f>
        <v>2312.5167357587102</v>
      </c>
      <c r="AY16" s="11">
        <f>2259877.40056119/(10^3)</f>
        <v>2259.8774005611904</v>
      </c>
      <c r="AZ16" s="11">
        <f>2244001.68814726/(10^3)</f>
        <v>2244.0016881472598</v>
      </c>
      <c r="BA16" s="11">
        <v>2217.6253757518903</v>
      </c>
      <c r="BB16" s="11">
        <f>2182626.6930461/(10^3)</f>
        <v>2182.6266930461002</v>
      </c>
      <c r="BC16" s="11">
        <f>2136679.8683807/(10^3)</f>
        <v>2136.6798683806996</v>
      </c>
      <c r="BD16" s="11">
        <f>2077391.61566174/(10^3)</f>
        <v>2077.3916156617402</v>
      </c>
      <c r="BE16" s="11">
        <f>2070409.48110858/(10^3)</f>
        <v>2070.4094811085802</v>
      </c>
      <c r="BF16" s="11">
        <f>2029399.27016684/(10^3)</f>
        <v>2029.3992701668399</v>
      </c>
      <c r="BG16" s="11">
        <v>2045.759878393839</v>
      </c>
      <c r="BH16" s="11">
        <f>2071263.46490194/(10^3)</f>
        <v>2071.2634649019401</v>
      </c>
      <c r="BI16" s="11">
        <f>2102089.8516808/(10^3)</f>
        <v>2102.0898516807997</v>
      </c>
      <c r="BJ16" s="11">
        <f>2192816.06487862/(10^3)</f>
        <v>2192.8160648786202</v>
      </c>
      <c r="BK16" s="11">
        <f>2224372.43543655/(10^3)</f>
        <v>2224.3724354365499</v>
      </c>
      <c r="BL16" s="11">
        <f>2299416.44944477/(10^3)</f>
        <v>2299.41644944477</v>
      </c>
      <c r="BM16" s="11">
        <v>2374.7723635156485</v>
      </c>
      <c r="BN16" s="11">
        <f>2439538.15142151/(10^3)</f>
        <v>2439.5381514215101</v>
      </c>
      <c r="BO16" s="11">
        <f>2338354.57448961/(10^3)</f>
        <v>2338.3545744896096</v>
      </c>
      <c r="BP16" s="11">
        <f>2303720.37246019/(10^3)</f>
        <v>2303.72037246019</v>
      </c>
      <c r="BQ16" s="11">
        <f>2291109.80390899/(10^3)</f>
        <v>2291.1098039089902</v>
      </c>
      <c r="BR16" s="11">
        <f>2394746.42876697/(10^3)</f>
        <v>2394.74642876697</v>
      </c>
      <c r="BS16" s="11">
        <v>2362.0653366711072</v>
      </c>
      <c r="BT16" s="11">
        <f>2434713.71613345/(10^3)</f>
        <v>2434.7137161334504</v>
      </c>
      <c r="BU16" s="11">
        <f>2432602.98105257/(10^3)</f>
        <v>2432.6029810525702</v>
      </c>
      <c r="BV16" s="11">
        <f>2476643.15990694/(10^3)</f>
        <v>2476.6431599069401</v>
      </c>
      <c r="BW16" s="11">
        <f>2587856.20623318/(10^3)</f>
        <v>2587.8562062331803</v>
      </c>
      <c r="BX16" s="11">
        <f>2618608.01106354/(10^3)</f>
        <v>2618.6080110635398</v>
      </c>
      <c r="BY16" s="11">
        <v>2674.5310589686546</v>
      </c>
      <c r="BZ16" s="11">
        <f>2795241.60385568/(10^3)</f>
        <v>2795.2416038556803</v>
      </c>
      <c r="CA16" s="11">
        <f>2578923.97893469/(10^3)</f>
        <v>2578.9239789346898</v>
      </c>
      <c r="CB16" s="11">
        <f>2517593.28190603/(10^3)</f>
        <v>2517.5932819060299</v>
      </c>
      <c r="CC16" s="12"/>
      <c r="DD16" s="11"/>
      <c r="DE16" s="11"/>
      <c r="DF16" s="11"/>
    </row>
    <row r="17" spans="4:110" x14ac:dyDescent="0.25">
      <c r="D17" s="10" t="s">
        <v>92</v>
      </c>
      <c r="E17" s="10" t="s">
        <v>83</v>
      </c>
      <c r="F17" s="10" t="s">
        <v>150</v>
      </c>
      <c r="G17" s="10"/>
      <c r="H17" s="67" t="str">
        <f t="shared" si="2"/>
        <v xml:space="preserve">Charlotte </v>
      </c>
      <c r="I17" s="11">
        <f>1147753/(10^3)</f>
        <v>1147.7529999999999</v>
      </c>
      <c r="J17" s="11">
        <f>1202895.26322354/(10^3)</f>
        <v>1202.89526322354</v>
      </c>
      <c r="K17" s="11">
        <v>1187.3210170226741</v>
      </c>
      <c r="L17" s="11">
        <f>1239848.65593774/(10^3)</f>
        <v>1239.8486559377402</v>
      </c>
      <c r="M17" s="11">
        <f>1238930.6484937/(10^3)</f>
        <v>1238.9306484936999</v>
      </c>
      <c r="N17" s="11">
        <f>1335552.3843925/(10^3)</f>
        <v>1335.5523843925</v>
      </c>
      <c r="O17" s="11">
        <f>1368458.19440051/(10^3)</f>
        <v>1368.4581944005101</v>
      </c>
      <c r="P17" s="11">
        <f>1394705.08004615/(10^3)</f>
        <v>1394.70508004615</v>
      </c>
      <c r="Q17" s="11">
        <v>1440.1545948112075</v>
      </c>
      <c r="R17" s="11">
        <f>1434639.65347605/(10^3)</f>
        <v>1434.6396534760499</v>
      </c>
      <c r="S17" s="11">
        <f>1421663.28085975/(10^3)</f>
        <v>1421.6632808597501</v>
      </c>
      <c r="T17" s="11">
        <f>1357884.99351232/(10^3)</f>
        <v>1357.8849935123201</v>
      </c>
      <c r="U17" s="11">
        <f>1334497.32464353/(10^3)</f>
        <v>1334.49732464353</v>
      </c>
      <c r="V17" s="11">
        <f>1322180.03617297/(10^3)</f>
        <v>1322.1800361729699</v>
      </c>
      <c r="W17" s="11">
        <v>1333.2801999074936</v>
      </c>
      <c r="X17" s="11">
        <f>1322746.35183156/(10^3)</f>
        <v>1322.7463518315601</v>
      </c>
      <c r="Y17" s="11">
        <f>1388270.99794727/(10^3)</f>
        <v>1388.27099794727</v>
      </c>
      <c r="Z17" s="11">
        <f>1466681.06835576/(10^3)</f>
        <v>1466.6810683557601</v>
      </c>
      <c r="AA17" s="11">
        <f>1526571.00713036/(10^3)</f>
        <v>1526.5710071303599</v>
      </c>
      <c r="AB17" s="11">
        <f>1539299.43634307/(10^3)</f>
        <v>1539.2994363430698</v>
      </c>
      <c r="AC17" s="11">
        <v>1599.1763258545932</v>
      </c>
      <c r="AD17" s="11">
        <f>1672852.32189522/(10^3)</f>
        <v>1672.85232189522</v>
      </c>
      <c r="AE17" s="11">
        <f>1719154.24273481/(10^3)</f>
        <v>1719.1542427348102</v>
      </c>
      <c r="AF17" s="11">
        <f>1791181.65966893/(10^3)</f>
        <v>1791.18165966893</v>
      </c>
      <c r="AG17" s="11">
        <f>1871910.09077418/(10^3)</f>
        <v>1871.9100907741799</v>
      </c>
      <c r="AH17" s="11">
        <f>1918908.3029192/(10^3)</f>
        <v>1918.9083029192</v>
      </c>
      <c r="AI17" s="11">
        <v>1984.549920625162</v>
      </c>
      <c r="AJ17" s="11">
        <f>2043279.99113263/(10^3)</f>
        <v>2043.2799911326301</v>
      </c>
      <c r="AK17" s="11">
        <f>2091893.56817743/(10^3)</f>
        <v>2091.8935681774301</v>
      </c>
      <c r="AL17" s="11">
        <f>2149562.442771/(10^3)</f>
        <v>2149.562442771</v>
      </c>
      <c r="AM17" s="11">
        <f>2202125.72490585/(10^3)</f>
        <v>2202.1257249058499</v>
      </c>
      <c r="AN17" s="11">
        <f>2285655.26013354/(10^3)</f>
        <v>2285.6552601335397</v>
      </c>
      <c r="AO17" s="11">
        <v>2371.1878993874961</v>
      </c>
      <c r="AP17" s="11">
        <f>2308766.23062741/(10^3)</f>
        <v>2308.7662306274101</v>
      </c>
      <c r="AQ17" s="11">
        <f>2246067.06045077/(10^3)</f>
        <v>2246.06706045077</v>
      </c>
      <c r="AR17" s="11">
        <f>2194864.26297882/(10^3)</f>
        <v>2194.8642629788201</v>
      </c>
      <c r="AS17" s="11">
        <f>2160501.01412177/(10^3)</f>
        <v>2160.5010141217699</v>
      </c>
      <c r="AT17" s="11">
        <f>2106976.02200596/(10^3)</f>
        <v>2106.9760220059597</v>
      </c>
      <c r="AU17" s="11">
        <v>2079.6261535269582</v>
      </c>
      <c r="AV17" s="11">
        <f>2031031.2734737/(10^3)</f>
        <v>2031.0312734737001</v>
      </c>
      <c r="AW17" s="11">
        <f>2021184.68387151/(10^3)</f>
        <v>2021.1846838715101</v>
      </c>
      <c r="AX17" s="11">
        <f>1993059.3494641/(10^3)</f>
        <v>1993.0593494641</v>
      </c>
      <c r="AY17" s="11">
        <f>1936711.84590864/(10^3)</f>
        <v>1936.71184590864</v>
      </c>
      <c r="AZ17" s="11">
        <f>1898175.43290096/(10^3)</f>
        <v>1898.17543290096</v>
      </c>
      <c r="BA17" s="11">
        <v>1872.9981434733509</v>
      </c>
      <c r="BB17" s="11">
        <f>1865950.95721888/(10^3)</f>
        <v>1865.9509572188801</v>
      </c>
      <c r="BC17" s="11">
        <f>1846393.90689228/(10^3)</f>
        <v>1846.39390689228</v>
      </c>
      <c r="BD17" s="11">
        <f>1842407.03708231/(10^3)</f>
        <v>1842.4070370823101</v>
      </c>
      <c r="BE17" s="11">
        <f>1793807.66766634/(10^3)</f>
        <v>1793.80766766634</v>
      </c>
      <c r="BF17" s="11">
        <f>1806045.54974209/(10^3)</f>
        <v>1806.0455497420901</v>
      </c>
      <c r="BG17" s="11">
        <v>1778.9818962882455</v>
      </c>
      <c r="BH17" s="11">
        <f>1854010.65434561/(10^3)</f>
        <v>1854.01065434561</v>
      </c>
      <c r="BI17" s="11">
        <f>1929960.59900505/(10^3)</f>
        <v>1929.96059900505</v>
      </c>
      <c r="BJ17" s="11">
        <f>2046611.49667862/(10^3)</f>
        <v>2046.6114966786201</v>
      </c>
      <c r="BK17" s="11">
        <f>2085577.6302389/(10^3)</f>
        <v>2085.5776302388999</v>
      </c>
      <c r="BL17" s="11">
        <f>2134223.54082196/(10^3)</f>
        <v>2134.2235408219603</v>
      </c>
      <c r="BM17" s="11">
        <v>2228.0388417932691</v>
      </c>
      <c r="BN17" s="11">
        <f>2326946.15156197/(10^3)</f>
        <v>2326.9461515619701</v>
      </c>
      <c r="BO17" s="11">
        <f>2103798.92635272/(10^3)</f>
        <v>2103.7989263527197</v>
      </c>
      <c r="BP17" s="11">
        <f>2071064.23352131/(10^3)</f>
        <v>2071.0642335213097</v>
      </c>
      <c r="BQ17" s="11">
        <f>2030048.3225436/(10^3)</f>
        <v>2030.0483225436001</v>
      </c>
      <c r="BR17" s="11">
        <f>2124236.91756013/(10^3)</f>
        <v>2124.2369175601298</v>
      </c>
      <c r="BS17" s="11">
        <v>2132.3426937359427</v>
      </c>
      <c r="BT17" s="11">
        <f>2166111.84670474/(10^3)</f>
        <v>2166.1118467047399</v>
      </c>
      <c r="BU17" s="11">
        <f>2118496.02102026/(10^3)</f>
        <v>2118.4960210202603</v>
      </c>
      <c r="BV17" s="11">
        <f>2233186.18046544/(10^3)</f>
        <v>2233.18618046544</v>
      </c>
      <c r="BW17" s="11">
        <f>2244317.0000452/(10^3)</f>
        <v>2244.3170000452001</v>
      </c>
      <c r="BX17" s="11">
        <f>2340310.482981/(10^3)</f>
        <v>2340.310482981</v>
      </c>
      <c r="BY17" s="11">
        <v>2428.8588189877764</v>
      </c>
      <c r="BZ17" s="11">
        <f>2543468.16316351/(10^3)</f>
        <v>2543.4681631635103</v>
      </c>
      <c r="CA17" s="11">
        <f>2417451.70955401/(10^3)</f>
        <v>2417.45170955401</v>
      </c>
      <c r="CB17" s="11">
        <f>2310169.44155526/(10^3)</f>
        <v>2310.1694415552602</v>
      </c>
      <c r="CC17" s="12"/>
      <c r="DD17" s="11"/>
      <c r="DE17" s="11"/>
      <c r="DF17" s="11"/>
    </row>
    <row r="18" spans="4:110" x14ac:dyDescent="0.25">
      <c r="D18" s="10" t="s">
        <v>94</v>
      </c>
      <c r="E18" s="10" t="s">
        <v>86</v>
      </c>
      <c r="F18" s="10" t="s">
        <v>180</v>
      </c>
      <c r="G18" s="10"/>
      <c r="H18" s="67" t="str">
        <f t="shared" si="2"/>
        <v xml:space="preserve">Concord </v>
      </c>
      <c r="I18" s="11">
        <f>1384170/(10^3)</f>
        <v>1384.17</v>
      </c>
      <c r="J18" s="11">
        <f>1377580.04394489/(10^3)</f>
        <v>1377.5800439448899</v>
      </c>
      <c r="K18" s="11">
        <v>1426.0978700972014</v>
      </c>
      <c r="L18" s="11">
        <f>1417250.76300979/(10^3)</f>
        <v>1417.25076300979</v>
      </c>
      <c r="M18" s="11">
        <f>1440210.24143201/(10^3)</f>
        <v>1440.21024143201</v>
      </c>
      <c r="N18" s="11">
        <f>1578858.659239/(10^3)</f>
        <v>1578.858659239</v>
      </c>
      <c r="O18" s="11">
        <f>1644023.97915496/(10^3)</f>
        <v>1644.02397915496</v>
      </c>
      <c r="P18" s="11">
        <f>1647044.79137035/(10^3)</f>
        <v>1647.0447913703499</v>
      </c>
      <c r="Q18" s="11">
        <v>1725.660605604078</v>
      </c>
      <c r="R18" s="11">
        <f>1724013.61423349/(10^3)</f>
        <v>1724.01361423349</v>
      </c>
      <c r="S18" s="11">
        <f>1646659.44131014/(10^3)</f>
        <v>1646.65944131014</v>
      </c>
      <c r="T18" s="11">
        <f>1588293.3152426/(10^3)</f>
        <v>1588.2933152425999</v>
      </c>
      <c r="U18" s="11">
        <f>1577290.57018244/(10^3)</f>
        <v>1577.2905701824402</v>
      </c>
      <c r="V18" s="11">
        <f>1655255.53245151/(10^3)</f>
        <v>1655.2555324515099</v>
      </c>
      <c r="W18" s="11">
        <v>1713.9038366428872</v>
      </c>
      <c r="X18" s="11">
        <f>1665551.86056794/(10^3)</f>
        <v>1665.5518605679399</v>
      </c>
      <c r="Y18" s="11">
        <f>1662988.59861825/(10^3)</f>
        <v>1662.9885986182501</v>
      </c>
      <c r="Z18" s="11">
        <f>1773946.0199902/(10^3)</f>
        <v>1773.9460199902001</v>
      </c>
      <c r="AA18" s="11">
        <f>1820382.24611496/(10^3)</f>
        <v>1820.38224611496</v>
      </c>
      <c r="AB18" s="11">
        <f>1841375.19803764/(10^3)</f>
        <v>1841.3751980376398</v>
      </c>
      <c r="AC18" s="11">
        <v>1867.3762049021059</v>
      </c>
      <c r="AD18" s="11">
        <f>1893542.91451737/(10^3)</f>
        <v>1893.54291451737</v>
      </c>
      <c r="AE18" s="11">
        <f>1938580.53480038/(10^3)</f>
        <v>1938.5805348003801</v>
      </c>
      <c r="AF18" s="11">
        <f>1958506.49955173/(10^3)</f>
        <v>1958.50649955173</v>
      </c>
      <c r="AG18" s="11">
        <f>1978312.80250502/(10^3)</f>
        <v>1978.31280250502</v>
      </c>
      <c r="AH18" s="11">
        <f>2057423.62119315/(10^3)</f>
        <v>2057.4236211931502</v>
      </c>
      <c r="AI18" s="11">
        <v>2108.9455570093146</v>
      </c>
      <c r="AJ18" s="11">
        <f>2178768.4817877/(10^3)</f>
        <v>2178.7684817877002</v>
      </c>
      <c r="AK18" s="11">
        <f>2249240.54274168/(10^3)</f>
        <v>2249.2405427416802</v>
      </c>
      <c r="AL18" s="11">
        <f>2308121.30047196/(10^3)</f>
        <v>2308.1213004719602</v>
      </c>
      <c r="AM18" s="11">
        <f>2355450.07933245/(10^3)</f>
        <v>2355.4500793324501</v>
      </c>
      <c r="AN18" s="11">
        <f>2363901.83592736/(10^3)</f>
        <v>2363.90183592736</v>
      </c>
      <c r="AO18" s="11">
        <v>2443.6727416936633</v>
      </c>
      <c r="AP18" s="11">
        <f>2495458.50974013/(10^3)</f>
        <v>2495.45850974013</v>
      </c>
      <c r="AQ18" s="11">
        <f>2311317.89570666/(10^3)</f>
        <v>2311.3178957066602</v>
      </c>
      <c r="AR18" s="11">
        <f>2302446.88321051/(10^3)</f>
        <v>2302.4468832105099</v>
      </c>
      <c r="AS18" s="11">
        <f>2290918.07602173/(10^3)</f>
        <v>2290.91807602173</v>
      </c>
      <c r="AT18" s="11">
        <f>2244149.52276315/(10^3)</f>
        <v>2244.1495227631499</v>
      </c>
      <c r="AU18" s="11">
        <v>2217.9621995585312</v>
      </c>
      <c r="AV18" s="11">
        <f>2168640.19083994/(10^3)</f>
        <v>2168.6401908399403</v>
      </c>
      <c r="AW18" s="11">
        <f>2144138.70985603/(10^3)</f>
        <v>2144.1387098560299</v>
      </c>
      <c r="AX18" s="11">
        <f>2113178.22161282/(10^3)</f>
        <v>2113.1782216128199</v>
      </c>
      <c r="AY18" s="11">
        <f>2091778.1844342/(10^3)</f>
        <v>2091.7781844341998</v>
      </c>
      <c r="AZ18" s="11">
        <f>2084172.12277159/(10^3)</f>
        <v>2084.1721227715902</v>
      </c>
      <c r="BA18" s="11">
        <v>2052.8229303765147</v>
      </c>
      <c r="BB18" s="11">
        <f>2013141.61044916/(10^3)</f>
        <v>2013.14161044916</v>
      </c>
      <c r="BC18" s="11">
        <f>2006800.9269453/(10^3)</f>
        <v>2006.8009269453</v>
      </c>
      <c r="BD18" s="11">
        <f>1950907.2922094/(10^3)</f>
        <v>1950.9072922094001</v>
      </c>
      <c r="BE18" s="11">
        <f>1923968.87876207/(10^3)</f>
        <v>1923.9688787620701</v>
      </c>
      <c r="BF18" s="11">
        <f>2005375.12151563/(10^3)</f>
        <v>2005.3751215156301</v>
      </c>
      <c r="BG18" s="11">
        <v>2083.9102986810781</v>
      </c>
      <c r="BH18" s="11">
        <f>2173248.0853256/(10^3)</f>
        <v>2173.2480853256002</v>
      </c>
      <c r="BI18" s="11">
        <f>2120282.08319566/(10^3)</f>
        <v>2120.2820831956597</v>
      </c>
      <c r="BJ18" s="11">
        <f>2148739.47085362/(10^3)</f>
        <v>2148.7394708536203</v>
      </c>
      <c r="BK18" s="11">
        <f>2235296.60220179/(10^3)</f>
        <v>2235.2966022017899</v>
      </c>
      <c r="BL18" s="11">
        <f>2303782.83052645/(10^3)</f>
        <v>2303.7828305264502</v>
      </c>
      <c r="BM18" s="11">
        <v>2416.3085750837126</v>
      </c>
      <c r="BN18" s="11">
        <f>2416785.23049588/(10^3)</f>
        <v>2416.7852304958801</v>
      </c>
      <c r="BO18" s="11">
        <f>2324015.8246815/(10^3)</f>
        <v>2324.0158246814999</v>
      </c>
      <c r="BP18" s="11">
        <f>2188986.77381374/(10^3)</f>
        <v>2188.98677381374</v>
      </c>
      <c r="BQ18" s="11">
        <f>1993527.72608583/(10^3)</f>
        <v>1993.52772608583</v>
      </c>
      <c r="BR18" s="11">
        <f>1938817.57899635/(10^3)</f>
        <v>1938.81757899635</v>
      </c>
      <c r="BS18" s="11">
        <v>1753.6871665305077</v>
      </c>
      <c r="BT18" s="11">
        <f>1724949.27388645/(10^3)</f>
        <v>1724.9492738864501</v>
      </c>
      <c r="BU18" s="11">
        <f>1747283.94094247/(10^3)</f>
        <v>1747.2839409424701</v>
      </c>
      <c r="BV18" s="11">
        <f>1911412.65928634/(10^3)</f>
        <v>1911.4126592863399</v>
      </c>
      <c r="BW18" s="11">
        <f>1937965.95371965/(10^3)</f>
        <v>1937.9659537196499</v>
      </c>
      <c r="BX18" s="11">
        <f>1984149.96692854/(10^3)</f>
        <v>1984.1499669285399</v>
      </c>
      <c r="BY18" s="11">
        <v>2027.4563488854903</v>
      </c>
      <c r="BZ18" s="11">
        <f>2078911.61824109/(10^3)</f>
        <v>2078.9116182410903</v>
      </c>
      <c r="CA18" s="11">
        <f>1960718.08513907/(10^3)</f>
        <v>1960.7180851390699</v>
      </c>
      <c r="CB18" s="11">
        <f>1958356.13239316/(10^3)</f>
        <v>1958.3561323931599</v>
      </c>
      <c r="CC18" s="12"/>
      <c r="DD18" s="11"/>
      <c r="DE18" s="11"/>
      <c r="DF18" s="11"/>
    </row>
    <row r="19" spans="4:110" x14ac:dyDescent="0.25">
      <c r="D19" s="10" t="s">
        <v>96</v>
      </c>
      <c r="E19" s="10" t="s">
        <v>86</v>
      </c>
      <c r="F19" s="10" t="s">
        <v>180</v>
      </c>
      <c r="G19" s="10"/>
      <c r="H19" s="67" t="str">
        <f t="shared" si="2"/>
        <v xml:space="preserve">Manchester </v>
      </c>
      <c r="I19" s="11">
        <f>1562122/(10^3)</f>
        <v>1562.1220000000001</v>
      </c>
      <c r="J19" s="11">
        <f>1607945.2910819/(10^3)</f>
        <v>1607.9452910819</v>
      </c>
      <c r="K19" s="11">
        <v>1682.1762089319698</v>
      </c>
      <c r="L19" s="11">
        <f>1731165.62398145/(10^3)</f>
        <v>1731.1656239814499</v>
      </c>
      <c r="M19" s="11">
        <f>1753282.75847/(10^3)</f>
        <v>1753.2827584700001</v>
      </c>
      <c r="N19" s="11">
        <f>1815451.179335/(10^3)</f>
        <v>1815.451179335</v>
      </c>
      <c r="O19" s="11">
        <f>1854952.87572804/(10^3)</f>
        <v>1854.95287572804</v>
      </c>
      <c r="P19" s="11">
        <f>1880047.66155964/(10^3)</f>
        <v>1880.0476615596399</v>
      </c>
      <c r="Q19" s="11">
        <v>1900.1743296738073</v>
      </c>
      <c r="R19" s="11">
        <f>1870371.96395954/(10^3)</f>
        <v>1870.3719639595399</v>
      </c>
      <c r="S19" s="11">
        <f>1822320.28345477/(10^3)</f>
        <v>1822.3202834547699</v>
      </c>
      <c r="T19" s="11">
        <f>1821124.26940479/(10^3)</f>
        <v>1821.1242694047899</v>
      </c>
      <c r="U19" s="11">
        <f>1779389.7492586/(10^3)</f>
        <v>1779.3897492586</v>
      </c>
      <c r="V19" s="11">
        <f>1800789.94982748/(10^3)</f>
        <v>1800.7899498274799</v>
      </c>
      <c r="W19" s="11">
        <v>1783.050482237298</v>
      </c>
      <c r="X19" s="11">
        <f>1817245.72773962/(10^3)</f>
        <v>1817.24572773962</v>
      </c>
      <c r="Y19" s="11">
        <f>1812825.82375059/(10^3)</f>
        <v>1812.82582375059</v>
      </c>
      <c r="Z19" s="11">
        <f>1863544.84115454/(10^3)</f>
        <v>1863.5448411545399</v>
      </c>
      <c r="AA19" s="11">
        <f>1876525.06430684/(10^3)</f>
        <v>1876.52506430684</v>
      </c>
      <c r="AB19" s="11">
        <f>1910623.14737383/(10^3)</f>
        <v>1910.6231473738301</v>
      </c>
      <c r="AC19" s="11">
        <v>1968.1926337111697</v>
      </c>
      <c r="AD19" s="11">
        <f>2001858.30340191/(10^3)</f>
        <v>2001.85830340191</v>
      </c>
      <c r="AE19" s="11">
        <f>2069140.2673359/(10^3)</f>
        <v>2069.1402673359003</v>
      </c>
      <c r="AF19" s="11">
        <f>2162722.57801305/(10^3)</f>
        <v>2162.7225780130498</v>
      </c>
      <c r="AG19" s="11">
        <f>2190319.10135204/(10^3)</f>
        <v>2190.31910135204</v>
      </c>
      <c r="AH19" s="11">
        <f>2228997.44646241/(10^3)</f>
        <v>2228.9974464624102</v>
      </c>
      <c r="AI19" s="11">
        <v>2280.4605481805211</v>
      </c>
      <c r="AJ19" s="11">
        <f>2386980.40664208/(10^3)</f>
        <v>2386.9804066420797</v>
      </c>
      <c r="AK19" s="11">
        <f>2486056.08694216/(10^3)</f>
        <v>2486.0560869421602</v>
      </c>
      <c r="AL19" s="11">
        <f>2492319.99579186/(10^3)</f>
        <v>2492.31999579186</v>
      </c>
      <c r="AM19" s="11">
        <f>2510638.05329628/(10^3)</f>
        <v>2510.6380532962803</v>
      </c>
      <c r="AN19" s="11">
        <f>2540935.38713973/(10^3)</f>
        <v>2540.9353871397302</v>
      </c>
      <c r="AO19" s="11">
        <v>2565.9663593650753</v>
      </c>
      <c r="AP19" s="11">
        <f>2541850.78331556/(10^3)</f>
        <v>2541.85078331556</v>
      </c>
      <c r="AQ19" s="11">
        <f>2423322.67832736/(10^3)</f>
        <v>2423.3226783273603</v>
      </c>
      <c r="AR19" s="11">
        <f>2403396.9397876/(10^3)</f>
        <v>2403.3969397876003</v>
      </c>
      <c r="AS19" s="11">
        <f>2401816.41756817/(10^3)</f>
        <v>2401.81641756817</v>
      </c>
      <c r="AT19" s="11">
        <f>2364333.84078745/(10^3)</f>
        <v>2364.3338407874498</v>
      </c>
      <c r="AU19" s="11">
        <v>2344.3632506394401</v>
      </c>
      <c r="AV19" s="11">
        <f>2283873.58655022/(10^3)</f>
        <v>2283.8735865502199</v>
      </c>
      <c r="AW19" s="11">
        <f>2281788.95796919/(10^3)</f>
        <v>2281.7889579691901</v>
      </c>
      <c r="AX19" s="11">
        <f>2236037.51159304/(10^3)</f>
        <v>2236.0375115930401</v>
      </c>
      <c r="AY19" s="11">
        <f>2230066.79574329/(10^3)</f>
        <v>2230.0667957432897</v>
      </c>
      <c r="AZ19" s="11">
        <f>2176388.81348325/(10^3)</f>
        <v>2176.38881348325</v>
      </c>
      <c r="BA19" s="11">
        <v>2168.449709284926</v>
      </c>
      <c r="BB19" s="11">
        <f>2134709.96870623/(10^3)</f>
        <v>2134.70996870623</v>
      </c>
      <c r="BC19" s="11">
        <f>2132788.69996899/(10^3)</f>
        <v>2132.7886999689899</v>
      </c>
      <c r="BD19" s="11">
        <f>2114547.07325068/(10^3)</f>
        <v>2114.5470732506801</v>
      </c>
      <c r="BE19" s="11">
        <f>2087382.03490749/(10^3)</f>
        <v>2087.3820349074899</v>
      </c>
      <c r="BF19" s="11">
        <f>2145980.93576033/(10^3)</f>
        <v>2145.9809357603299</v>
      </c>
      <c r="BG19" s="11">
        <v>2153.1496919544848</v>
      </c>
      <c r="BH19" s="11">
        <f>2234995.7416169/(10^3)</f>
        <v>2234.9957416169</v>
      </c>
      <c r="BI19" s="11">
        <f>2311120.53704204/(10^3)</f>
        <v>2311.1205370420398</v>
      </c>
      <c r="BJ19" s="11">
        <f>2496215.39693227/(10^3)</f>
        <v>2496.2153969322699</v>
      </c>
      <c r="BK19" s="11">
        <f>2546706.49750844/(10^3)</f>
        <v>2546.70649750844</v>
      </c>
      <c r="BL19" s="11">
        <f>2607948.33475099/(10^3)</f>
        <v>2607.9483347509899</v>
      </c>
      <c r="BM19" s="11">
        <v>2706.8108519712305</v>
      </c>
      <c r="BN19" s="11">
        <f>2744286.82470699/(10^3)</f>
        <v>2744.2868247069896</v>
      </c>
      <c r="BO19" s="11">
        <f>2720349.49172697/(10^3)</f>
        <v>2720.34949172697</v>
      </c>
      <c r="BP19" s="11">
        <f>2638555.59046309/(10^3)</f>
        <v>2638.5555904630901</v>
      </c>
      <c r="BQ19" s="11">
        <f>2509606.22098688/(10^3)</f>
        <v>2509.6062209868801</v>
      </c>
      <c r="BR19" s="11">
        <f>2307086.06564389/(10^3)</f>
        <v>2307.0860656438899</v>
      </c>
      <c r="BS19" s="11">
        <v>2215.1069934604593</v>
      </c>
      <c r="BT19" s="11">
        <f>2097715.56122931/(10^3)</f>
        <v>2097.71556122931</v>
      </c>
      <c r="BU19" s="11">
        <f>1980836.68087986/(10^3)</f>
        <v>1980.8366808798598</v>
      </c>
      <c r="BV19" s="11">
        <f>1802284.26459285/(10^3)</f>
        <v>1802.2842645928501</v>
      </c>
      <c r="BW19" s="11">
        <f>1709233.93913478/(10^3)</f>
        <v>1709.23393913478</v>
      </c>
      <c r="BX19" s="11">
        <f>1776809.85328347/(10^3)</f>
        <v>1776.8098532834699</v>
      </c>
      <c r="BY19" s="11">
        <v>1838.4175863343105</v>
      </c>
      <c r="BZ19" s="11">
        <f>1788130.03169366/(10^3)</f>
        <v>1788.1300316936599</v>
      </c>
      <c r="CA19" s="11">
        <f>1663504.52303763/(10^3)</f>
        <v>1663.50452303763</v>
      </c>
      <c r="CB19" s="11">
        <f>1654075.80541996/(10^3)</f>
        <v>1654.07580541996</v>
      </c>
      <c r="CC19" s="12"/>
      <c r="DD19" s="11"/>
      <c r="DE19" s="11"/>
      <c r="DF19" s="11"/>
    </row>
    <row r="20" spans="4:110" x14ac:dyDescent="0.25">
      <c r="D20" s="10" t="s">
        <v>97</v>
      </c>
      <c r="E20" s="10" t="s">
        <v>88</v>
      </c>
      <c r="F20" s="10" t="s">
        <v>180</v>
      </c>
      <c r="G20" s="10"/>
      <c r="H20" s="67" t="str">
        <f t="shared" si="2"/>
        <v xml:space="preserve">Trenton </v>
      </c>
      <c r="I20" s="11">
        <f>608453/(10^3)</f>
        <v>608.45299999999997</v>
      </c>
      <c r="J20" s="11">
        <f>618114.959838961/(10^3)</f>
        <v>618.114959838961</v>
      </c>
      <c r="K20" s="11">
        <v>648.56172963311997</v>
      </c>
      <c r="L20" s="11">
        <f>664410.511793585/(10^3)</f>
        <v>664.41051179358499</v>
      </c>
      <c r="M20" s="11">
        <f>649218.740893584/(10^3)</f>
        <v>649.21874089358403</v>
      </c>
      <c r="N20" s="11">
        <f>699838.941588395/(10^3)</f>
        <v>699.83894158839507</v>
      </c>
      <c r="O20" s="11">
        <f>702606.822124163/(10^3)</f>
        <v>702.60682212416305</v>
      </c>
      <c r="P20" s="11">
        <f>721461.309974614/(10^3)</f>
        <v>721.46130997461398</v>
      </c>
      <c r="Q20" s="11">
        <v>754.61236724910771</v>
      </c>
      <c r="R20" s="11">
        <f>776191.73162226/(10^3)</f>
        <v>776.19173162225991</v>
      </c>
      <c r="S20" s="11">
        <f>761812.255704464/(10^3)</f>
        <v>761.81225570446406</v>
      </c>
      <c r="T20" s="11">
        <f>740522.995073394/(10^3)</f>
        <v>740.52299507339399</v>
      </c>
      <c r="U20" s="11">
        <f>732185.70413964/(10^3)</f>
        <v>732.18570413963994</v>
      </c>
      <c r="V20" s="11">
        <f>718756.732668053/(10^3)</f>
        <v>718.75673266805302</v>
      </c>
      <c r="W20" s="11">
        <v>709.25480409648469</v>
      </c>
      <c r="X20" s="11">
        <f>743910.157917143/(10^3)</f>
        <v>743.91015791714301</v>
      </c>
      <c r="Y20" s="11">
        <f>766749.228233103/(10^3)</f>
        <v>766.74922823310294</v>
      </c>
      <c r="Z20" s="11">
        <f>779410.390528156/(10^3)</f>
        <v>779.41039052815597</v>
      </c>
      <c r="AA20" s="11">
        <f>779815.867628958/(10^3)</f>
        <v>779.8158676289579</v>
      </c>
      <c r="AB20" s="11">
        <f>809592.527897843/(10^3)</f>
        <v>809.59252789784307</v>
      </c>
      <c r="AC20" s="11">
        <v>828.81860512554204</v>
      </c>
      <c r="AD20" s="11">
        <f>835972.204171642/(10^3)</f>
        <v>835.97220417164192</v>
      </c>
      <c r="AE20" s="11">
        <f>859405.718521/(10^3)</f>
        <v>859.40571852100004</v>
      </c>
      <c r="AF20" s="11">
        <f>875000.916815824/(10^3)</f>
        <v>875.00091681582398</v>
      </c>
      <c r="AG20" s="11">
        <f>894672.359992506/(10^3)</f>
        <v>894.67235999250602</v>
      </c>
      <c r="AH20" s="11">
        <f>938375.687818257/(10^3)</f>
        <v>938.37568781825701</v>
      </c>
      <c r="AI20" s="11">
        <v>983.16870186281744</v>
      </c>
      <c r="AJ20" s="11">
        <f>995246.715716317/(10^3)</f>
        <v>995.246715716317</v>
      </c>
      <c r="AK20" s="11">
        <f>1043919.23278808/(10^3)</f>
        <v>1043.9192327880801</v>
      </c>
      <c r="AL20" s="11">
        <f>1080509.64058206/(10^3)</f>
        <v>1080.50964058206</v>
      </c>
      <c r="AM20" s="11">
        <f>1118916.56677912/(10^3)</f>
        <v>1118.9165667791199</v>
      </c>
      <c r="AN20" s="11">
        <f>1170707.55704472/(10^3)</f>
        <v>1170.70755704472</v>
      </c>
      <c r="AO20" s="11">
        <v>1216.5804061235492</v>
      </c>
      <c r="AP20" s="11">
        <f>1266009.31854834/(10^3)</f>
        <v>1266.0093185483399</v>
      </c>
      <c r="AQ20" s="11">
        <f>1217238.19220197/(10^3)</f>
        <v>1217.2381922019699</v>
      </c>
      <c r="AR20" s="11">
        <f>1179216.40610803/(10^3)</f>
        <v>1179.2164061080298</v>
      </c>
      <c r="AS20" s="11">
        <f>1144203.28170793/(10^3)</f>
        <v>1144.2032817079298</v>
      </c>
      <c r="AT20" s="11">
        <f>1141695.05495345/(10^3)</f>
        <v>1141.6950549534502</v>
      </c>
      <c r="AU20" s="11">
        <v>1112.0623401053522</v>
      </c>
      <c r="AV20" s="11">
        <f>1101987.08441076/(10^3)</f>
        <v>1101.9870844107602</v>
      </c>
      <c r="AW20" s="11">
        <f>1084318.34523402/(10^3)</f>
        <v>1084.3183452340199</v>
      </c>
      <c r="AX20" s="11">
        <f>1077417.16533706/(10^3)</f>
        <v>1077.4171653370602</v>
      </c>
      <c r="AY20" s="11">
        <f>1052398.03023709/(10^3)</f>
        <v>1052.3980302370901</v>
      </c>
      <c r="AZ20" s="11">
        <f>1045975.45149196/(10^3)</f>
        <v>1045.97545149196</v>
      </c>
      <c r="BA20" s="11">
        <v>1041.9690526664895</v>
      </c>
      <c r="BB20" s="11">
        <f>1032636.79698432/(10^3)</f>
        <v>1032.63679698432</v>
      </c>
      <c r="BC20" s="11">
        <f>1031314.44836092/(10^3)</f>
        <v>1031.3144483609199</v>
      </c>
      <c r="BD20" s="11">
        <f>1028247.76574357/(10^3)</f>
        <v>1028.24776574357</v>
      </c>
      <c r="BE20" s="11">
        <f>1008927.1837322/(10^3)</f>
        <v>1008.9271837322</v>
      </c>
      <c r="BF20" s="11">
        <f>1023073.11631889/(10^3)</f>
        <v>1023.07311631889</v>
      </c>
      <c r="BG20" s="11">
        <v>1070.9439510358754</v>
      </c>
      <c r="BH20" s="11">
        <f>1080687.47356832/(10^3)</f>
        <v>1080.68747356832</v>
      </c>
      <c r="BI20" s="11">
        <f>1118263.39382732/(10^3)</f>
        <v>1118.26339382732</v>
      </c>
      <c r="BJ20" s="11">
        <f>1176697.09121988/(10^3)</f>
        <v>1176.6970912198799</v>
      </c>
      <c r="BK20" s="11">
        <f>1179752.00736231/(10^3)</f>
        <v>1179.75200736231</v>
      </c>
      <c r="BL20" s="11">
        <f>1194000.58373376/(10^3)</f>
        <v>1194.0005837337601</v>
      </c>
      <c r="BM20" s="11">
        <v>1228.400270210971</v>
      </c>
      <c r="BN20" s="11">
        <f>1231147.69349731/(10^3)</f>
        <v>1231.14769349731</v>
      </c>
      <c r="BO20" s="11">
        <f>1173299.58889784/(10^3)</f>
        <v>1173.2995888978398</v>
      </c>
      <c r="BP20" s="11">
        <f>1100145.49945142/(10^3)</f>
        <v>1100.1454994514199</v>
      </c>
      <c r="BQ20" s="11">
        <f>1057768.32338936/(10^3)</f>
        <v>1057.7683233893599</v>
      </c>
      <c r="BR20" s="11">
        <f>1010717.21045356/(10^3)</f>
        <v>1010.71721045356</v>
      </c>
      <c r="BS20" s="11">
        <v>996.89663466587206</v>
      </c>
      <c r="BT20" s="11">
        <f>979384.194868285/(10^3)</f>
        <v>979.38419486828502</v>
      </c>
      <c r="BU20" s="11">
        <f>925806.792256266/(10^3)</f>
        <v>925.80679225626602</v>
      </c>
      <c r="BV20" s="11">
        <f>833379.048020746/(10^3)</f>
        <v>833.37904802074593</v>
      </c>
      <c r="BW20" s="11">
        <f>823516.404393674/(10^3)</f>
        <v>823.51640439367395</v>
      </c>
      <c r="BX20" s="11">
        <f>845692.303293875/(10^3)</f>
        <v>845.69230329387494</v>
      </c>
      <c r="BY20" s="11">
        <v>879.72450331617438</v>
      </c>
      <c r="BZ20" s="11">
        <f>920830.946464737/(10^3)</f>
        <v>920.83094646473694</v>
      </c>
      <c r="CA20" s="11">
        <f>832267.059852642/(10^3)</f>
        <v>832.26705985264198</v>
      </c>
      <c r="CB20" s="11">
        <f>815993.516316982/(10^3)</f>
        <v>815.99351631698198</v>
      </c>
      <c r="CC20" s="12"/>
      <c r="DD20" s="11"/>
      <c r="DE20" s="11"/>
      <c r="DF20" s="11"/>
    </row>
    <row r="21" spans="4:110" x14ac:dyDescent="0.25">
      <c r="D21" s="10" t="s">
        <v>99</v>
      </c>
      <c r="E21" s="10" t="s">
        <v>88</v>
      </c>
      <c r="F21" s="10" t="s">
        <v>180</v>
      </c>
      <c r="G21" s="10"/>
      <c r="H21" s="67" t="str">
        <f t="shared" si="2"/>
        <v xml:space="preserve">Newark </v>
      </c>
      <c r="I21" s="11">
        <f>140069/(10^3)</f>
        <v>140.06899999999999</v>
      </c>
      <c r="J21" s="11">
        <f>144812.979233607/(10^3)</f>
        <v>144.812979233607</v>
      </c>
      <c r="K21" s="11">
        <v>143.09748243716376</v>
      </c>
      <c r="L21" s="11">
        <f>144881.429915268/(10^3)</f>
        <v>144.881429915268</v>
      </c>
      <c r="M21" s="11">
        <f>148059.586754779/(10^3)</f>
        <v>148.05958675477902</v>
      </c>
      <c r="N21" s="11">
        <f>149956.546395344/(10^3)</f>
        <v>149.95654639534399</v>
      </c>
      <c r="O21" s="11">
        <f>155628.761671623/(10^3)</f>
        <v>155.62876167162301</v>
      </c>
      <c r="P21" s="11">
        <f>157852.27492584/(10^3)</f>
        <v>157.85227492583999</v>
      </c>
      <c r="Q21" s="11">
        <v>162.37920716779288</v>
      </c>
      <c r="R21" s="11">
        <f>158807.579671206/(10^3)</f>
        <v>158.80757967120601</v>
      </c>
      <c r="S21" s="11">
        <f>153331.888105427/(10^3)</f>
        <v>153.331888105427</v>
      </c>
      <c r="T21" s="11">
        <f>148845.39881974/(10^3)</f>
        <v>148.84539881973998</v>
      </c>
      <c r="U21" s="11">
        <f>145323.365942201/(10^3)</f>
        <v>145.32336594220101</v>
      </c>
      <c r="V21" s="11">
        <f>145125.505543835/(10^3)</f>
        <v>145.125505543835</v>
      </c>
      <c r="W21" s="11">
        <v>142.74525537093203</v>
      </c>
      <c r="X21" s="11">
        <f>148868.026103978/(10^3)</f>
        <v>148.868026103978</v>
      </c>
      <c r="Y21" s="11">
        <f>151310.003594795/(10^3)</f>
        <v>151.31000359479501</v>
      </c>
      <c r="Z21" s="11">
        <f>157747.759766384/(10^3)</f>
        <v>157.74775976638401</v>
      </c>
      <c r="AA21" s="11">
        <f>161996.731826912/(10^3)</f>
        <v>161.996731826912</v>
      </c>
      <c r="AB21" s="11">
        <f>162774.719379409/(10^3)</f>
        <v>162.77471937940902</v>
      </c>
      <c r="AC21" s="11">
        <v>170.43955328822346</v>
      </c>
      <c r="AD21" s="11">
        <f>175237.654828585/(10^3)</f>
        <v>175.23765482858499</v>
      </c>
      <c r="AE21" s="11">
        <f>179576.265205029/(10^3)</f>
        <v>179.57626520502899</v>
      </c>
      <c r="AF21" s="11">
        <f>182205.706258638/(10^3)</f>
        <v>182.205706258638</v>
      </c>
      <c r="AG21" s="11">
        <f>183215.963189602/(10^3)</f>
        <v>183.21596318960198</v>
      </c>
      <c r="AH21" s="11">
        <f>184480.916884419/(10^3)</f>
        <v>184.480916884419</v>
      </c>
      <c r="AI21" s="11">
        <v>191.75066495498683</v>
      </c>
      <c r="AJ21" s="11">
        <f>193310.133501345/(10^3)</f>
        <v>193.31013350134501</v>
      </c>
      <c r="AK21" s="11">
        <f>202058.881867179/(10^3)</f>
        <v>202.058881867179</v>
      </c>
      <c r="AL21" s="11">
        <f>203562.630565371/(10^3)</f>
        <v>203.56263056537099</v>
      </c>
      <c r="AM21" s="11">
        <f>204278.786805215/(10^3)</f>
        <v>204.27878680521499</v>
      </c>
      <c r="AN21" s="11">
        <f>209647.292715086/(10^3)</f>
        <v>209.647292715086</v>
      </c>
      <c r="AO21" s="11">
        <v>216.10363513773558</v>
      </c>
      <c r="AP21" s="11">
        <f>221713.519016132/(10^3)</f>
        <v>221.71351901613198</v>
      </c>
      <c r="AQ21" s="11">
        <f>217877.34580513/(10^3)</f>
        <v>217.87734580513001</v>
      </c>
      <c r="AR21" s="11">
        <f>211484.795509716/(10^3)</f>
        <v>211.48479550971601</v>
      </c>
      <c r="AS21" s="11">
        <f>210240.566021405/(10^3)</f>
        <v>210.24056602140499</v>
      </c>
      <c r="AT21" s="11">
        <f>202487.330239176/(10^3)</f>
        <v>202.487330239176</v>
      </c>
      <c r="AU21" s="11">
        <v>201.99903468613994</v>
      </c>
      <c r="AV21" s="11">
        <f>194742.006449495/(10^3)</f>
        <v>194.74200644949499</v>
      </c>
      <c r="AW21" s="11">
        <f>188203.43978244/(10^3)</f>
        <v>188.20343978244</v>
      </c>
      <c r="AX21" s="11">
        <f>179953.298719623/(10^3)</f>
        <v>179.95329871962301</v>
      </c>
      <c r="AY21" s="11">
        <f>173855.088828839/(10^3)</f>
        <v>173.855088828839</v>
      </c>
      <c r="AZ21" s="11">
        <f>167974.261635505/(10^3)</f>
        <v>167.974261635505</v>
      </c>
      <c r="BA21" s="11">
        <v>166.19782697973176</v>
      </c>
      <c r="BB21" s="11">
        <f>162295.976077878/(10^3)</f>
        <v>162.29597607787801</v>
      </c>
      <c r="BC21" s="11">
        <f>157768.145350401/(10^3)</f>
        <v>157.768145350401</v>
      </c>
      <c r="BD21" s="11">
        <f>151330.231216227/(10^3)</f>
        <v>151.33023121622699</v>
      </c>
      <c r="BE21" s="11">
        <f>146299.611038521/(10^3)</f>
        <v>146.29961103852099</v>
      </c>
      <c r="BF21" s="11">
        <f>152082.246800605/(10^3)</f>
        <v>152.08224680060499</v>
      </c>
      <c r="BG21" s="11">
        <v>147.93984434588265</v>
      </c>
      <c r="BH21" s="11">
        <f>144902.273212488/(10^3)</f>
        <v>144.90227321248801</v>
      </c>
      <c r="BI21" s="11">
        <f>145779.280108814/(10^3)</f>
        <v>145.77928010881402</v>
      </c>
      <c r="BJ21" s="11">
        <f>160321.041858586/(10^3)</f>
        <v>160.321041858586</v>
      </c>
      <c r="BK21" s="11">
        <f>162626.523686095/(10^3)</f>
        <v>162.626523686095</v>
      </c>
      <c r="BL21" s="11">
        <f>170095.16039244/(10^3)</f>
        <v>170.09516039244002</v>
      </c>
      <c r="BM21" s="11">
        <v>174.7967954574178</v>
      </c>
      <c r="BN21" s="11">
        <f>182038.786966145/(10^3)</f>
        <v>182.03878696614501</v>
      </c>
      <c r="BO21" s="11">
        <f>165125.981613116/(10^3)</f>
        <v>165.12598161311598</v>
      </c>
      <c r="BP21" s="11">
        <f>151491.345975416/(10^3)</f>
        <v>151.49134597541601</v>
      </c>
      <c r="BQ21" s="11">
        <f>141425.696187995/(10^3)</f>
        <v>141.42569618799499</v>
      </c>
      <c r="BR21" s="11">
        <f>139539.702599611/(10^3)</f>
        <v>139.53970259961099</v>
      </c>
      <c r="BS21" s="11">
        <v>131.67670793071815</v>
      </c>
      <c r="BT21" s="11">
        <f>128827.371053484/(10^3)</f>
        <v>128.827371053484</v>
      </c>
      <c r="BU21" s="11">
        <f>123531.268018622/(10^3)</f>
        <v>123.531268018622</v>
      </c>
      <c r="BV21" s="11">
        <f>112290.277768958/(10^3)</f>
        <v>112.29027776895799</v>
      </c>
      <c r="BW21" s="11">
        <f>112131.976414198/(10^3)</f>
        <v>112.13197641419799</v>
      </c>
      <c r="BX21" s="11">
        <f>115536.254064272/(10^3)</f>
        <v>115.536254064272</v>
      </c>
      <c r="BY21" s="11">
        <v>118.83587881130993</v>
      </c>
      <c r="BZ21" s="11">
        <f>116216.078254175/(10^3)</f>
        <v>116.21607825417499</v>
      </c>
      <c r="CA21" s="11">
        <f>109506.479735208/(10^3)</f>
        <v>109.506479735208</v>
      </c>
      <c r="CB21" s="11">
        <f>109178.307481711/(10^3)</f>
        <v>109.178307481711</v>
      </c>
      <c r="CC21" s="12"/>
      <c r="DD21" s="11"/>
      <c r="DE21" s="11"/>
      <c r="DF21" s="11"/>
    </row>
    <row r="22" spans="4:110" x14ac:dyDescent="0.25">
      <c r="D22" s="10" t="s">
        <v>102</v>
      </c>
      <c r="E22" s="10" t="s">
        <v>93</v>
      </c>
      <c r="F22" s="10" t="s">
        <v>180</v>
      </c>
      <c r="G22" s="10"/>
      <c r="H22" s="67" t="str">
        <f t="shared" si="2"/>
        <v xml:space="preserve">Albany </v>
      </c>
      <c r="I22" s="11">
        <f>117617/(10^3)</f>
        <v>117.617</v>
      </c>
      <c r="J22" s="11">
        <f>122755.845644216/(10^3)</f>
        <v>122.755845644216</v>
      </c>
      <c r="K22" s="11">
        <v>128.52915425560928</v>
      </c>
      <c r="L22" s="11">
        <f>129042.458653128/(10^3)</f>
        <v>129.04245865312799</v>
      </c>
      <c r="M22" s="11">
        <f>125811.247837738/(10^3)</f>
        <v>125.81124783773801</v>
      </c>
      <c r="N22" s="11">
        <f>136822.811458083/(10^3)</f>
        <v>136.82281145808298</v>
      </c>
      <c r="O22" s="11">
        <f>143408.65003465/(10^3)</f>
        <v>143.40865003465001</v>
      </c>
      <c r="P22" s="11">
        <f>150550.163703445/(10^3)</f>
        <v>150.55016370344501</v>
      </c>
      <c r="Q22" s="11">
        <v>153.04505651792965</v>
      </c>
      <c r="R22" s="11">
        <f>150818.166433166/(10^3)</f>
        <v>150.81816643316603</v>
      </c>
      <c r="S22" s="11">
        <f>139865.691495938/(10^3)</f>
        <v>139.86569149593799</v>
      </c>
      <c r="T22" s="11">
        <f>135099.382720532/(10^3)</f>
        <v>135.09938272053202</v>
      </c>
      <c r="U22" s="11">
        <f>133531.336624021/(10^3)</f>
        <v>133.53133662402101</v>
      </c>
      <c r="V22" s="11">
        <f>130338.145540318/(10^3)</f>
        <v>130.33814554031801</v>
      </c>
      <c r="W22" s="11">
        <v>133.1427428090285</v>
      </c>
      <c r="X22" s="11">
        <f>139734.692926939/(10^3)</f>
        <v>139.734692926939</v>
      </c>
      <c r="Y22" s="11">
        <f>140737.607946966/(10^3)</f>
        <v>140.73760794696599</v>
      </c>
      <c r="Z22" s="11">
        <f>145882.452145418/(10^3)</f>
        <v>145.882452145418</v>
      </c>
      <c r="AA22" s="11">
        <f>152699.865690476/(10^3)</f>
        <v>152.699865690476</v>
      </c>
      <c r="AB22" s="11">
        <f>156827.688851171/(10^3)</f>
        <v>156.82768885117099</v>
      </c>
      <c r="AC22" s="11">
        <v>162.50183463286572</v>
      </c>
      <c r="AD22" s="11">
        <f>169842.6392946/(10^3)</f>
        <v>169.84263929459999</v>
      </c>
      <c r="AE22" s="11">
        <f>177425.410645828/(10^3)</f>
        <v>177.42541064582801</v>
      </c>
      <c r="AF22" s="11">
        <f>184893.917299624/(10^3)</f>
        <v>184.89391729962401</v>
      </c>
      <c r="AG22" s="11">
        <f>190009.373189483/(10^3)</f>
        <v>190.009373189483</v>
      </c>
      <c r="AH22" s="11">
        <f>196914.72482421/(10^3)</f>
        <v>196.91472482421</v>
      </c>
      <c r="AI22" s="11">
        <v>202.08039520378523</v>
      </c>
      <c r="AJ22" s="11">
        <f>203753.114939683/(10^3)</f>
        <v>203.753114939683</v>
      </c>
      <c r="AK22" s="11">
        <f>211036.496223907/(10^3)</f>
        <v>211.03649622390699</v>
      </c>
      <c r="AL22" s="11">
        <f>213622.932449885/(10^3)</f>
        <v>213.62293244988501</v>
      </c>
      <c r="AM22" s="11">
        <f>219099.199369057/(10^3)</f>
        <v>219.099199369057</v>
      </c>
      <c r="AN22" s="11">
        <f>219159.301320646/(10^3)</f>
        <v>219.15930132064599</v>
      </c>
      <c r="AO22" s="11">
        <v>224.75367938718466</v>
      </c>
      <c r="AP22" s="11">
        <f>232633.443185636/(10^3)</f>
        <v>232.633443185636</v>
      </c>
      <c r="AQ22" s="11">
        <f>218597.477618738/(10^3)</f>
        <v>218.597477618738</v>
      </c>
      <c r="AR22" s="11">
        <f>214601.289039938/(10^3)</f>
        <v>214.60128903993802</v>
      </c>
      <c r="AS22" s="11">
        <f>207698.182872282/(10^3)</f>
        <v>207.69818287228199</v>
      </c>
      <c r="AT22" s="11">
        <f>206314.141117245/(10^3)</f>
        <v>206.31414111724499</v>
      </c>
      <c r="AU22" s="11">
        <v>204.58041194557606</v>
      </c>
      <c r="AV22" s="11">
        <f>200493.757025201/(10^3)</f>
        <v>200.49375702520098</v>
      </c>
      <c r="AW22" s="11">
        <f>195775.842792637/(10^3)</f>
        <v>195.77584279263701</v>
      </c>
      <c r="AX22" s="11">
        <f>192605.34050019/(10^3)</f>
        <v>192.60534050019001</v>
      </c>
      <c r="AY22" s="11">
        <f>185999.124038146/(10^3)</f>
        <v>185.99912403814599</v>
      </c>
      <c r="AZ22" s="11">
        <f>181596.088492103/(10^3)</f>
        <v>181.59608849210301</v>
      </c>
      <c r="BA22" s="11">
        <v>173.48122047217805</v>
      </c>
      <c r="BB22" s="11">
        <f>165045.835407425/(10^3)</f>
        <v>165.04583540742502</v>
      </c>
      <c r="BC22" s="11">
        <f>163481.761769916/(10^3)</f>
        <v>163.48176176991598</v>
      </c>
      <c r="BD22" s="11">
        <f>160789.069531606/(10^3)</f>
        <v>160.78906953160597</v>
      </c>
      <c r="BE22" s="11">
        <f>153974.485137016/(10^3)</f>
        <v>153.97448513701599</v>
      </c>
      <c r="BF22" s="11">
        <f>150705.875224261/(10^3)</f>
        <v>150.70587522426098</v>
      </c>
      <c r="BG22" s="11">
        <v>151.94279077505914</v>
      </c>
      <c r="BH22" s="11">
        <f>154259.879838903/(10^3)</f>
        <v>154.259879838903</v>
      </c>
      <c r="BI22" s="11">
        <f>153488.563204338/(10^3)</f>
        <v>153.48856320433799</v>
      </c>
      <c r="BJ22" s="11">
        <f>153497.602105291/(10^3)</f>
        <v>153.49760210529101</v>
      </c>
      <c r="BK22" s="11">
        <f>159165.357754584/(10^3)</f>
        <v>159.16535775458399</v>
      </c>
      <c r="BL22" s="11">
        <f>165720.821620364/(10^3)</f>
        <v>165.72082162036401</v>
      </c>
      <c r="BM22" s="11">
        <v>173.46174985947943</v>
      </c>
      <c r="BN22" s="11">
        <f>170952.634440367/(10^3)</f>
        <v>170.95263444036701</v>
      </c>
      <c r="BO22" s="11">
        <f>157318.19317291/(10^3)</f>
        <v>157.31819317290999</v>
      </c>
      <c r="BP22" s="11">
        <f>146385.836418417/(10^3)</f>
        <v>146.385836418417</v>
      </c>
      <c r="BQ22" s="11">
        <f>137445.522704474/(10^3)</f>
        <v>137.445522704474</v>
      </c>
      <c r="BR22" s="11">
        <f>130160.96846091/(10^3)</f>
        <v>130.16096846091</v>
      </c>
      <c r="BS22" s="11">
        <v>128.27340892755973</v>
      </c>
      <c r="BT22" s="11">
        <f>125430.25535621/(10^3)</f>
        <v>125.43025535621</v>
      </c>
      <c r="BU22" s="11">
        <f>115610.71102428/(10^3)</f>
        <v>115.61071102427999</v>
      </c>
      <c r="BV22" s="11">
        <f>111775.865364701/(10^3)</f>
        <v>111.775865364701</v>
      </c>
      <c r="BW22" s="11">
        <f>101575.897800214/(10^3)</f>
        <v>101.57589780021401</v>
      </c>
      <c r="BX22" s="11">
        <f>103933.395252658/(10^3)</f>
        <v>103.933395252658</v>
      </c>
      <c r="BY22" s="11">
        <v>105.56883925679563</v>
      </c>
      <c r="BZ22" s="11">
        <f>107237.460075721/(10^3)</f>
        <v>107.237460075721</v>
      </c>
      <c r="CA22" s="11">
        <f>96899.895636048/(10^3)</f>
        <v>96.899895636047987</v>
      </c>
      <c r="CB22" s="11">
        <f>93280.707795398/(10^3)</f>
        <v>93.280707795398001</v>
      </c>
      <c r="CC22" s="12"/>
      <c r="DD22" s="11"/>
      <c r="DE22" s="11"/>
      <c r="DF22" s="11"/>
    </row>
    <row r="23" spans="4:110" x14ac:dyDescent="0.25">
      <c r="D23" s="10" t="s">
        <v>101</v>
      </c>
      <c r="E23" s="10" t="s">
        <v>93</v>
      </c>
      <c r="F23" s="10" t="s">
        <v>180</v>
      </c>
      <c r="G23" s="10"/>
      <c r="H23" s="67" t="str">
        <f t="shared" si="2"/>
        <v xml:space="preserve">New York </v>
      </c>
      <c r="I23" s="11">
        <f>43488/(10^3)</f>
        <v>43.488</v>
      </c>
      <c r="J23" s="11">
        <f>42822.3847047298/(10^3)</f>
        <v>42.822384704729799</v>
      </c>
      <c r="K23" s="11">
        <v>44.202595195123088</v>
      </c>
      <c r="L23" s="11">
        <f>45343.4335884138/(10^3)</f>
        <v>45.343433588413795</v>
      </c>
      <c r="M23" s="11">
        <f>47105.7676362416/(10^3)</f>
        <v>47.105767636241602</v>
      </c>
      <c r="N23" s="11">
        <f>51809.8819235875/(10^3)</f>
        <v>51.809881923587497</v>
      </c>
      <c r="O23" s="11">
        <f>53345.0725254424/(10^3)</f>
        <v>53.345072525442404</v>
      </c>
      <c r="P23" s="11">
        <f>55930.8448047964/(10^3)</f>
        <v>55.930844804796401</v>
      </c>
      <c r="Q23" s="11">
        <v>57.430293332352107</v>
      </c>
      <c r="R23" s="11">
        <f>57117.8458691106/(10^3)</f>
        <v>57.117845869110596</v>
      </c>
      <c r="S23" s="11">
        <f>53682.6150853493/(10^3)</f>
        <v>53.682615085349305</v>
      </c>
      <c r="T23" s="11">
        <f>52078.24600403/(10^3)</f>
        <v>52.078246004029999</v>
      </c>
      <c r="U23" s="11">
        <f>51813.7930698644/(10^3)</f>
        <v>51.813793069864396</v>
      </c>
      <c r="V23" s="11">
        <f>50487.6163427624/(10^3)</f>
        <v>50.487616342762401</v>
      </c>
      <c r="W23" s="11">
        <v>49.048834647719289</v>
      </c>
      <c r="X23" s="11">
        <f>51072.604220262/(10^3)</f>
        <v>51.072604220262001</v>
      </c>
      <c r="Y23" s="11">
        <f>52197.1577624292/(10^3)</f>
        <v>52.1971577624292</v>
      </c>
      <c r="Z23" s="11">
        <f>54984.6572247367/(10^3)</f>
        <v>54.984657224736701</v>
      </c>
      <c r="AA23" s="11">
        <f>55493.0196411375/(10^3)</f>
        <v>55.493019641137501</v>
      </c>
      <c r="AB23" s="11">
        <f>57149.3374455003/(10^3)</f>
        <v>57.149337445500301</v>
      </c>
      <c r="AC23" s="11">
        <v>58.838501424227516</v>
      </c>
      <c r="AD23" s="11">
        <f>60782.9616247544/(10^3)</f>
        <v>60.782961624754407</v>
      </c>
      <c r="AE23" s="11">
        <f>63351.0175105266/(10^3)</f>
        <v>63.351017510526603</v>
      </c>
      <c r="AF23" s="11">
        <f>64355.4445271385/(10^3)</f>
        <v>64.355444527138502</v>
      </c>
      <c r="AG23" s="11">
        <f>66040.093164718/(10^3)</f>
        <v>66.040093164718002</v>
      </c>
      <c r="AH23" s="11">
        <f>69221.8612445743/(10^3)</f>
        <v>69.221861244574299</v>
      </c>
      <c r="AI23" s="11">
        <v>72.034214699473381</v>
      </c>
      <c r="AJ23" s="11">
        <f>73374.1768606081/(10^3)</f>
        <v>73.374176860608102</v>
      </c>
      <c r="AK23" s="11">
        <f>75572.4808771055/(10^3)</f>
        <v>75.572480877105491</v>
      </c>
      <c r="AL23" s="11">
        <f>78519.5750995862/(10^3)</f>
        <v>78.519575099586206</v>
      </c>
      <c r="AM23" s="11">
        <f>81391.5522724051/(10^3)</f>
        <v>81.391552272405093</v>
      </c>
      <c r="AN23" s="11">
        <f>83953.9784864409/(10^3)</f>
        <v>83.953978486440903</v>
      </c>
      <c r="AO23" s="11">
        <v>86.707726095493896</v>
      </c>
      <c r="AP23" s="11">
        <f>84606.3473557057/(10^3)</f>
        <v>84.606347355705694</v>
      </c>
      <c r="AQ23" s="11">
        <f>81856.8941570425/(10^3)</f>
        <v>81.85689415704249</v>
      </c>
      <c r="AR23" s="11">
        <f>79444.1761059329/(10^3)</f>
        <v>79.444176105932897</v>
      </c>
      <c r="AS23" s="11">
        <f>77057.0710472724/(10^3)</f>
        <v>77.057071047272402</v>
      </c>
      <c r="AT23" s="11">
        <f>75590.4844038285/(10^3)</f>
        <v>75.590484403828498</v>
      </c>
      <c r="AU23" s="11">
        <v>73.39329954453757</v>
      </c>
      <c r="AV23" s="11">
        <f>73114.8021262575/(10^3)</f>
        <v>73.114802126257501</v>
      </c>
      <c r="AW23" s="11">
        <f>71618.6838312765/(10^3)</f>
        <v>71.618683831276499</v>
      </c>
      <c r="AX23" s="11">
        <f>70742.7040377192/(10^3)</f>
        <v>70.742704037719207</v>
      </c>
      <c r="AY23" s="11">
        <f>70070.7757311852/(10^3)</f>
        <v>70.070775731185208</v>
      </c>
      <c r="AZ23" s="11">
        <f>66749.9534100895/(10^3)</f>
        <v>66.749953410089489</v>
      </c>
      <c r="BA23" s="11">
        <v>66.293269408391396</v>
      </c>
      <c r="BB23" s="11">
        <f>66203.4008169012/(10^3)</f>
        <v>66.203400816901194</v>
      </c>
      <c r="BC23" s="11">
        <f>64873.6774354109/(10^3)</f>
        <v>64.873677435410897</v>
      </c>
      <c r="BD23" s="11">
        <f>63960.8417472843/(10^3)</f>
        <v>63.960841747284299</v>
      </c>
      <c r="BE23" s="11">
        <f>62678.765781433/(10^3)</f>
        <v>62.678765781433</v>
      </c>
      <c r="BF23" s="11">
        <f>65029.3947201135/(10^3)</f>
        <v>65.029394720113501</v>
      </c>
      <c r="BG23" s="11">
        <v>64.768842151084002</v>
      </c>
      <c r="BH23" s="11">
        <f>65864.1598201419/(10^3)</f>
        <v>65.864159820141893</v>
      </c>
      <c r="BI23" s="11">
        <f>68078.7262360059/(10^3)</f>
        <v>68.078726236005892</v>
      </c>
      <c r="BJ23" s="11">
        <f>74114.6036337335/(10^3)</f>
        <v>74.114603633733495</v>
      </c>
      <c r="BK23" s="11">
        <f>76239.862637909/(10^3)</f>
        <v>76.239862637908999</v>
      </c>
      <c r="BL23" s="11">
        <f>78403.9721416764/(10^3)</f>
        <v>78.403972141676391</v>
      </c>
      <c r="BM23" s="11">
        <v>79.201993861910267</v>
      </c>
      <c r="BN23" s="11">
        <f>77834.9582604994/(10^3)</f>
        <v>77.834958260499405</v>
      </c>
      <c r="BO23" s="11">
        <f>70630.5753903296/(10^3)</f>
        <v>70.630575390329597</v>
      </c>
      <c r="BP23" s="11">
        <f>68793.4008643103/(10^3)</f>
        <v>68.7934008643103</v>
      </c>
      <c r="BQ23" s="11">
        <f>61924.5068445487/(10^3)</f>
        <v>61.924506844548695</v>
      </c>
      <c r="BR23" s="11">
        <f>60352.9038348323/(10^3)</f>
        <v>60.352903834832304</v>
      </c>
      <c r="BS23" s="11">
        <v>56.677213708932101</v>
      </c>
      <c r="BT23" s="11">
        <f>53799.1134857349/(10^3)</f>
        <v>53.7991134857349</v>
      </c>
      <c r="BU23" s="11">
        <f>52339.3440033172/(10^3)</f>
        <v>52.339344003317201</v>
      </c>
      <c r="BV23" s="11">
        <f>47777.5929721501/(10^3)</f>
        <v>47.777592972150103</v>
      </c>
      <c r="BW23" s="11">
        <f>47264.0865424622/(10^3)</f>
        <v>47.264086542462202</v>
      </c>
      <c r="BX23" s="11">
        <f>49299.3674702404/(10^3)</f>
        <v>49.299367470240405</v>
      </c>
      <c r="BY23" s="11">
        <v>50.545823576431339</v>
      </c>
      <c r="BZ23" s="11">
        <f>52962.8854730114/(10^3)</f>
        <v>52.962885473011404</v>
      </c>
      <c r="CA23" s="11">
        <f>50333.2406988837/(10^3)</f>
        <v>50.333240698883699</v>
      </c>
      <c r="CB23" s="11">
        <f>50212.8898207521/(10^3)</f>
        <v>50.212889820752096</v>
      </c>
      <c r="CC23" s="12"/>
      <c r="DD23" s="11"/>
      <c r="DE23" s="11"/>
      <c r="DF23" s="11"/>
    </row>
    <row r="24" spans="4:110" x14ac:dyDescent="0.25">
      <c r="D24" s="10" t="s">
        <v>105</v>
      </c>
      <c r="E24" s="10" t="s">
        <v>95</v>
      </c>
      <c r="F24" s="10" t="s">
        <v>149</v>
      </c>
      <c r="G24" s="10"/>
      <c r="H24" s="67" t="str">
        <f t="shared" si="2"/>
        <v xml:space="preserve">Columbus </v>
      </c>
      <c r="I24" s="11">
        <f>68005/(10^3)</f>
        <v>68.004999999999995</v>
      </c>
      <c r="J24" s="11">
        <f>71188.864474829/(10^3)</f>
        <v>71.188864474828989</v>
      </c>
      <c r="K24" s="11">
        <v>72.644297156886736</v>
      </c>
      <c r="L24" s="11">
        <f>74956.791583303/(10^3)</f>
        <v>74.956791583303001</v>
      </c>
      <c r="M24" s="11">
        <f>77501.4034815062/(10^3)</f>
        <v>77.501403481506202</v>
      </c>
      <c r="N24" s="11">
        <f>80922.4656145205/(10^3)</f>
        <v>80.92246561452049</v>
      </c>
      <c r="O24" s="11">
        <f>83742.461671271/(10^3)</f>
        <v>83.742461671271002</v>
      </c>
      <c r="P24" s="11">
        <f>86269.6524326486/(10^3)</f>
        <v>86.269652432648599</v>
      </c>
      <c r="Q24" s="11">
        <v>88.042478461441547</v>
      </c>
      <c r="R24" s="11">
        <f>91058.1350313558/(10^3)</f>
        <v>91.058135031355803</v>
      </c>
      <c r="S24" s="11">
        <f>85460.81952425/(10^3)</f>
        <v>85.460819524249999</v>
      </c>
      <c r="T24" s="11">
        <f>81662.2453665218/(10^3)</f>
        <v>81.662245366521802</v>
      </c>
      <c r="U24" s="11">
        <f>80676.2234675436/(10^3)</f>
        <v>80.676223467543608</v>
      </c>
      <c r="V24" s="11">
        <f>80999.0982664151/(10^3)</f>
        <v>80.999098266415089</v>
      </c>
      <c r="W24" s="11">
        <v>82.434754267172863</v>
      </c>
      <c r="X24" s="11">
        <f>85698.1847649182/(10^3)</f>
        <v>85.698184764918196</v>
      </c>
      <c r="Y24" s="11">
        <f>89707.9779048708/(10^3)</f>
        <v>89.707977904870802</v>
      </c>
      <c r="Z24" s="11">
        <f>92609.9497116317/(10^3)</f>
        <v>92.609949711631714</v>
      </c>
      <c r="AA24" s="11">
        <f>97125.6845234653/(10^3)</f>
        <v>97.125684523465296</v>
      </c>
      <c r="AB24" s="11">
        <f>97762.7506417304/(10^3)</f>
        <v>97.762750641730392</v>
      </c>
      <c r="AC24" s="11">
        <v>101.63452325458894</v>
      </c>
      <c r="AD24" s="11">
        <f>102562.078413307/(10^3)</f>
        <v>102.56207841330699</v>
      </c>
      <c r="AE24" s="11">
        <f>103073.402395206/(10^3)</f>
        <v>103.07340239520599</v>
      </c>
      <c r="AF24" s="11">
        <f>104889.229014077/(10^3)</f>
        <v>104.889229014077</v>
      </c>
      <c r="AG24" s="11">
        <f>110122.516778357/(10^3)</f>
        <v>110.12251677835701</v>
      </c>
      <c r="AH24" s="11">
        <f>114974.620331299/(10^3)</f>
        <v>114.97462033129899</v>
      </c>
      <c r="AI24" s="11">
        <v>118.8829200229723</v>
      </c>
      <c r="AJ24" s="11">
        <f>121551.594441676/(10^3)</f>
        <v>121.551594441676</v>
      </c>
      <c r="AK24" s="11">
        <f>124256.060805665/(10^3)</f>
        <v>124.256060805665</v>
      </c>
      <c r="AL24" s="11">
        <f>127049.006728074/(10^3)</f>
        <v>127.049006728074</v>
      </c>
      <c r="AM24" s="11">
        <f>131114.242170935/(10^3)</f>
        <v>131.114242170935</v>
      </c>
      <c r="AN24" s="11">
        <f>133401.269110113/(10^3)</f>
        <v>133.40126911011299</v>
      </c>
      <c r="AO24" s="11">
        <v>138.29528010259742</v>
      </c>
      <c r="AP24" s="11">
        <f>144625.21852233/(10^3)</f>
        <v>144.62521852232999</v>
      </c>
      <c r="AQ24" s="11">
        <f>130729.541762644/(10^3)</f>
        <v>130.729541762644</v>
      </c>
      <c r="AR24" s="11">
        <f>124338.566928733/(10^3)</f>
        <v>124.338566928733</v>
      </c>
      <c r="AS24" s="11">
        <f>124290.775555863/(10^3)</f>
        <v>124.29077555586301</v>
      </c>
      <c r="AT24" s="11">
        <f>122405.014661944/(10^3)</f>
        <v>122.40501466194401</v>
      </c>
      <c r="AU24" s="11">
        <v>119.73289479277945</v>
      </c>
      <c r="AV24" s="11">
        <f>116855.583305701/(10^3)</f>
        <v>116.855583305701</v>
      </c>
      <c r="AW24" s="11">
        <f>112346.915747888/(10^3)</f>
        <v>112.34691574788799</v>
      </c>
      <c r="AX24" s="11">
        <f>107560.139819243/(10^3)</f>
        <v>107.56013981924301</v>
      </c>
      <c r="AY24" s="11">
        <f>103696.031962744/(10^3)</f>
        <v>103.696031962744</v>
      </c>
      <c r="AZ24" s="11">
        <f>99984.8807205878/(10^3)</f>
        <v>99.984880720587796</v>
      </c>
      <c r="BA24" s="11">
        <v>97.084105868621421</v>
      </c>
      <c r="BB24" s="11">
        <f>93838.9710253835/(10^3)</f>
        <v>93.838971025383486</v>
      </c>
      <c r="BC24" s="11">
        <f>89187.9557247545/(10^3)</f>
        <v>89.187955724754502</v>
      </c>
      <c r="BD24" s="11">
        <f>85521.7298951126/(10^3)</f>
        <v>85.5217298951126</v>
      </c>
      <c r="BE24" s="11">
        <f>85234.0791752281/(10^3)</f>
        <v>85.234079175228089</v>
      </c>
      <c r="BF24" s="11">
        <f>83104.5565455357/(10^3)</f>
        <v>83.104556545535701</v>
      </c>
      <c r="BG24" s="11">
        <v>83.207024992161109</v>
      </c>
      <c r="BH24" s="11">
        <f>80884.2475775676/(10^3)</f>
        <v>80.884247577567606</v>
      </c>
      <c r="BI24" s="11">
        <f>83143.2808328637/(10^3)</f>
        <v>83.143280832863709</v>
      </c>
      <c r="BJ24" s="11">
        <f>84958.1663182597/(10^3)</f>
        <v>84.9581663182597</v>
      </c>
      <c r="BK24" s="11">
        <f>87191.274527281/(10^3)</f>
        <v>87.191274527280996</v>
      </c>
      <c r="BL24" s="11">
        <f>90744.3496307603/(10^3)</f>
        <v>90.744349630760311</v>
      </c>
      <c r="BM24" s="11">
        <v>91.47477361728923</v>
      </c>
      <c r="BN24" s="11">
        <f>90035.5520339733/(10^3)</f>
        <v>90.035552033973303</v>
      </c>
      <c r="BO24" s="11">
        <f>89509.8505360727/(10^3)</f>
        <v>89.509850536072705</v>
      </c>
      <c r="BP24" s="11">
        <f>88167.8109445284/(10^3)</f>
        <v>88.167810944528412</v>
      </c>
      <c r="BQ24" s="11">
        <f>83841.3642061271/(10^3)</f>
        <v>83.841364206127096</v>
      </c>
      <c r="BR24" s="11">
        <f>83202.0270798979/(10^3)</f>
        <v>83.202027079897903</v>
      </c>
      <c r="BS24" s="11">
        <v>81.336704228550246</v>
      </c>
      <c r="BT24" s="11">
        <f>75565.0855599304/(10^3)</f>
        <v>75.565085559930409</v>
      </c>
      <c r="BU24" s="11">
        <f>72100.9611389543/(10^3)</f>
        <v>72.100961138954304</v>
      </c>
      <c r="BV24" s="11">
        <f>71101.2722061011/(10^3)</f>
        <v>71.1012722061011</v>
      </c>
      <c r="BW24" s="11">
        <f>69864.7217150513/(10^3)</f>
        <v>69.864721715051303</v>
      </c>
      <c r="BX24" s="11">
        <f>70385.3672977975/(10^3)</f>
        <v>70.385367297797487</v>
      </c>
      <c r="BY24" s="11">
        <v>72.596845981242765</v>
      </c>
      <c r="BZ24" s="11">
        <f>75761.1970422795/(10^3)</f>
        <v>75.761197042279505</v>
      </c>
      <c r="CA24" s="11">
        <f>75046.6398849667/(10^3)</f>
        <v>75.046639884966709</v>
      </c>
      <c r="CB24" s="11">
        <f>73853.8232227463/(10^3)</f>
        <v>73.8538232227463</v>
      </c>
      <c r="CC24" s="12"/>
      <c r="DD24" s="11"/>
      <c r="DE24" s="11"/>
      <c r="DF24" s="11"/>
    </row>
    <row r="25" spans="4:110" x14ac:dyDescent="0.25">
      <c r="D25" s="10" t="s">
        <v>106</v>
      </c>
      <c r="E25" s="10" t="s">
        <v>95</v>
      </c>
      <c r="F25" s="10" t="s">
        <v>149</v>
      </c>
      <c r="G25" s="10"/>
      <c r="H25" s="67" t="str">
        <f t="shared" si="2"/>
        <v xml:space="preserve">Cleveland </v>
      </c>
      <c r="I25" s="11">
        <f>126969/(10^3)</f>
        <v>126.96899999999999</v>
      </c>
      <c r="J25" s="11">
        <f>128822.008668504/(10^3)</f>
        <v>128.822008668504</v>
      </c>
      <c r="K25" s="11">
        <v>125.30072651403083</v>
      </c>
      <c r="L25" s="11">
        <f>124645.586348598/(10^3)</f>
        <v>124.64558634859799</v>
      </c>
      <c r="M25" s="11">
        <f>130736.55141398/(10^3)</f>
        <v>130.73655141398001</v>
      </c>
      <c r="N25" s="11">
        <f>142512.367486372/(10^3)</f>
        <v>142.512367486372</v>
      </c>
      <c r="O25" s="11">
        <f>148514.340806125/(10^3)</f>
        <v>148.51434080612501</v>
      </c>
      <c r="P25" s="11">
        <f>150502.49822287/(10^3)</f>
        <v>150.50249822287</v>
      </c>
      <c r="Q25" s="11">
        <v>156.32702715925026</v>
      </c>
      <c r="R25" s="11">
        <f>159399.350158431/(10^3)</f>
        <v>159.39935015843102</v>
      </c>
      <c r="S25" s="11">
        <f>151873.132198806/(10^3)</f>
        <v>151.87313219880602</v>
      </c>
      <c r="T25" s="11">
        <f>147418.031907588/(10^3)</f>
        <v>147.41803190758802</v>
      </c>
      <c r="U25" s="11">
        <f>147010.345947773/(10^3)</f>
        <v>147.010345947773</v>
      </c>
      <c r="V25" s="11">
        <f>153561.971147117/(10^3)</f>
        <v>153.56197114711699</v>
      </c>
      <c r="W25" s="11">
        <v>150.22193795873929</v>
      </c>
      <c r="X25" s="11">
        <f>155067.010491397/(10^3)</f>
        <v>155.06701049139699</v>
      </c>
      <c r="Y25" s="11">
        <f>154517.969654022/(10^3)</f>
        <v>154.51796965402198</v>
      </c>
      <c r="Z25" s="11">
        <f>167675.425778064/(10^3)</f>
        <v>167.67542577806401</v>
      </c>
      <c r="AA25" s="11">
        <f>170052.72776407/(10^3)</f>
        <v>170.05272776407</v>
      </c>
      <c r="AB25" s="11">
        <f>178329.69993464/(10^3)</f>
        <v>178.32969993463999</v>
      </c>
      <c r="AC25" s="11">
        <v>186.88029161468057</v>
      </c>
      <c r="AD25" s="11">
        <f>186354.260426638/(10^3)</f>
        <v>186.35426042663801</v>
      </c>
      <c r="AE25" s="11">
        <f>175682.299164217/(10^3)</f>
        <v>175.682299164217</v>
      </c>
      <c r="AF25" s="11">
        <f>171527.128208835/(10^3)</f>
        <v>171.52712820883499</v>
      </c>
      <c r="AG25" s="11">
        <f>169396.843089392/(10^3)</f>
        <v>169.39684308939201</v>
      </c>
      <c r="AH25" s="11">
        <f>168481.226640298/(10^3)</f>
        <v>168.48122664029799</v>
      </c>
      <c r="AI25" s="11">
        <v>174.38211862479406</v>
      </c>
      <c r="AJ25" s="11">
        <f>170872.126285183/(10^3)</f>
        <v>170.87212628518301</v>
      </c>
      <c r="AK25" s="11">
        <f>177014.015971292/(10^3)</f>
        <v>177.01401597129203</v>
      </c>
      <c r="AL25" s="11">
        <f>174777.824744495/(10^3)</f>
        <v>174.77782474449501</v>
      </c>
      <c r="AM25" s="11">
        <f>178759.640136524/(10^3)</f>
        <v>178.75964013652398</v>
      </c>
      <c r="AN25" s="11">
        <f>182945.663680482/(10^3)</f>
        <v>182.945663680482</v>
      </c>
      <c r="AO25" s="11">
        <v>188.7662318066437</v>
      </c>
      <c r="AP25" s="11">
        <f>186963.669127997/(10^3)</f>
        <v>186.96366912799701</v>
      </c>
      <c r="AQ25" s="11">
        <f>186184.026673984/(10^3)</f>
        <v>186.18402667398399</v>
      </c>
      <c r="AR25" s="11">
        <f>180040.771025013/(10^3)</f>
        <v>180.04077102501302</v>
      </c>
      <c r="AS25" s="11">
        <f>173142.198680391/(10^3)</f>
        <v>173.142198680391</v>
      </c>
      <c r="AT25" s="11">
        <f>167898.563481004/(10^3)</f>
        <v>167.898563481004</v>
      </c>
      <c r="AU25" s="11">
        <v>166.20136926749012</v>
      </c>
      <c r="AV25" s="11">
        <f>162029.369766872/(10^3)</f>
        <v>162.02936976687201</v>
      </c>
      <c r="AW25" s="11">
        <f>159844.314337972/(10^3)</f>
        <v>159.84431433797201</v>
      </c>
      <c r="AX25" s="11">
        <f>155579.951376179/(10^3)</f>
        <v>155.579951376179</v>
      </c>
      <c r="AY25" s="11">
        <f>155446.192388533/(10^3)</f>
        <v>155.44619238853301</v>
      </c>
      <c r="AZ25" s="11">
        <f>155246.382079482/(10^3)</f>
        <v>155.246382079482</v>
      </c>
      <c r="BA25" s="11">
        <v>152.25002203883884</v>
      </c>
      <c r="BB25" s="11">
        <f>145030.008700983/(10^3)</f>
        <v>145.03000870098299</v>
      </c>
      <c r="BC25" s="11">
        <f>139147.183183044/(10^3)</f>
        <v>139.14718318304398</v>
      </c>
      <c r="BD25" s="11">
        <f>136496.017562016/(10^3)</f>
        <v>136.49601756201599</v>
      </c>
      <c r="BE25" s="11">
        <f>132211.147182618/(10^3)</f>
        <v>132.21114718261799</v>
      </c>
      <c r="BF25" s="11">
        <f>130263.996924706/(10^3)</f>
        <v>130.26399692470602</v>
      </c>
      <c r="BG25" s="11">
        <v>126.87089770378979</v>
      </c>
      <c r="BH25" s="11">
        <f>123792.472886214/(10^3)</f>
        <v>123.792472886214</v>
      </c>
      <c r="BI25" s="11">
        <f>125484.022236511/(10^3)</f>
        <v>125.484022236511</v>
      </c>
      <c r="BJ25" s="11">
        <f>131903.979692172/(10^3)</f>
        <v>131.90397969217199</v>
      </c>
      <c r="BK25" s="11">
        <f>132060.441305418/(10^3)</f>
        <v>132.06044130541801</v>
      </c>
      <c r="BL25" s="11">
        <f>137749.461854104/(10^3)</f>
        <v>137.749461854104</v>
      </c>
      <c r="BM25" s="11">
        <v>143.21803045362637</v>
      </c>
      <c r="BN25" s="11">
        <f>149119.329738618/(10^3)</f>
        <v>149.11932973861798</v>
      </c>
      <c r="BO25" s="11">
        <f>134351.765555615/(10^3)</f>
        <v>134.351765555615</v>
      </c>
      <c r="BP25" s="11">
        <f>122008.763842949/(10^3)</f>
        <v>122.00876384294901</v>
      </c>
      <c r="BQ25" s="11">
        <f>116850.337401887/(10^3)</f>
        <v>116.85033740188699</v>
      </c>
      <c r="BR25" s="11">
        <f>107068.913108716/(10^3)</f>
        <v>107.068913108716</v>
      </c>
      <c r="BS25" s="11">
        <v>101.10290442029545</v>
      </c>
      <c r="BT25" s="11">
        <f>96302.1776806078/(10^3)</f>
        <v>96.302177680607798</v>
      </c>
      <c r="BU25" s="11">
        <f>90995.1804576695/(10^3)</f>
        <v>90.995180457669505</v>
      </c>
      <c r="BV25" s="11">
        <f>83626.4574028612/(10^3)</f>
        <v>83.626457402861192</v>
      </c>
      <c r="BW25" s="11">
        <f>83532.033585316/(10^3)</f>
        <v>83.532033585316</v>
      </c>
      <c r="BX25" s="11">
        <f>85869.5856308575/(10^3)</f>
        <v>85.8695856308575</v>
      </c>
      <c r="BY25" s="11">
        <v>88.991888104951286</v>
      </c>
      <c r="BZ25" s="11">
        <f>87764.4237380346/(10^3)</f>
        <v>87.764423738034608</v>
      </c>
      <c r="CA25" s="11">
        <f>82159.1047523157/(10^3)</f>
        <v>82.159104752315699</v>
      </c>
      <c r="CB25" s="11">
        <f>78070.8025337912/(10^3)</f>
        <v>78.070802533791195</v>
      </c>
      <c r="CC25" s="12"/>
      <c r="DD25" s="11"/>
      <c r="DE25" s="11"/>
      <c r="DF25" s="11"/>
    </row>
    <row r="26" spans="4:110" x14ac:dyDescent="0.25">
      <c r="D26" s="10" t="s">
        <v>107</v>
      </c>
      <c r="E26" s="10" t="s">
        <v>95</v>
      </c>
      <c r="F26" s="10" t="s">
        <v>149</v>
      </c>
      <c r="G26" s="10"/>
      <c r="H26" s="67" t="str">
        <f t="shared" si="2"/>
        <v xml:space="preserve">Cincinnati </v>
      </c>
      <c r="I26" s="11">
        <f>52556/(10^3)</f>
        <v>52.555999999999997</v>
      </c>
      <c r="J26" s="11">
        <f>51778.1345949833/(10^3)</f>
        <v>51.7781345949833</v>
      </c>
      <c r="K26" s="11">
        <v>52.995135964209446</v>
      </c>
      <c r="L26" s="11">
        <f>52957.4910060777/(10^3)</f>
        <v>52.957491006077696</v>
      </c>
      <c r="M26" s="11">
        <f>53822.7164949609/(10^3)</f>
        <v>53.8227164949609</v>
      </c>
      <c r="N26" s="11">
        <f>58332.5286489891/(10^3)</f>
        <v>58.332528648989097</v>
      </c>
      <c r="O26" s="11">
        <f>60166.0577355561/(10^3)</f>
        <v>60.166057735556102</v>
      </c>
      <c r="P26" s="11">
        <f>63143.498357252/(10^3)</f>
        <v>63.143498357252</v>
      </c>
      <c r="Q26" s="11">
        <v>63.678244797687768</v>
      </c>
      <c r="R26" s="11">
        <f>63792.1039968318/(10^3)</f>
        <v>63.792103996831798</v>
      </c>
      <c r="S26" s="11">
        <f>63420.0967450875/(10^3)</f>
        <v>63.420096745087505</v>
      </c>
      <c r="T26" s="11">
        <f>61871.3521927483/(10^3)</f>
        <v>61.871352192748304</v>
      </c>
      <c r="U26" s="11">
        <f>60181.3131955647/(10^3)</f>
        <v>60.181313195564698</v>
      </c>
      <c r="V26" s="11">
        <f>59612.9514439729/(10^3)</f>
        <v>59.612951443972904</v>
      </c>
      <c r="W26" s="11">
        <v>59.13939632293495</v>
      </c>
      <c r="X26" s="11">
        <f>61170.3471045683/(10^3)</f>
        <v>61.1703471045683</v>
      </c>
      <c r="Y26" s="11">
        <f>62598.6592168439/(10^3)</f>
        <v>62.598659216843899</v>
      </c>
      <c r="Z26" s="11">
        <f>61913.4565449114/(10^3)</f>
        <v>61.913456544911405</v>
      </c>
      <c r="AA26" s="11">
        <f>64808.1602295556/(10^3)</f>
        <v>64.808160229555597</v>
      </c>
      <c r="AB26" s="11">
        <f>66908.6277250739/(10^3)</f>
        <v>66.908627725073899</v>
      </c>
      <c r="AC26" s="11">
        <v>66.30613099640189</v>
      </c>
      <c r="AD26" s="11">
        <f>66182.4231797937/(10^3)</f>
        <v>66.182423179793702</v>
      </c>
      <c r="AE26" s="11">
        <f>66105.9009586765/(10^3)</f>
        <v>66.1059009586765</v>
      </c>
      <c r="AF26" s="11">
        <f>64915.3201585615/(10^3)</f>
        <v>64.915320158561499</v>
      </c>
      <c r="AG26" s="11">
        <f>63504.4663970747/(10^3)</f>
        <v>63.504466397074701</v>
      </c>
      <c r="AH26" s="11">
        <f>63130.4632581109/(10^3)</f>
        <v>63.1304632581109</v>
      </c>
      <c r="AI26" s="11">
        <v>66.102635715512733</v>
      </c>
      <c r="AJ26" s="11">
        <f>64719.0271247904/(10^3)</f>
        <v>64.719027124790401</v>
      </c>
      <c r="AK26" s="11">
        <f>63043.7005528677/(10^3)</f>
        <v>63.043700552867698</v>
      </c>
      <c r="AL26" s="11">
        <f>64286.7940913687/(10^3)</f>
        <v>64.286794091368705</v>
      </c>
      <c r="AM26" s="11">
        <f>64491.1332026248/(10^3)</f>
        <v>64.491133202624795</v>
      </c>
      <c r="AN26" s="11">
        <f>66091.1612390729/(10^3)</f>
        <v>66.091161239072903</v>
      </c>
      <c r="AO26" s="11">
        <v>66.719699271212221</v>
      </c>
      <c r="AP26" s="11">
        <f>69250.4959530362/(10^3)</f>
        <v>69.250495953036193</v>
      </c>
      <c r="AQ26" s="11">
        <f>63250.791069798/(10^3)</f>
        <v>63.250791069797998</v>
      </c>
      <c r="AR26" s="11">
        <f>60267.900269049/(10^3)</f>
        <v>60.267900269049001</v>
      </c>
      <c r="AS26" s="11">
        <f>58117.4731586019/(10^3)</f>
        <v>58.117473158601896</v>
      </c>
      <c r="AT26" s="11">
        <f>56863.8649267969/(10^3)</f>
        <v>56.8638649267969</v>
      </c>
      <c r="AU26" s="11">
        <v>56.097694370457646</v>
      </c>
      <c r="AV26" s="11">
        <f>54648.1990965161/(10^3)</f>
        <v>54.648199096516102</v>
      </c>
      <c r="AW26" s="11">
        <f>55484.7904727116/(10^3)</f>
        <v>55.484790472711595</v>
      </c>
      <c r="AX26" s="11">
        <f>56448.6262937642/(10^3)</f>
        <v>56.4486262937642</v>
      </c>
      <c r="AY26" s="11">
        <f>57494.7637644261/(10^3)</f>
        <v>57.494763764426096</v>
      </c>
      <c r="AZ26" s="11">
        <f>59555.9910788891/(10^3)</f>
        <v>59.5559910788891</v>
      </c>
      <c r="BA26" s="11">
        <v>61.205558129598039</v>
      </c>
      <c r="BB26" s="11">
        <f>60556.0465010125/(10^3)</f>
        <v>60.556046501012496</v>
      </c>
      <c r="BC26" s="11">
        <f>54771.9391627723/(10^3)</f>
        <v>54.771939162772298</v>
      </c>
      <c r="BD26" s="11">
        <f>53869.4225505025/(10^3)</f>
        <v>53.869422550502506</v>
      </c>
      <c r="BE26" s="11">
        <f>52596.8382448182/(10^3)</f>
        <v>52.596838244818201</v>
      </c>
      <c r="BF26" s="11">
        <f>54191.6942603157/(10^3)</f>
        <v>54.1916942603157</v>
      </c>
      <c r="BG26" s="11">
        <v>55.245317911559063</v>
      </c>
      <c r="BH26" s="11">
        <f>55928.7054367688/(10^3)</f>
        <v>55.928705436768801</v>
      </c>
      <c r="BI26" s="11">
        <f>57551.1185915265/(10^3)</f>
        <v>57.551118591526503</v>
      </c>
      <c r="BJ26" s="11">
        <f>59789.4996333272/(10^3)</f>
        <v>59.789499633327196</v>
      </c>
      <c r="BK26" s="11">
        <f>60898.8403633651/(10^3)</f>
        <v>60.898840363365103</v>
      </c>
      <c r="BL26" s="11">
        <f>62512.2122945899/(10^3)</f>
        <v>62.512212294589901</v>
      </c>
      <c r="BM26" s="11">
        <v>62.613404811896793</v>
      </c>
      <c r="BN26" s="11">
        <f>63640.2882837277/(10^3)</f>
        <v>63.640288283727699</v>
      </c>
      <c r="BO26" s="11">
        <f>62603.0581337671/(10^3)</f>
        <v>62.603058133767099</v>
      </c>
      <c r="BP26" s="11">
        <f>59694.023762905/(10^3)</f>
        <v>59.694023762905005</v>
      </c>
      <c r="BQ26" s="11">
        <f>57911.4321246089/(10^3)</f>
        <v>57.911432124608901</v>
      </c>
      <c r="BR26" s="11">
        <f>57431.7789463004/(10^3)</f>
        <v>57.431778946300398</v>
      </c>
      <c r="BS26" s="11">
        <v>56.19447802887413</v>
      </c>
      <c r="BT26" s="11">
        <f>55083.8240321706/(10^3)</f>
        <v>55.083824032170604</v>
      </c>
      <c r="BU26" s="11">
        <f>54324.0026806776/(10^3)</f>
        <v>54.324002680677602</v>
      </c>
      <c r="BV26" s="11">
        <f>53861.4219176191/(10^3)</f>
        <v>53.861421917619104</v>
      </c>
      <c r="BW26" s="11">
        <f>53153.3442138324/(10^3)</f>
        <v>53.153344213832405</v>
      </c>
      <c r="BX26" s="11">
        <f>54683.7696004607/(10^3)</f>
        <v>54.6837696004607</v>
      </c>
      <c r="BY26" s="11">
        <v>56.502911113828674</v>
      </c>
      <c r="BZ26" s="11">
        <f>54843.5482188604/(10^3)</f>
        <v>54.843548218860398</v>
      </c>
      <c r="CA26" s="11">
        <f>50657.2046301332/(10^3)</f>
        <v>50.657204630133201</v>
      </c>
      <c r="CB26" s="11">
        <f>48781.3669280783/(10^3)</f>
        <v>48.781366928078299</v>
      </c>
      <c r="CC26" s="12"/>
      <c r="DD26" s="11"/>
      <c r="DE26" s="11"/>
      <c r="DF26" s="11"/>
    </row>
    <row r="27" spans="4:110" x14ac:dyDescent="0.25">
      <c r="D27" s="10" t="s">
        <v>108</v>
      </c>
      <c r="E27" s="10" t="s">
        <v>95</v>
      </c>
      <c r="F27" s="10" t="s">
        <v>149</v>
      </c>
      <c r="G27" s="10"/>
      <c r="H27" s="67" t="str">
        <f t="shared" si="2"/>
        <v xml:space="preserve">Toledo </v>
      </c>
      <c r="I27" s="11">
        <f>48083/(10^3)</f>
        <v>48.082999999999998</v>
      </c>
      <c r="J27" s="11">
        <f>48377.1891333083/(10^3)</f>
        <v>48.377189133308299</v>
      </c>
      <c r="K27" s="11">
        <v>49.270007748853331</v>
      </c>
      <c r="L27" s="11">
        <f>49254.0666866299/(10^3)</f>
        <v>49.254066686629898</v>
      </c>
      <c r="M27" s="11">
        <f>47841.2185027104/(10^3)</f>
        <v>47.841218502710397</v>
      </c>
      <c r="N27" s="11">
        <f>51367.6410015766/(10^3)</f>
        <v>51.367641001576601</v>
      </c>
      <c r="O27" s="11">
        <f>51718.46643142/(10^3)</f>
        <v>51.718466431419998</v>
      </c>
      <c r="P27" s="11">
        <f>51737.8887482419/(10^3)</f>
        <v>51.7378887482419</v>
      </c>
      <c r="Q27" s="11">
        <v>53.838336825922205</v>
      </c>
      <c r="R27" s="11">
        <f>54458.2843174844/(10^3)</f>
        <v>54.458284317484399</v>
      </c>
      <c r="S27" s="11">
        <f>54307.4759495759/(10^3)</f>
        <v>54.307475949575903</v>
      </c>
      <c r="T27" s="11">
        <f>51602.05580607/(10^3)</f>
        <v>51.602055806069998</v>
      </c>
      <c r="U27" s="11">
        <f>50066.3746459164/(10^3)</f>
        <v>50.066374645916405</v>
      </c>
      <c r="V27" s="11">
        <f>52063.2942583333/(10^3)</f>
        <v>52.0632942583333</v>
      </c>
      <c r="W27" s="11">
        <v>52.43157167875848</v>
      </c>
      <c r="X27" s="11">
        <f>52555.8990287333/(10^3)</f>
        <v>52.5558990287333</v>
      </c>
      <c r="Y27" s="11">
        <f>52088.1360744568/(10^3)</f>
        <v>52.088136074456798</v>
      </c>
      <c r="Z27" s="11">
        <f>53589.3364505247/(10^3)</f>
        <v>53.589336450524698</v>
      </c>
      <c r="AA27" s="11">
        <f>53322.5624171651/(10^3)</f>
        <v>53.322562417165102</v>
      </c>
      <c r="AB27" s="11">
        <f>53348.5787513236/(10^3)</f>
        <v>53.3485787513236</v>
      </c>
      <c r="AC27" s="11">
        <v>52.500820446977762</v>
      </c>
      <c r="AD27" s="11">
        <f>52915.906050938/(10^3)</f>
        <v>52.915906050937998</v>
      </c>
      <c r="AE27" s="11">
        <f>49399.6556920117/(10^3)</f>
        <v>49.399655692011699</v>
      </c>
      <c r="AF27" s="11">
        <f>46570.3765843578/(10^3)</f>
        <v>46.570376584357803</v>
      </c>
      <c r="AG27" s="11">
        <f>46180.0645975468/(10^3)</f>
        <v>46.180064597546803</v>
      </c>
      <c r="AH27" s="11">
        <f>47400.3802391067/(10^3)</f>
        <v>47.400380239106703</v>
      </c>
      <c r="AI27" s="11">
        <v>46.918755899904042</v>
      </c>
      <c r="AJ27" s="11">
        <f>48327.2866951562/(10^3)</f>
        <v>48.327286695156204</v>
      </c>
      <c r="AK27" s="11">
        <f>47189.3272522884/(10^3)</f>
        <v>47.1893272522884</v>
      </c>
      <c r="AL27" s="11">
        <f>48992.4979133163/(10^3)</f>
        <v>48.992497913316299</v>
      </c>
      <c r="AM27" s="11">
        <f>50615.2161834647/(10^3)</f>
        <v>50.615216183464696</v>
      </c>
      <c r="AN27" s="11">
        <f>50712.0782077925/(10^3)</f>
        <v>50.712078207792501</v>
      </c>
      <c r="AO27" s="11">
        <v>51.103162985740411</v>
      </c>
      <c r="AP27" s="11">
        <f>50918.7637649643/(10^3)</f>
        <v>50.918763764964304</v>
      </c>
      <c r="AQ27" s="11">
        <f>49967.5768728894/(10^3)</f>
        <v>49.967576872889403</v>
      </c>
      <c r="AR27" s="11">
        <f>47868.4616592589/(10^3)</f>
        <v>47.868461659258898</v>
      </c>
      <c r="AS27" s="11">
        <f>46407.9096090283/(10^3)</f>
        <v>46.407909609028302</v>
      </c>
      <c r="AT27" s="11">
        <f>45877.4663609109/(10^3)</f>
        <v>45.877466360910894</v>
      </c>
      <c r="AU27" s="11">
        <v>44.056603557770138</v>
      </c>
      <c r="AV27" s="11">
        <f>42325.2540059839/(10^3)</f>
        <v>42.325254005983901</v>
      </c>
      <c r="AW27" s="11">
        <f>44162.0882484315/(10^3)</f>
        <v>44.162088248431502</v>
      </c>
      <c r="AX27" s="11">
        <f>44413.5227911414/(10^3)</f>
        <v>44.413522791141396</v>
      </c>
      <c r="AY27" s="11">
        <f>45884.7735588887/(10^3)</f>
        <v>45.884773558888703</v>
      </c>
      <c r="AZ27" s="11">
        <f>47727.0294189265/(10^3)</f>
        <v>47.727029418926499</v>
      </c>
      <c r="BA27" s="11">
        <v>47.913150132338046</v>
      </c>
      <c r="BB27" s="11">
        <f>46877.2241512797/(10^3)</f>
        <v>46.877224151279698</v>
      </c>
      <c r="BC27" s="11">
        <f>45301.7576940467/(10^3)</f>
        <v>45.301757694046699</v>
      </c>
      <c r="BD27" s="11">
        <f>42521.7546109051/(10^3)</f>
        <v>42.521754610905106</v>
      </c>
      <c r="BE27" s="11">
        <f>42230.6813549322/(10^3)</f>
        <v>42.230681354932202</v>
      </c>
      <c r="BF27" s="11">
        <f>42477.7566983627/(10^3)</f>
        <v>42.477756698362697</v>
      </c>
      <c r="BG27" s="11">
        <v>44.240031742230386</v>
      </c>
      <c r="BH27" s="11">
        <f>45882.4439639808/(10^3)</f>
        <v>45.882443963980798</v>
      </c>
      <c r="BI27" s="11">
        <f>45449.5447726605/(10^3)</f>
        <v>45.449544772660495</v>
      </c>
      <c r="BJ27" s="11">
        <f>49361.5236838252/(10^3)</f>
        <v>49.361523683825205</v>
      </c>
      <c r="BK27" s="11">
        <f>50866.5734451347/(10^3)</f>
        <v>50.866573445134705</v>
      </c>
      <c r="BL27" s="11">
        <f>51103.4783954877/(10^3)</f>
        <v>51.103478395487699</v>
      </c>
      <c r="BM27" s="11">
        <v>53.369144438860204</v>
      </c>
      <c r="BN27" s="11">
        <f>53174.5552810737/(10^3)</f>
        <v>53.174555281073701</v>
      </c>
      <c r="BO27" s="11">
        <f>52639.6276577049/(10^3)</f>
        <v>52.639627657704899</v>
      </c>
      <c r="BP27" s="11">
        <f>50266.1098555431/(10^3)</f>
        <v>50.2661098555431</v>
      </c>
      <c r="BQ27" s="11">
        <f>50144.5461772424/(10^3)</f>
        <v>50.144546177242404</v>
      </c>
      <c r="BR27" s="11">
        <f>48887.9790482805/(10^3)</f>
        <v>48.887979048280499</v>
      </c>
      <c r="BS27" s="11">
        <v>48.809210942238145</v>
      </c>
      <c r="BT27" s="11">
        <f>47697.8444133411/(10^3)</f>
        <v>47.697844413341102</v>
      </c>
      <c r="BU27" s="11">
        <f>47143.3240643391/(10^3)</f>
        <v>47.143324064339097</v>
      </c>
      <c r="BV27" s="11">
        <f>45772.2207676812/(10^3)</f>
        <v>45.772220767681205</v>
      </c>
      <c r="BW27" s="11">
        <f>44450.4957347454/(10^3)</f>
        <v>44.450495734745395</v>
      </c>
      <c r="BX27" s="11">
        <f>44707.5355839628/(10^3)</f>
        <v>44.707535583962802</v>
      </c>
      <c r="BY27" s="11">
        <v>45.430171974432966</v>
      </c>
      <c r="BZ27" s="11">
        <f>47358.6720999771/(10^3)</f>
        <v>47.358672099977099</v>
      </c>
      <c r="CA27" s="11">
        <f>45979.6527590229/(10^3)</f>
        <v>45.979652759022905</v>
      </c>
      <c r="CB27" s="11">
        <f>44631.8737860379/(10^3)</f>
        <v>44.6318737860379</v>
      </c>
      <c r="CC27" s="12"/>
      <c r="DD27" s="11"/>
      <c r="DE27" s="11"/>
      <c r="DF27" s="11"/>
    </row>
    <row r="28" spans="4:110" ht="15" customHeight="1" x14ac:dyDescent="0.25">
      <c r="D28" s="10" t="s">
        <v>110</v>
      </c>
      <c r="E28" s="10" t="s">
        <v>100</v>
      </c>
      <c r="F28" s="10" t="s">
        <v>180</v>
      </c>
      <c r="G28" s="10"/>
      <c r="H28" s="67" t="str">
        <f t="shared" si="2"/>
        <v xml:space="preserve">Harrisburg </v>
      </c>
      <c r="I28" s="11">
        <f>34998/(10^3)</f>
        <v>34.997999999999998</v>
      </c>
      <c r="J28" s="11">
        <f>36712.7932700905/(10^3)</f>
        <v>36.712793270090501</v>
      </c>
      <c r="K28" s="11">
        <v>36.130416268989883</v>
      </c>
      <c r="L28" s="11">
        <f>35234.7926364037/(10^3)</f>
        <v>35.234792636403697</v>
      </c>
      <c r="M28" s="11">
        <f>34217.9204488644/(10^3)</f>
        <v>34.217920448864405</v>
      </c>
      <c r="N28" s="11">
        <f>34718.6116485946/(10^3)</f>
        <v>34.718611648594596</v>
      </c>
      <c r="O28" s="11">
        <f>36391.5242035121/(10^3)</f>
        <v>36.391524203512098</v>
      </c>
      <c r="P28" s="11">
        <f>37534.6292149241/(10^3)</f>
        <v>37.534629214924095</v>
      </c>
      <c r="Q28" s="11">
        <v>37.82661879639371</v>
      </c>
      <c r="R28" s="11">
        <f>38848.9944733776/(10^3)</f>
        <v>38.848994473377601</v>
      </c>
      <c r="S28" s="11">
        <f>38485.7902070887/(10^3)</f>
        <v>38.485790207088698</v>
      </c>
      <c r="T28" s="11">
        <f>37764.7301850049/(10^3)</f>
        <v>37.7647301850049</v>
      </c>
      <c r="U28" s="11">
        <f>36667.7808918814/(10^3)</f>
        <v>36.667780891881399</v>
      </c>
      <c r="V28" s="11">
        <f>36481.3164053559/(10^3)</f>
        <v>36.481316405355898</v>
      </c>
      <c r="W28" s="11">
        <v>37.3640994538653</v>
      </c>
      <c r="X28" s="11">
        <f>36489.3712508062/(10^3)</f>
        <v>36.489371250806201</v>
      </c>
      <c r="Y28" s="11">
        <f>38031.9733258208/(10^3)</f>
        <v>38.0319733258208</v>
      </c>
      <c r="Z28" s="11">
        <f>38289.8889541217/(10^3)</f>
        <v>38.2898889541217</v>
      </c>
      <c r="AA28" s="11">
        <f>40132.9995181035/(10^3)</f>
        <v>40.132999518103496</v>
      </c>
      <c r="AB28" s="11">
        <f>41521.3461602424/(10^3)</f>
        <v>41.521346160242402</v>
      </c>
      <c r="AC28" s="11">
        <v>42.859811002237876</v>
      </c>
      <c r="AD28" s="11">
        <f>43463.1260949702/(10^3)</f>
        <v>43.4631260949702</v>
      </c>
      <c r="AE28" s="11">
        <f>43061.5140301303/(10^3)</f>
        <v>43.061514030130304</v>
      </c>
      <c r="AF28" s="11">
        <f>42347.4572254604/(10^3)</f>
        <v>42.347457225460396</v>
      </c>
      <c r="AG28" s="11">
        <f>42166.074673829/(10^3)</f>
        <v>42.166074673829002</v>
      </c>
      <c r="AH28" s="11">
        <f>41861.4495048314/(10^3)</f>
        <v>41.861449504831398</v>
      </c>
      <c r="AI28" s="11">
        <v>43.182538095743851</v>
      </c>
      <c r="AJ28" s="11">
        <f>44328.8110379345/(10^3)</f>
        <v>44.3288110379345</v>
      </c>
      <c r="AK28" s="11">
        <f>45252.208739511/(10^3)</f>
        <v>45.252208739510998</v>
      </c>
      <c r="AL28" s="11">
        <f>46445.9095568398/(10^3)</f>
        <v>46.445909556839794</v>
      </c>
      <c r="AM28" s="11">
        <f>47544.8394176693/(10^3)</f>
        <v>47.544839417669294</v>
      </c>
      <c r="AN28" s="11">
        <f>49492.2339292381/(10^3)</f>
        <v>49.492233929238097</v>
      </c>
      <c r="AO28" s="11">
        <v>50.579233696692953</v>
      </c>
      <c r="AP28" s="11">
        <f>52614.2792756475/(10^3)</f>
        <v>52.614279275647505</v>
      </c>
      <c r="AQ28" s="11">
        <f>48215.3723083138/(10^3)</f>
        <v>48.215372308313803</v>
      </c>
      <c r="AR28" s="11">
        <f>47383.4666914527/(10^3)</f>
        <v>47.383466691452696</v>
      </c>
      <c r="AS28" s="11">
        <f>47375.3105769559/(10^3)</f>
        <v>47.375310576955897</v>
      </c>
      <c r="AT28" s="11">
        <f>45232.7854230165/(10^3)</f>
        <v>45.232785423016502</v>
      </c>
      <c r="AU28" s="11">
        <v>43.202823144616488</v>
      </c>
      <c r="AV28" s="11">
        <f>41432.3993651724/(10^3)</f>
        <v>41.432399365172401</v>
      </c>
      <c r="AW28" s="11">
        <f>43154.9403541049/(10^3)</f>
        <v>43.154940354104902</v>
      </c>
      <c r="AX28" s="11">
        <f>43711.7888574967/(10^3)</f>
        <v>43.7117888574967</v>
      </c>
      <c r="AY28" s="11">
        <f>45663.7165971851/(10^3)</f>
        <v>45.6637165971851</v>
      </c>
      <c r="AZ28" s="11">
        <f>47242.178126132/(10^3)</f>
        <v>47.242178126131996</v>
      </c>
      <c r="BA28" s="11">
        <v>47.488137748226926</v>
      </c>
      <c r="BB28" s="11">
        <f>47349.9109931049/(10^3)</f>
        <v>47.349910993104899</v>
      </c>
      <c r="BC28" s="11">
        <f>45999.1622313909/(10^3)</f>
        <v>45.999162231390905</v>
      </c>
      <c r="BD28" s="11">
        <f>43298.6082506817/(10^3)</f>
        <v>43.298608250681696</v>
      </c>
      <c r="BE28" s="11">
        <f>40367.1997781619/(10^3)</f>
        <v>40.367199778161897</v>
      </c>
      <c r="BF28" s="11">
        <f>41266.870961738/(10^3)</f>
        <v>41.266870961738</v>
      </c>
      <c r="BG28" s="11">
        <v>40.976144127766588</v>
      </c>
      <c r="BH28" s="11">
        <f>42174.4788799704/(10^3)</f>
        <v>42.174478879970394</v>
      </c>
      <c r="BI28" s="11">
        <f>43025.9285584618/(10^3)</f>
        <v>43.0259285584618</v>
      </c>
      <c r="BJ28" s="11">
        <f>45553.8726248179/(10^3)</f>
        <v>45.553872624817899</v>
      </c>
      <c r="BK28" s="11">
        <f>47117.745732151/(10^3)</f>
        <v>47.117745732151</v>
      </c>
      <c r="BL28" s="11">
        <f>48959.9625732256/(10^3)</f>
        <v>48.959962573225603</v>
      </c>
      <c r="BM28" s="11">
        <v>50.680696960298597</v>
      </c>
      <c r="BN28" s="11">
        <f>49589.7889770098/(10^3)</f>
        <v>49.589788977009796</v>
      </c>
      <c r="BO28" s="11">
        <f>44640.4166061405/(10^3)</f>
        <v>44.640416606140498</v>
      </c>
      <c r="BP28" s="11">
        <f>43049.6731347969/(10^3)</f>
        <v>43.049673134796905</v>
      </c>
      <c r="BQ28" s="11">
        <f>42754.7714258775/(10^3)</f>
        <v>42.7547714258775</v>
      </c>
      <c r="BR28" s="11">
        <f>42211.8884003164/(10^3)</f>
        <v>42.211888400316397</v>
      </c>
      <c r="BS28" s="11">
        <v>41.625901451938262</v>
      </c>
      <c r="BT28" s="11">
        <f>41134.9610984575/(10^3)</f>
        <v>41.134961098457495</v>
      </c>
      <c r="BU28" s="11">
        <f>40659.8742048154/(10^3)</f>
        <v>40.659874204815402</v>
      </c>
      <c r="BV28" s="11">
        <f>39763.3186655852/(10^3)</f>
        <v>39.763318665585196</v>
      </c>
      <c r="BW28" s="11">
        <f>39502.7638864482/(10^3)</f>
        <v>39.5027638864482</v>
      </c>
      <c r="BX28" s="11">
        <f>39678.1943327199/(10^3)</f>
        <v>39.678194332719897</v>
      </c>
      <c r="BY28" s="11">
        <v>40.000090444100699</v>
      </c>
      <c r="BZ28" s="11">
        <f>40656.4551901138/(10^3)</f>
        <v>40.656455190113796</v>
      </c>
      <c r="CA28" s="11">
        <f>38038.0164212337/(10^3)</f>
        <v>38.038016421233699</v>
      </c>
      <c r="CB28" s="11">
        <f>38002.7607591155/(10^3)</f>
        <v>38.002760759115503</v>
      </c>
      <c r="CC28" s="12"/>
      <c r="DD28" s="11"/>
      <c r="DE28" s="11"/>
      <c r="DF28" s="11"/>
    </row>
    <row r="29" spans="4:110" x14ac:dyDescent="0.25">
      <c r="D29" s="10" t="s">
        <v>112</v>
      </c>
      <c r="E29" s="10" t="s">
        <v>100</v>
      </c>
      <c r="F29" s="10" t="s">
        <v>180</v>
      </c>
      <c r="G29" s="10"/>
      <c r="H29" s="67" t="str">
        <f t="shared" si="2"/>
        <v xml:space="preserve">Philadelphia </v>
      </c>
      <c r="I29" s="11">
        <f>111485/(10^3)</f>
        <v>111.485</v>
      </c>
      <c r="J29" s="11">
        <f>108359.29120276/(10^3)</f>
        <v>108.35929120275999</v>
      </c>
      <c r="K29" s="11">
        <v>111.6507534987108</v>
      </c>
      <c r="L29" s="11">
        <f>109871.187233353/(10^3)</f>
        <v>109.871187233353</v>
      </c>
      <c r="M29" s="11">
        <f>109421.477100448/(10^3)</f>
        <v>109.421477100448</v>
      </c>
      <c r="N29" s="11">
        <f>117958.375162572/(10^3)</f>
        <v>117.958375162572</v>
      </c>
      <c r="O29" s="11">
        <f>119512.780404337/(10^3)</f>
        <v>119.51278040433699</v>
      </c>
      <c r="P29" s="11">
        <f>125035.682591139/(10^3)</f>
        <v>125.03568259113901</v>
      </c>
      <c r="Q29" s="11">
        <v>126.55436177172844</v>
      </c>
      <c r="R29" s="11">
        <f>122977.470783421/(10^3)</f>
        <v>122.977470783421</v>
      </c>
      <c r="S29" s="11">
        <f>122725.888858983/(10^3)</f>
        <v>122.725888858983</v>
      </c>
      <c r="T29" s="11">
        <f>119627.628277001/(10^3)</f>
        <v>119.62762827700099</v>
      </c>
      <c r="U29" s="11">
        <f>119295.15821871/(10^3)</f>
        <v>119.29515821871</v>
      </c>
      <c r="V29" s="11">
        <f>115783.34367002/(10^3)</f>
        <v>115.78334367002</v>
      </c>
      <c r="W29" s="11">
        <v>121.21764709273641</v>
      </c>
      <c r="X29" s="11">
        <f>124287.207751728/(10^3)</f>
        <v>124.287207751728</v>
      </c>
      <c r="Y29" s="11">
        <f>125433.999711247/(10^3)</f>
        <v>125.433999711247</v>
      </c>
      <c r="Z29" s="11">
        <f>121817.406448494/(10^3)</f>
        <v>121.817406448494</v>
      </c>
      <c r="AA29" s="11">
        <f>125523.766292239/(10^3)</f>
        <v>125.523766292239</v>
      </c>
      <c r="AB29" s="11">
        <f>126327.110581923/(10^3)</f>
        <v>126.32711058192299</v>
      </c>
      <c r="AC29" s="11">
        <v>127.13987561127054</v>
      </c>
      <c r="AD29" s="11">
        <f>132857.419706516/(10^3)</f>
        <v>132.857419706516</v>
      </c>
      <c r="AE29" s="11">
        <f>128104.090401203/(10^3)</f>
        <v>128.104090401203</v>
      </c>
      <c r="AF29" s="11">
        <f>115840.356245018/(10^3)</f>
        <v>115.840356245018</v>
      </c>
      <c r="AG29" s="11">
        <f>114857.252567689/(10^3)</f>
        <v>114.857252567689</v>
      </c>
      <c r="AH29" s="11">
        <f>115146.000787194/(10^3)</f>
        <v>115.146000787194</v>
      </c>
      <c r="AI29" s="11">
        <v>117.88792454341744</v>
      </c>
      <c r="AJ29" s="11">
        <f>114852.096736727/(10^3)</f>
        <v>114.85209673672701</v>
      </c>
      <c r="AK29" s="11">
        <f>112641.034491363/(10^3)</f>
        <v>112.641034491363</v>
      </c>
      <c r="AL29" s="11">
        <f>112884.571112752/(10^3)</f>
        <v>112.884571112752</v>
      </c>
      <c r="AM29" s="11">
        <f>118003.636251596/(10^3)</f>
        <v>118.00363625159601</v>
      </c>
      <c r="AN29" s="11">
        <f>121862.622400922/(10^3)</f>
        <v>121.86262240092201</v>
      </c>
      <c r="AO29" s="11">
        <v>124.06798236820387</v>
      </c>
      <c r="AP29" s="11">
        <f>128570.149564014/(10^3)</f>
        <v>128.570149564014</v>
      </c>
      <c r="AQ29" s="11">
        <f>117787.333038895/(10^3)</f>
        <v>117.787333038895</v>
      </c>
      <c r="AR29" s="11">
        <f>114291.293263474/(10^3)</f>
        <v>114.291293263474</v>
      </c>
      <c r="AS29" s="11">
        <f>111393.481084783/(10^3)</f>
        <v>111.39348108478299</v>
      </c>
      <c r="AT29" s="11">
        <f>107497.102064293/(10^3)</f>
        <v>107.49710206429299</v>
      </c>
      <c r="AU29" s="11">
        <v>106.17106622711246</v>
      </c>
      <c r="AV29" s="11">
        <f>105238.052952286/(10^3)</f>
        <v>105.238052952286</v>
      </c>
      <c r="AW29" s="11">
        <f>109017.120756849/(10^3)</f>
        <v>109.01712075684901</v>
      </c>
      <c r="AX29" s="11">
        <f>113958.585040989/(10^3)</f>
        <v>113.95858504098899</v>
      </c>
      <c r="AY29" s="11">
        <f>117662.537798392/(10^3)</f>
        <v>117.66253779839201</v>
      </c>
      <c r="AZ29" s="11">
        <f>118408.792025468/(10^3)</f>
        <v>118.408792025468</v>
      </c>
      <c r="BA29" s="11">
        <v>124.31376721679612</v>
      </c>
      <c r="BB29" s="11">
        <f>124328.220865225/(10^3)</f>
        <v>124.32822086522499</v>
      </c>
      <c r="BC29" s="11">
        <f>115004.845066374/(10^3)</f>
        <v>115.00484506637399</v>
      </c>
      <c r="BD29" s="11">
        <f>114218.048261061/(10^3)</f>
        <v>114.218048261061</v>
      </c>
      <c r="BE29" s="11">
        <f>106257.187978758/(10^3)</f>
        <v>106.257187978758</v>
      </c>
      <c r="BF29" s="11">
        <f>107497.234362883/(10^3)</f>
        <v>107.49723436288299</v>
      </c>
      <c r="BG29" s="11">
        <v>112.60090219953292</v>
      </c>
      <c r="BH29" s="11">
        <f>116277.669307976/(10^3)</f>
        <v>116.277669307976</v>
      </c>
      <c r="BI29" s="11">
        <f>113197.736386115/(10^3)</f>
        <v>113.197736386115</v>
      </c>
      <c r="BJ29" s="11">
        <f>118521.328744405/(10^3)</f>
        <v>118.521328744405</v>
      </c>
      <c r="BK29" s="11">
        <f>124442.603943848/(10^3)</f>
        <v>124.442603943848</v>
      </c>
      <c r="BL29" s="11">
        <f>128725.873880989/(10^3)</f>
        <v>128.72587388098901</v>
      </c>
      <c r="BM29" s="11">
        <v>133.67697407748491</v>
      </c>
      <c r="BN29" s="11">
        <f>134219.940261858/(10^3)</f>
        <v>134.219940261858</v>
      </c>
      <c r="BO29" s="11">
        <f>129554.912033549/(10^3)</f>
        <v>129.55491203354899</v>
      </c>
      <c r="BP29" s="11">
        <f>124496.296485372/(10^3)</f>
        <v>124.496296485372</v>
      </c>
      <c r="BQ29" s="11">
        <f>123122.292919384/(10^3)</f>
        <v>123.12229291938399</v>
      </c>
      <c r="BR29" s="11">
        <f>119794.371513415/(10^3)</f>
        <v>119.794371513415</v>
      </c>
      <c r="BS29" s="11">
        <v>117.36844286267203</v>
      </c>
      <c r="BT29" s="11">
        <f>116015.561028679/(10^3)</f>
        <v>116.015561028679</v>
      </c>
      <c r="BU29" s="11">
        <f>113789.884066742/(10^3)</f>
        <v>113.789884066742</v>
      </c>
      <c r="BV29" s="11">
        <f>111050.042040625/(10^3)</f>
        <v>111.050042040625</v>
      </c>
      <c r="BW29" s="11">
        <f>110058.894787659/(10^3)</f>
        <v>110.058894787659</v>
      </c>
      <c r="BX29" s="11">
        <f>111014.324244836/(10^3)</f>
        <v>111.01432424483599</v>
      </c>
      <c r="BY29" s="11">
        <v>114.51571759905939</v>
      </c>
      <c r="BZ29" s="11">
        <f>117729.032654827/(10^3)</f>
        <v>117.72903265482699</v>
      </c>
      <c r="CA29" s="11">
        <f>108388.186085306/(10^3)</f>
        <v>108.388186085306</v>
      </c>
      <c r="CB29" s="11">
        <f>105886.715760713/(10^3)</f>
        <v>105.886715760713</v>
      </c>
      <c r="CC29" s="12"/>
      <c r="DD29" s="11"/>
      <c r="DE29" s="11"/>
      <c r="DF29" s="11"/>
    </row>
    <row r="30" spans="4:110" x14ac:dyDescent="0.25">
      <c r="D30" s="10" t="s">
        <v>114</v>
      </c>
      <c r="E30" s="10" t="s">
        <v>103</v>
      </c>
      <c r="F30" s="10" t="s">
        <v>180</v>
      </c>
      <c r="G30" s="10"/>
      <c r="H30" s="67" t="str">
        <f t="shared" si="2"/>
        <v xml:space="preserve">Providence </v>
      </c>
      <c r="I30" s="11">
        <f>12800/(10^3)</f>
        <v>12.8</v>
      </c>
      <c r="J30" s="11">
        <f>12889.451288834/(10^3)</f>
        <v>12.889451288834</v>
      </c>
      <c r="K30" s="11">
        <v>12.640331810100731</v>
      </c>
      <c r="L30" s="11">
        <f>12362.5820716958/(10^3)</f>
        <v>12.362582071695801</v>
      </c>
      <c r="M30" s="11">
        <f>12153.8326510236/(10^3)</f>
        <v>12.153832651023601</v>
      </c>
      <c r="N30" s="11">
        <f>12458.8331762848/(10^3)</f>
        <v>12.458833176284799</v>
      </c>
      <c r="O30" s="11">
        <f>12819.437795726/(10^3)</f>
        <v>12.819437795726</v>
      </c>
      <c r="P30" s="11">
        <f>12950.9794755337/(10^3)</f>
        <v>12.950979475533702</v>
      </c>
      <c r="Q30" s="11">
        <v>13.123316078588656</v>
      </c>
      <c r="R30" s="11">
        <f>13471.5738104953/(10^3)</f>
        <v>13.4715738104953</v>
      </c>
      <c r="S30" s="11">
        <f>12400.6146638301/(10^3)</f>
        <v>12.400614663830099</v>
      </c>
      <c r="T30" s="11">
        <f>11926.4725210881/(10^3)</f>
        <v>11.926472521088101</v>
      </c>
      <c r="U30" s="11">
        <f>11635.4493697614/(10^3)</f>
        <v>11.6354493697614</v>
      </c>
      <c r="V30" s="11">
        <f>12139.0221062706/(10^3)</f>
        <v>12.1390221062706</v>
      </c>
      <c r="W30" s="11">
        <v>11.888638781530798</v>
      </c>
      <c r="X30" s="11">
        <f>11748.2947652819/(10^3)</f>
        <v>11.7482947652819</v>
      </c>
      <c r="Y30" s="11">
        <f>12282.5680888686/(10^3)</f>
        <v>12.282568088868601</v>
      </c>
      <c r="Z30" s="11">
        <f>12084.9225705803/(10^3)</f>
        <v>12.0849225705803</v>
      </c>
      <c r="AA30" s="11">
        <f>12267.9700637734/(10^3)</f>
        <v>12.267970063773401</v>
      </c>
      <c r="AB30" s="11">
        <f>12203.6548402116/(10^3)</f>
        <v>12.2036548402116</v>
      </c>
      <c r="AC30" s="11">
        <v>12.6320149157165</v>
      </c>
      <c r="AD30" s="11">
        <f>12385.9687995091/(10^3)</f>
        <v>12.385968799509101</v>
      </c>
      <c r="AE30" s="11">
        <f>11367.2088943693/(10^3)</f>
        <v>11.3672088943693</v>
      </c>
      <c r="AF30" s="11">
        <f>11157.6674095722/(10^3)</f>
        <v>11.157667409572198</v>
      </c>
      <c r="AG30" s="11">
        <f>10841.2513027927/(10^3)</f>
        <v>10.841251302792699</v>
      </c>
      <c r="AH30" s="11">
        <f>10807.0305965548/(10^3)</f>
        <v>10.807030596554799</v>
      </c>
      <c r="AI30" s="11">
        <v>11.12031589568395</v>
      </c>
      <c r="AJ30" s="11">
        <f>11366.3185356471/(10^3)</f>
        <v>11.3663185356471</v>
      </c>
      <c r="AK30" s="11">
        <f>11073.3006394809/(10^3)</f>
        <v>11.0733006394809</v>
      </c>
      <c r="AL30" s="11">
        <f>11607.2392826792/(10^3)</f>
        <v>11.607239282679201</v>
      </c>
      <c r="AM30" s="11">
        <f>11473.8643847155/(10^3)</f>
        <v>11.473864384715499</v>
      </c>
      <c r="AN30" s="11">
        <f>11298.0095320156/(10^3)</f>
        <v>11.2980095320156</v>
      </c>
      <c r="AO30" s="11">
        <v>11.265048212655046</v>
      </c>
      <c r="AP30" s="11">
        <f>11303.7780954344/(10^3)</f>
        <v>11.303778095434399</v>
      </c>
      <c r="AQ30" s="11">
        <f>11431.4786835974/(10^3)</f>
        <v>11.431478683597399</v>
      </c>
      <c r="AR30" s="11">
        <f>11938.6862962858/(10^3)</f>
        <v>11.9386862962858</v>
      </c>
      <c r="AS30" s="11">
        <f>11912.2258840349/(10^3)</f>
        <v>11.9122258840349</v>
      </c>
      <c r="AT30" s="11">
        <f>11809.4171030379/(10^3)</f>
        <v>11.8094171030379</v>
      </c>
      <c r="AU30" s="11">
        <v>11.931059515607636</v>
      </c>
      <c r="AV30" s="11">
        <f>12038.7469379353/(10^3)</f>
        <v>12.038746937935301</v>
      </c>
      <c r="AW30" s="11">
        <f>12105.5808538758/(10^3)</f>
        <v>12.1055808538758</v>
      </c>
      <c r="AX30" s="11">
        <f>13085.8710528823/(10^3)</f>
        <v>13.085871052882299</v>
      </c>
      <c r="AY30" s="11">
        <f>13725.690893642/(10^3)</f>
        <v>13.725690893642</v>
      </c>
      <c r="AZ30" s="11">
        <f>14131.1782810176/(10^3)</f>
        <v>14.131178281017599</v>
      </c>
      <c r="BA30" s="11">
        <v>14.741856891306597</v>
      </c>
      <c r="BB30" s="11">
        <f>14562.9454558783/(10^3)</f>
        <v>14.5629454558783</v>
      </c>
      <c r="BC30" s="11">
        <f>13725.3756844523/(10^3)</f>
        <v>13.725375684452299</v>
      </c>
      <c r="BD30" s="11">
        <f>13080.1255933515/(10^3)</f>
        <v>13.0801255933515</v>
      </c>
      <c r="BE30" s="11">
        <f>11833.248611113/(10^3)</f>
        <v>11.833248611113</v>
      </c>
      <c r="BF30" s="11">
        <f>11878.4907850023/(10^3)</f>
        <v>11.878490785002299</v>
      </c>
      <c r="BG30" s="11">
        <v>12.299139363986603</v>
      </c>
      <c r="BH30" s="11">
        <f>12642.4363122904/(10^3)</f>
        <v>12.6424363122904</v>
      </c>
      <c r="BI30" s="11">
        <f>13124.4783725437/(10^3)</f>
        <v>13.124478372543699</v>
      </c>
      <c r="BJ30" s="11">
        <f>13223.8038334746/(10^3)</f>
        <v>13.2238038334746</v>
      </c>
      <c r="BK30" s="11">
        <f>13534.6857709628/(10^3)</f>
        <v>13.534685770962801</v>
      </c>
      <c r="BL30" s="11">
        <f>13775.9584106299/(10^3)</f>
        <v>13.775958410629901</v>
      </c>
      <c r="BM30" s="11">
        <v>14.35631061815265</v>
      </c>
      <c r="BN30" s="11">
        <f>14232.4724512034/(10^3)</f>
        <v>14.232472451203401</v>
      </c>
      <c r="BO30" s="11">
        <f>13359.9512381631/(10^3)</f>
        <v>13.359951238163099</v>
      </c>
      <c r="BP30" s="11">
        <f>12934.0619896926/(10^3)</f>
        <v>12.9340619896926</v>
      </c>
      <c r="BQ30" s="11">
        <f>12880.0740739669/(10^3)</f>
        <v>12.880074073966901</v>
      </c>
      <c r="BR30" s="11">
        <f>12507.5682449513/(10^3)</f>
        <v>12.507568244951301</v>
      </c>
      <c r="BS30" s="11">
        <v>12.426224776005231</v>
      </c>
      <c r="BT30" s="11">
        <f>12165.4828423209/(10^3)</f>
        <v>12.1654828423209</v>
      </c>
      <c r="BU30" s="11">
        <f>11869.9001173208/(10^3)</f>
        <v>11.8699001173208</v>
      </c>
      <c r="BV30" s="11">
        <f>11515.2739034883/(10^3)</f>
        <v>11.5152739034883</v>
      </c>
      <c r="BW30" s="11">
        <f>11266.0205895186/(10^3)</f>
        <v>11.2660205895186</v>
      </c>
      <c r="BX30" s="11">
        <f>11759.0185005773/(10^3)</f>
        <v>11.7590185005773</v>
      </c>
      <c r="BY30" s="11">
        <v>11.886248974580294</v>
      </c>
      <c r="BZ30" s="11">
        <f>11753.8907576652/(10^3)</f>
        <v>11.7538907576652</v>
      </c>
      <c r="CA30" s="11">
        <f>11425.7050282503/(10^3)</f>
        <v>11.425705028250301</v>
      </c>
      <c r="CB30" s="11">
        <f>11005.7992173623/(10^3)</f>
        <v>11.0057992173623</v>
      </c>
      <c r="CC30" s="12"/>
      <c r="DD30" s="11"/>
      <c r="DE30" s="11"/>
      <c r="DF30" s="11"/>
    </row>
    <row r="31" spans="4:110" x14ac:dyDescent="0.25">
      <c r="D31" s="10" t="s">
        <v>116</v>
      </c>
      <c r="E31" s="10" t="s">
        <v>104</v>
      </c>
      <c r="F31" s="10" t="s">
        <v>150</v>
      </c>
      <c r="G31" s="10"/>
      <c r="H31" s="67" t="str">
        <f t="shared" si="2"/>
        <v xml:space="preserve">Columbia </v>
      </c>
      <c r="I31" s="11">
        <f>9332/(10^3)</f>
        <v>9.3320000000000007</v>
      </c>
      <c r="J31" s="11">
        <f>9754.68273366962/(10^3)</f>
        <v>9.75468273366962</v>
      </c>
      <c r="K31" s="11">
        <v>10.146112713006335</v>
      </c>
      <c r="L31" s="11">
        <f>10095.8972008391/(10^3)</f>
        <v>10.095897200839099</v>
      </c>
      <c r="M31" s="11">
        <f>10393.8569579623/(10^3)</f>
        <v>10.393856957962299</v>
      </c>
      <c r="N31" s="11">
        <f>11174.990125537/(10^3)</f>
        <v>11.174990125537001</v>
      </c>
      <c r="O31" s="11">
        <f>11208.5744988071/(10^3)</f>
        <v>11.208574498807099</v>
      </c>
      <c r="P31" s="11">
        <f>11765.167602313/(10^3)</f>
        <v>11.765167602313001</v>
      </c>
      <c r="Q31" s="11">
        <v>12.302637045254569</v>
      </c>
      <c r="R31" s="11">
        <f>12052.2172845774/(10^3)</f>
        <v>12.0522172845774</v>
      </c>
      <c r="S31" s="11">
        <f>11108.9374306966/(10^3)</f>
        <v>11.108937430696599</v>
      </c>
      <c r="T31" s="11">
        <f>11092.2509917231/(10^3)</f>
        <v>11.0922509917231</v>
      </c>
      <c r="U31" s="11">
        <f>10925.814813889/(10^3)</f>
        <v>10.925814813889</v>
      </c>
      <c r="V31" s="11">
        <f>10898.6572146114/(10^3)</f>
        <v>10.898657214611399</v>
      </c>
      <c r="W31" s="11">
        <v>10.706810005970759</v>
      </c>
      <c r="X31" s="11">
        <f>11229.8736495401/(10^3)</f>
        <v>11.229873649540101</v>
      </c>
      <c r="Y31" s="11">
        <f>11036.6890536853/(10^3)</f>
        <v>11.036689053685301</v>
      </c>
      <c r="Z31" s="11">
        <f>11555.7359535133/(10^3)</f>
        <v>11.555735953513301</v>
      </c>
      <c r="AA31" s="11">
        <f>11509.8249471237/(10^3)</f>
        <v>11.5098249471237</v>
      </c>
      <c r="AB31" s="11">
        <f>11219.7341405563/(10^3)</f>
        <v>11.2197341405563</v>
      </c>
      <c r="AC31" s="11">
        <v>11.115206246719628</v>
      </c>
      <c r="AD31" s="11">
        <f>11025.4718849569/(10^3)</f>
        <v>11.0254718849569</v>
      </c>
      <c r="AE31" s="11">
        <f>10280.8288833533/(10^3)</f>
        <v>10.280828883353301</v>
      </c>
      <c r="AF31" s="11">
        <f>10089.2080441995/(10^3)</f>
        <v>10.0892080441995</v>
      </c>
      <c r="AG31" s="11">
        <f>9940.77797781178/(10^3)</f>
        <v>9.9407779778117806</v>
      </c>
      <c r="AH31" s="11">
        <f>10253.7184858599/(10^3)</f>
        <v>10.253718485859899</v>
      </c>
      <c r="AI31" s="11">
        <v>9.9514518483022893</v>
      </c>
      <c r="AJ31" s="11">
        <f>9824.13008251693/(10^3)</f>
        <v>9.8241300825169287</v>
      </c>
      <c r="AK31" s="11">
        <f>10093.7706052828/(10^3)</f>
        <v>10.093770605282799</v>
      </c>
      <c r="AL31" s="11">
        <f>10474.7524654653/(10^3)</f>
        <v>10.474752465465301</v>
      </c>
      <c r="AM31" s="11">
        <f>10708.6999946853/(10^3)</f>
        <v>10.708699994685299</v>
      </c>
      <c r="AN31" s="11">
        <f>10634.0450794755/(10^3)</f>
        <v>10.6340450794755</v>
      </c>
      <c r="AO31" s="11">
        <v>10.701046318348217</v>
      </c>
      <c r="AP31" s="11">
        <f>10547.2955643289/(10^3)</f>
        <v>10.5472955643289</v>
      </c>
      <c r="AQ31" s="11">
        <f>10974.0416036119/(10^3)</f>
        <v>10.9740416036119</v>
      </c>
      <c r="AR31" s="11">
        <f>10831.4833633512/(10^3)</f>
        <v>10.8314833633512</v>
      </c>
      <c r="AS31" s="11">
        <f>11349.2496145364/(10^3)</f>
        <v>11.349249614536401</v>
      </c>
      <c r="AT31" s="11">
        <f>11574.8691673113/(10^3)</f>
        <v>11.5748691673113</v>
      </c>
      <c r="AU31" s="11">
        <v>11.877235720058053</v>
      </c>
      <c r="AV31" s="11">
        <f>11783.8258534716/(10^3)</f>
        <v>11.783825853471601</v>
      </c>
      <c r="AW31" s="11">
        <f>12146.5331292571/(10^3)</f>
        <v>12.146533129257101</v>
      </c>
      <c r="AX31" s="11">
        <f>13337.6912782646/(10^3)</f>
        <v>13.3376912782646</v>
      </c>
      <c r="AY31" s="11">
        <f>13344.7214872884/(10^3)</f>
        <v>13.3447214872884</v>
      </c>
      <c r="AZ31" s="11">
        <f>13539.9404607366/(10^3)</f>
        <v>13.539940460736599</v>
      </c>
      <c r="BA31" s="11">
        <v>13.571854470250747</v>
      </c>
      <c r="BB31" s="11">
        <f>13596.6503796697/(10^3)</f>
        <v>13.5966503796697</v>
      </c>
      <c r="BC31" s="11">
        <f>12841.0439905876/(10^3)</f>
        <v>12.841043990587599</v>
      </c>
      <c r="BD31" s="11">
        <f>11664.3560770711/(10^3)</f>
        <v>11.664356077071099</v>
      </c>
      <c r="BE31" s="11">
        <f>10698.4905336537/(10^3)</f>
        <v>10.698490533653699</v>
      </c>
      <c r="BF31" s="11">
        <f>10642.3152520563/(10^3)</f>
        <v>10.642315252056299</v>
      </c>
      <c r="BG31" s="11">
        <v>10.674269548559421</v>
      </c>
      <c r="BH31" s="11">
        <f>10979.4854938736/(10^3)</f>
        <v>10.9794854938736</v>
      </c>
      <c r="BI31" s="11">
        <f>11380.5941130394/(10^3)</f>
        <v>11.3805941130394</v>
      </c>
      <c r="BJ31" s="11">
        <f>11515.8834750137/(10^3)</f>
        <v>11.5158834750137</v>
      </c>
      <c r="BK31" s="11">
        <f>11884.621767404/(10^3)</f>
        <v>11.884621767403999</v>
      </c>
      <c r="BL31" s="11">
        <f>12102.8416334645/(10^3)</f>
        <v>12.1028416334645</v>
      </c>
      <c r="BM31" s="11">
        <v>12.534363984351936</v>
      </c>
      <c r="BN31" s="11">
        <f>12470.0476525194/(10^3)</f>
        <v>12.470047652519401</v>
      </c>
      <c r="BO31" s="11">
        <f>12302.8237440766/(10^3)</f>
        <v>12.302823744076601</v>
      </c>
      <c r="BP31" s="11">
        <f>12254.1684695737/(10^3)</f>
        <v>12.254168469573701</v>
      </c>
      <c r="BQ31" s="11">
        <f>12037.6895677502/(10^3)</f>
        <v>12.037689567750199</v>
      </c>
      <c r="BR31" s="11">
        <f>11798.1257844612/(10^3)</f>
        <v>11.798125784461199</v>
      </c>
      <c r="BS31" s="11">
        <v>11.699406396968326</v>
      </c>
      <c r="BT31" s="11">
        <f>11407.7047358121/(10^3)</f>
        <v>11.4077047358121</v>
      </c>
      <c r="BU31" s="11">
        <f>11190.8999430016/(10^3)</f>
        <v>11.190899943001599</v>
      </c>
      <c r="BV31" s="11">
        <f>11170.4890609695/(10^3)</f>
        <v>11.1704890609695</v>
      </c>
      <c r="BW31" s="11">
        <f>11024.2533355697/(10^3)</f>
        <v>11.0242533355697</v>
      </c>
      <c r="BX31" s="11">
        <f>11139.4162477971/(10^3)</f>
        <v>11.139416247797101</v>
      </c>
      <c r="BY31" s="11">
        <v>11.345159521923302</v>
      </c>
      <c r="BZ31" s="11">
        <f>11345.1595219233/(10^3)</f>
        <v>11.3451595219233</v>
      </c>
      <c r="CA31" s="11">
        <f>10688.8089479065/(10^3)</f>
        <v>10.6888089479065</v>
      </c>
      <c r="CB31" s="11">
        <f>10409.8187204026/(10^3)</f>
        <v>10.409818720402599</v>
      </c>
      <c r="CC31" s="12"/>
      <c r="DD31" s="11"/>
      <c r="DE31" s="11"/>
      <c r="DF31" s="11"/>
    </row>
    <row r="32" spans="4:110" x14ac:dyDescent="0.25">
      <c r="D32" s="10" t="s">
        <v>117</v>
      </c>
      <c r="E32" s="10" t="s">
        <v>104</v>
      </c>
      <c r="F32" s="10" t="s">
        <v>150</v>
      </c>
      <c r="G32" s="10"/>
      <c r="H32" s="67" t="str">
        <f t="shared" si="2"/>
        <v xml:space="preserve">Charleston </v>
      </c>
      <c r="I32" s="11">
        <f>6107/(10^3)</f>
        <v>6.1070000000000002</v>
      </c>
      <c r="J32" s="11">
        <f>5937.71639573674/(10^3)</f>
        <v>5.9377163957367403</v>
      </c>
      <c r="K32" s="11">
        <v>5.7953481661224986</v>
      </c>
      <c r="L32" s="11">
        <f>5623.07721424899/(10^3)</f>
        <v>5.6230772142489895</v>
      </c>
      <c r="M32" s="11">
        <f>5701.30958483361/(10^3)</f>
        <v>5.7013095848336102</v>
      </c>
      <c r="N32" s="11">
        <f>6139.48095688701/(10^3)</f>
        <v>6.1394809568870095</v>
      </c>
      <c r="O32" s="11">
        <f>6435.85429697286/(10^3)</f>
        <v>6.4358542969728596</v>
      </c>
      <c r="P32" s="11">
        <f>6439.62047283683/(10^3)</f>
        <v>6.4396204728368298</v>
      </c>
      <c r="Q32" s="11">
        <v>6.5639470479073596</v>
      </c>
      <c r="R32" s="11">
        <f>6834.49642336561/(10^3)</f>
        <v>6.8344964233656098</v>
      </c>
      <c r="S32" s="11">
        <f>6627.90698818141/(10^3)</f>
        <v>6.6279069881814099</v>
      </c>
      <c r="T32" s="11">
        <f>6360.34894904256/(10^3)</f>
        <v>6.3603489490425602</v>
      </c>
      <c r="U32" s="11">
        <f>6306.00900574405/(10^3)</f>
        <v>6.3060090057440501</v>
      </c>
      <c r="V32" s="11">
        <f>6462.5987720362/(10^3)</f>
        <v>6.4625987720362001</v>
      </c>
      <c r="W32" s="11">
        <v>6.4603395470333611</v>
      </c>
      <c r="X32" s="11">
        <f>6307.72904359441/(10^3)</f>
        <v>6.30772904359441</v>
      </c>
      <c r="Y32" s="11">
        <f>6311.46938967713/(10^3)</f>
        <v>6.3114693896771294</v>
      </c>
      <c r="Z32" s="11">
        <f>6587.26319478991/(10^3)</f>
        <v>6.5872631947899096</v>
      </c>
      <c r="AA32" s="11">
        <f>6850.89811450349/(10^3)</f>
        <v>6.8508981145034902</v>
      </c>
      <c r="AB32" s="11">
        <f>7053.90818099328/(10^3)</f>
        <v>7.0539081809932807</v>
      </c>
      <c r="AC32" s="11">
        <v>7.2466667643486105</v>
      </c>
      <c r="AD32" s="11">
        <f>7341.80288686917/(10^3)</f>
        <v>7.3418028868691696</v>
      </c>
      <c r="AE32" s="11">
        <f>7008.00062976361/(10^3)</f>
        <v>7.0080006297636102</v>
      </c>
      <c r="AF32" s="11">
        <f>6728.29447580309/(10^3)</f>
        <v>6.7282944758030903</v>
      </c>
      <c r="AG32" s="11">
        <f>6540.50146358051/(10^3)</f>
        <v>6.5405014635805099</v>
      </c>
      <c r="AH32" s="11">
        <f>6515.59408953635/(10^3)</f>
        <v>6.51559408953635</v>
      </c>
      <c r="AI32" s="11">
        <v>6.5317728567518589</v>
      </c>
      <c r="AJ32" s="11">
        <f>6474.24932820479/(10^3)</f>
        <v>6.4742493282047899</v>
      </c>
      <c r="AK32" s="11">
        <f>6395.31510393904/(10^3)</f>
        <v>6.3953151039390397</v>
      </c>
      <c r="AL32" s="11">
        <f>6424.89295984933/(10^3)</f>
        <v>6.4248929598493296</v>
      </c>
      <c r="AM32" s="11">
        <f>6592.18160313878/(10^3)</f>
        <v>6.5921816031387799</v>
      </c>
      <c r="AN32" s="11">
        <f>6727.42291234509/(10^3)</f>
        <v>6.7274229123450899</v>
      </c>
      <c r="AO32" s="11">
        <v>6.8841421285922717</v>
      </c>
      <c r="AP32" s="11">
        <f>6976.79031759844/(10^3)</f>
        <v>6.9767903175984403</v>
      </c>
      <c r="AQ32" s="11">
        <f>6789.62402477834/(10^3)</f>
        <v>6.7896240247783402</v>
      </c>
      <c r="AR32" s="11">
        <f>6935.51613244059/(10^3)</f>
        <v>6.9355161324405898</v>
      </c>
      <c r="AS32" s="11">
        <f>7018.55658782548/(10^3)</f>
        <v>7.0185565878254801</v>
      </c>
      <c r="AT32" s="11">
        <f>6977.29281647041/(10^3)</f>
        <v>6.9772928164704098</v>
      </c>
      <c r="AU32" s="11">
        <v>6.7865374892043002</v>
      </c>
      <c r="AV32" s="11">
        <f>6777.62081172812/(10^3)</f>
        <v>6.77762081172812</v>
      </c>
      <c r="AW32" s="11">
        <f>6929.54983053126/(10^3)</f>
        <v>6.9295498305312604</v>
      </c>
      <c r="AX32" s="11">
        <f>7030.66451475057/(10^3)</f>
        <v>7.03066451475057</v>
      </c>
      <c r="AY32" s="11">
        <f>7048.13386725568/(10^3)</f>
        <v>7.0481338672556806</v>
      </c>
      <c r="AZ32" s="11">
        <f>7105.9722142286/(10^3)</f>
        <v>7.1059722142285997</v>
      </c>
      <c r="BA32" s="11">
        <v>7.252759909813884</v>
      </c>
      <c r="BB32" s="11">
        <f>7224.04038036142/(10^3)</f>
        <v>7.2240403803614202</v>
      </c>
      <c r="BC32" s="11">
        <f>6917.70985860864/(10^3)</f>
        <v>6.9177098586086405</v>
      </c>
      <c r="BD32" s="11">
        <f>6852.39122752878/(10^3)</f>
        <v>6.8523912275287806</v>
      </c>
      <c r="BE32" s="11">
        <f>6719.50181059994/(10^3)</f>
        <v>6.7195018105999393</v>
      </c>
      <c r="BF32" s="11">
        <f>6695.9905939719/(10^3)</f>
        <v>6.6959905939719002</v>
      </c>
      <c r="BG32" s="11">
        <v>6.7792936242752555</v>
      </c>
      <c r="BH32" s="11">
        <f>6883.85033965515/(10^3)</f>
        <v>6.8838503396551491</v>
      </c>
      <c r="BI32" s="11">
        <f>6983.5006792561/(10^3)</f>
        <v>6.9835006792560996</v>
      </c>
      <c r="BJ32" s="11">
        <f>7525.81938106624/(10^3)</f>
        <v>7.5258193810662393</v>
      </c>
      <c r="BK32" s="11">
        <f>7610.0247485434/(10^3)</f>
        <v>7.6100247485433998</v>
      </c>
      <c r="BL32" s="11">
        <f>7758.97010570828/(10^3)</f>
        <v>7.7589701057082801</v>
      </c>
      <c r="BM32" s="11">
        <v>8.0970852726384166</v>
      </c>
      <c r="BN32" s="11">
        <f>8433.86980844381/(10^3)</f>
        <v>8.4338698084438093</v>
      </c>
      <c r="BO32" s="11">
        <f>8058.4318114448/(10^3)</f>
        <v>8.0584318114447999</v>
      </c>
      <c r="BP32" s="11">
        <f>7825.18158392241/(10^3)</f>
        <v>7.8251815839224097</v>
      </c>
      <c r="BQ32" s="11">
        <f>7773.99296231328/(10^3)</f>
        <v>7.7739929623132804</v>
      </c>
      <c r="BR32" s="11">
        <f>7601.98227501972/(10^3)</f>
        <v>7.6019822750197203</v>
      </c>
      <c r="BS32" s="11">
        <v>7.413066741758918</v>
      </c>
      <c r="BT32" s="11">
        <f>7327.62840272286/(10^3)</f>
        <v>7.3276284027228602</v>
      </c>
      <c r="BU32" s="11">
        <f>7259.58181276133/(10^3)</f>
        <v>7.2595818127613301</v>
      </c>
      <c r="BV32" s="11">
        <f>7067.42225359593/(10^3)</f>
        <v>7.0674222535959297</v>
      </c>
      <c r="BW32" s="11">
        <f>6908.37428173285/(10^3)</f>
        <v>6.9083742817328506</v>
      </c>
      <c r="BX32" s="11">
        <f>6916.21727670297/(10^3)</f>
        <v>6.9162172767029695</v>
      </c>
      <c r="BY32" s="11">
        <v>7.1543806193755319</v>
      </c>
      <c r="BZ32" s="11">
        <f>7154.38061937553/(10^3)</f>
        <v>7.1543806193755302</v>
      </c>
      <c r="CA32" s="11">
        <f>6718.19701866869/(10^3)</f>
        <v>6.7181970186686906</v>
      </c>
      <c r="CB32" s="11">
        <f>6680.86856168989/(10^3)</f>
        <v>6.6808685616898904</v>
      </c>
      <c r="CC32" s="12"/>
      <c r="DD32" s="11"/>
      <c r="DE32" s="11"/>
      <c r="DF32" s="11"/>
    </row>
    <row r="33" spans="4:110" x14ac:dyDescent="0.25">
      <c r="D33" s="10" t="s">
        <v>118</v>
      </c>
      <c r="E33" s="10" t="s">
        <v>111</v>
      </c>
      <c r="F33" s="10" t="s">
        <v>150</v>
      </c>
      <c r="G33" s="10"/>
      <c r="H33" s="67" t="str">
        <f t="shared" si="2"/>
        <v xml:space="preserve">Richmond </v>
      </c>
      <c r="I33" s="11">
        <f>12693/(10^3)</f>
        <v>12.693</v>
      </c>
      <c r="J33" s="11">
        <f>13286.2834427689/(10^3)</f>
        <v>13.2862834427689</v>
      </c>
      <c r="K33" s="11">
        <v>13.000763729479607</v>
      </c>
      <c r="L33" s="11">
        <f>13385.9695591017/(10^3)</f>
        <v>13.385969559101701</v>
      </c>
      <c r="M33" s="11">
        <f>13376.2476745593/(10^3)</f>
        <v>13.3762476745593</v>
      </c>
      <c r="N33" s="11">
        <f>14327.0588894691/(10^3)</f>
        <v>14.3270588894691</v>
      </c>
      <c r="O33" s="11">
        <f>14438.8865482832/(10^3)</f>
        <v>14.4388865482832</v>
      </c>
      <c r="P33" s="11">
        <f>14949.472721407/(10^3)</f>
        <v>14.949472721407</v>
      </c>
      <c r="Q33" s="11">
        <v>15.667067480199192</v>
      </c>
      <c r="R33" s="11">
        <f>16191.1646939267/(10^3)</f>
        <v>16.191164693926698</v>
      </c>
      <c r="S33" s="11">
        <f>15465.3920815646/(10^3)</f>
        <v>15.4653920815646</v>
      </c>
      <c r="T33" s="11">
        <f>15296.5441095872/(10^3)</f>
        <v>15.296544109587199</v>
      </c>
      <c r="U33" s="11">
        <f>15256.4895103631/(10^3)</f>
        <v>15.256489510363101</v>
      </c>
      <c r="V33" s="11">
        <f>15769.7336515988/(10^3)</f>
        <v>15.7697336515988</v>
      </c>
      <c r="W33" s="11">
        <v>15.849409283713644</v>
      </c>
      <c r="X33" s="11">
        <f>16156.5161568564/(10^3)</f>
        <v>16.156516156856402</v>
      </c>
      <c r="Y33" s="11">
        <f>16083.4917798644/(10^3)</f>
        <v>16.083491779864399</v>
      </c>
      <c r="Z33" s="11">
        <f>16645.3763941232/(10^3)</f>
        <v>16.6453763941232</v>
      </c>
      <c r="AA33" s="11">
        <f>17440.3342179415/(10^3)</f>
        <v>17.440334217941501</v>
      </c>
      <c r="AB33" s="11">
        <f>17752.7249937701/(10^3)</f>
        <v>17.752724993770101</v>
      </c>
      <c r="AC33" s="11">
        <v>17.823924659901383</v>
      </c>
      <c r="AD33" s="11">
        <f>17344.5950901851/(10^3)</f>
        <v>17.344595090185098</v>
      </c>
      <c r="AE33" s="11">
        <f>16138.0959121689/(10^3)</f>
        <v>16.1380959121689</v>
      </c>
      <c r="AF33" s="11">
        <f>15621.5383721426/(10^3)</f>
        <v>15.6215383721426</v>
      </c>
      <c r="AG33" s="11">
        <f>15237.8646376606/(10^3)</f>
        <v>15.2378646376606</v>
      </c>
      <c r="AH33" s="11">
        <f>15900.0374704338/(10^3)</f>
        <v>15.9000374704338</v>
      </c>
      <c r="AI33" s="11">
        <v>16.496053242366894</v>
      </c>
      <c r="AJ33" s="11">
        <f>16750.4598866972/(10^3)</f>
        <v>16.7504598866972</v>
      </c>
      <c r="AK33" s="11">
        <f>16853.847695548/(10^3)</f>
        <v>16.853847695548001</v>
      </c>
      <c r="AL33" s="11">
        <f>17628.0750721125/(10^3)</f>
        <v>17.628075072112502</v>
      </c>
      <c r="AM33" s="11">
        <f>17884.6900848356/(10^3)</f>
        <v>17.884690084835601</v>
      </c>
      <c r="AN33" s="11">
        <f>18496.0668291423/(10^3)</f>
        <v>18.4960668291423</v>
      </c>
      <c r="AO33" s="11">
        <v>18.333212988743412</v>
      </c>
      <c r="AP33" s="11">
        <f>17942.0199957407/(10^3)</f>
        <v>17.942019995740697</v>
      </c>
      <c r="AQ33" s="11">
        <f>18788.4377692722/(10^3)</f>
        <v>18.7884377692722</v>
      </c>
      <c r="AR33" s="11">
        <f>19475.3715214098/(10^3)</f>
        <v>19.475371521409802</v>
      </c>
      <c r="AS33" s="11">
        <f>19208.2806367148/(10^3)</f>
        <v>19.2082806367148</v>
      </c>
      <c r="AT33" s="11">
        <f>19968.9163101855/(10^3)</f>
        <v>19.968916310185502</v>
      </c>
      <c r="AU33" s="11">
        <v>19.870330992148041</v>
      </c>
      <c r="AV33" s="11">
        <f>20614.2037387555/(10^3)</f>
        <v>20.614203738755499</v>
      </c>
      <c r="AW33" s="11">
        <f>20097.9974549529/(10^3)</f>
        <v>20.0979974549529</v>
      </c>
      <c r="AX33" s="11">
        <f>21650.617211781/(10^3)</f>
        <v>21.650617211780997</v>
      </c>
      <c r="AY33" s="11">
        <f>22429.1669144178/(10^3)</f>
        <v>22.429166914417802</v>
      </c>
      <c r="AZ33" s="11">
        <f>22536.1109029653/(10^3)</f>
        <v>22.536110902965302</v>
      </c>
      <c r="BA33" s="11">
        <v>22.834201110468278</v>
      </c>
      <c r="BB33" s="11">
        <f>23415.6120513444/(10^3)</f>
        <v>23.4156120513444</v>
      </c>
      <c r="BC33" s="11">
        <f>22321.452561705/(10^3)</f>
        <v>22.321452561704998</v>
      </c>
      <c r="BD33" s="11">
        <f>20747.3933813751/(10^3)</f>
        <v>20.747393381375097</v>
      </c>
      <c r="BE33" s="11">
        <f>18994.7961947837/(10^3)</f>
        <v>18.994796194783699</v>
      </c>
      <c r="BF33" s="11">
        <f>18571.2767434627/(10^3)</f>
        <v>18.571276743462697</v>
      </c>
      <c r="BG33" s="11">
        <v>19.142263829693995</v>
      </c>
      <c r="BH33" s="11">
        <f>18929.3010306762/(10^3)</f>
        <v>18.9293010306762</v>
      </c>
      <c r="BI33" s="11">
        <f>19468.1040931939/(10^3)</f>
        <v>19.468104093193897</v>
      </c>
      <c r="BJ33" s="11">
        <f>20358.8666058381/(10^3)</f>
        <v>20.358866605838099</v>
      </c>
      <c r="BK33" s="11">
        <f>21117.5306635947/(10^3)</f>
        <v>21.117530663594703</v>
      </c>
      <c r="BL33" s="11">
        <f>21758.4847226219/(10^3)</f>
        <v>21.758484722621898</v>
      </c>
      <c r="BM33" s="11">
        <v>21.784797049306103</v>
      </c>
      <c r="BN33" s="11">
        <f>22117.5317977872/(10^3)</f>
        <v>22.117531797787201</v>
      </c>
      <c r="BO33" s="11">
        <f>20308.7528389698/(10^3)</f>
        <v>20.308752838969802</v>
      </c>
      <c r="BP33" s="11">
        <f>19990.0695364551/(10^3)</f>
        <v>19.990069536455099</v>
      </c>
      <c r="BQ33" s="11">
        <f>19836.222032377/(10^3)</f>
        <v>19.836222032377002</v>
      </c>
      <c r="BR33" s="11">
        <f>20263.826642674/(10^3)</f>
        <v>20.263826642674001</v>
      </c>
      <c r="BS33" s="11">
        <v>20.352772211534603</v>
      </c>
      <c r="BT33" s="11">
        <f>21248.5467439805/(10^3)</f>
        <v>21.248546743980501</v>
      </c>
      <c r="BU33" s="11">
        <f>22122.6620145106/(10^3)</f>
        <v>22.122662014510599</v>
      </c>
      <c r="BV33" s="11">
        <f>23184.8813716606/(10^3)</f>
        <v>23.184881371660598</v>
      </c>
      <c r="BW33" s="11">
        <f>24043.9910993219/(10^3)</f>
        <v>24.043991099321897</v>
      </c>
      <c r="BX33" s="11">
        <f>25231.9685542603/(10^3)</f>
        <v>25.231968554260302</v>
      </c>
      <c r="BY33" s="11">
        <v>25.408914976257563</v>
      </c>
      <c r="BZ33" s="11">
        <f>25408.9149762576/(10^3)</f>
        <v>25.408914976257602</v>
      </c>
      <c r="CA33" s="11">
        <f>22943.6521024269/(10^3)</f>
        <v>22.943652102426899</v>
      </c>
      <c r="CB33" s="11">
        <f>22246.9974691101/(10^3)</f>
        <v>22.246997469110102</v>
      </c>
      <c r="CC33" s="12"/>
      <c r="DD33" s="11"/>
      <c r="DE33" s="11"/>
      <c r="DF33" s="11"/>
    </row>
    <row r="34" spans="4:110" x14ac:dyDescent="0.25">
      <c r="D34" s="10" t="s">
        <v>119</v>
      </c>
      <c r="E34" s="10" t="s">
        <v>111</v>
      </c>
      <c r="F34" s="10" t="s">
        <v>150</v>
      </c>
      <c r="G34" s="10"/>
      <c r="H34" s="67" t="str">
        <f t="shared" si="2"/>
        <v xml:space="preserve">Virginia Beach </v>
      </c>
      <c r="I34" s="11">
        <f>6501/(10^3)</f>
        <v>6.5010000000000003</v>
      </c>
      <c r="J34" s="11">
        <f>6712.47315490541/(10^3)</f>
        <v>6.7124731549054104</v>
      </c>
      <c r="K34" s="11">
        <v>6.6389217804936269</v>
      </c>
      <c r="L34" s="11">
        <f>6746.26772444023/(10^3)</f>
        <v>6.74626772444023</v>
      </c>
      <c r="M34" s="11">
        <f>6757.36735824865/(10^3)</f>
        <v>6.7573673582486498</v>
      </c>
      <c r="N34" s="11">
        <f>7191.47301427632/(10^3)</f>
        <v>7.1914730142763199</v>
      </c>
      <c r="O34" s="11">
        <f>7436.96241849238/(10^3)</f>
        <v>7.4369624184923797</v>
      </c>
      <c r="P34" s="11">
        <f>7742.26177214575/(10^3)</f>
        <v>7.7422617721457501</v>
      </c>
      <c r="Q34" s="11">
        <v>7.9491406279798076</v>
      </c>
      <c r="R34" s="11">
        <f>8088.190946777/(10^3)</f>
        <v>8.0881909467770008</v>
      </c>
      <c r="S34" s="11">
        <f>7527.64218714063/(10^3)</f>
        <v>7.5276421871406303</v>
      </c>
      <c r="T34" s="11">
        <f>7278.62379411656/(10^3)</f>
        <v>7.2786237941165597</v>
      </c>
      <c r="U34" s="11">
        <f>7195.24771525471/(10^3)</f>
        <v>7.1952477152547099</v>
      </c>
      <c r="V34" s="11">
        <f>7187.49292778478/(10^3)</f>
        <v>7.1874929277847794</v>
      </c>
      <c r="W34" s="11">
        <v>7.3101705521994917</v>
      </c>
      <c r="X34" s="11">
        <f>7293.13621595451/(10^3)</f>
        <v>7.2931362159545099</v>
      </c>
      <c r="Y34" s="11">
        <f>7234.64799689552/(10^3)</f>
        <v>7.2346479968955197</v>
      </c>
      <c r="Z34" s="11">
        <f>7268.13058955287/(10^3)</f>
        <v>7.2681305895528707</v>
      </c>
      <c r="AA34" s="11">
        <f>7496.97354192085/(10^3)</f>
        <v>7.4969735419208501</v>
      </c>
      <c r="AB34" s="11">
        <f>7850.23831897317/(10^3)</f>
        <v>7.8502383189731697</v>
      </c>
      <c r="AC34" s="11">
        <v>8.0128139431839962</v>
      </c>
      <c r="AD34" s="11">
        <f>8174.12171986811/(10^3)</f>
        <v>8.1741217198681095</v>
      </c>
      <c r="AE34" s="11">
        <f>7628.40871425727/(10^3)</f>
        <v>7.6284087142572696</v>
      </c>
      <c r="AF34" s="11">
        <f>7430.95571672789/(10^3)</f>
        <v>7.4309557167278903</v>
      </c>
      <c r="AG34" s="11">
        <f>7414.58430986166/(10^3)</f>
        <v>7.4145843098616595</v>
      </c>
      <c r="AH34" s="11">
        <f>7698.37788799133/(10^3)</f>
        <v>7.69837788799133</v>
      </c>
      <c r="AI34" s="11">
        <v>7.9218205616635808</v>
      </c>
      <c r="AJ34" s="11">
        <f>8143.25526760108/(10^3)</f>
        <v>8.1432552676010808</v>
      </c>
      <c r="AK34" s="11">
        <f>7940.7266376815/(10^3)</f>
        <v>7.9407266376814993</v>
      </c>
      <c r="AL34" s="11">
        <f>8066.82284631149/(10^3)</f>
        <v>8.0668228463114904</v>
      </c>
      <c r="AM34" s="11">
        <f>7895.46723492378/(10^3)</f>
        <v>7.89546723492378</v>
      </c>
      <c r="AN34" s="11">
        <f>8011.3616224388/(10^3)</f>
        <v>8.0113616224388</v>
      </c>
      <c r="AO34" s="11">
        <v>8.3326212968647262</v>
      </c>
      <c r="AP34" s="11">
        <f>8334.43678021459/(10^3)</f>
        <v>8.33443678021459</v>
      </c>
      <c r="AQ34" s="11">
        <f>8619.01946081097/(10^3)</f>
        <v>8.6190194608109714</v>
      </c>
      <c r="AR34" s="11">
        <f>8392.67429928904/(10^3)</f>
        <v>8.3926742992890393</v>
      </c>
      <c r="AS34" s="11">
        <f>8412.40513749983/(10^3)</f>
        <v>8.4124051374998299</v>
      </c>
      <c r="AT34" s="11">
        <f>8561.37815743527/(10^3)</f>
        <v>8.5613781574352714</v>
      </c>
      <c r="AU34" s="11">
        <v>8.9317842185208569</v>
      </c>
      <c r="AV34" s="11">
        <f>9231.08110261878/(10^3)</f>
        <v>9.2310811026187807</v>
      </c>
      <c r="AW34" s="11">
        <f>9093.72087492515/(10^3)</f>
        <v>9.0937208749251504</v>
      </c>
      <c r="AX34" s="11">
        <f>9221.2078056002/(10^3)</f>
        <v>9.2212078056001996</v>
      </c>
      <c r="AY34" s="11">
        <f>9648.76906699693/(10^3)</f>
        <v>9.6487690669969304</v>
      </c>
      <c r="AZ34" s="11">
        <f>9998.16780631151/(10^3)</f>
        <v>9.9981678063115105</v>
      </c>
      <c r="BA34" s="11">
        <v>10.457939469408835</v>
      </c>
      <c r="BB34" s="11">
        <f>10620.9547239115/(10^3)</f>
        <v>10.620954723911501</v>
      </c>
      <c r="BC34" s="11">
        <f>9717.59560319615/(10^3)</f>
        <v>9.7175956031961501</v>
      </c>
      <c r="BD34" s="11">
        <f>8784.82507023696/(10^3)</f>
        <v>8.7848250702369608</v>
      </c>
      <c r="BE34" s="11">
        <f>8164.14837258842/(10^3)</f>
        <v>8.1641483725884196</v>
      </c>
      <c r="BF34" s="11">
        <f>8133.68136752695/(10^3)</f>
        <v>8.1336813675269504</v>
      </c>
      <c r="BG34" s="11">
        <v>8.4655246972806175</v>
      </c>
      <c r="BH34" s="11">
        <f>8549.79001021951/(10^3)</f>
        <v>8.5497900102195103</v>
      </c>
      <c r="BI34" s="11">
        <f>8692.55211587666/(10^3)</f>
        <v>8.6925521158766603</v>
      </c>
      <c r="BJ34" s="11">
        <f>8812.70128984902/(10^3)</f>
        <v>8.81270128984902</v>
      </c>
      <c r="BK34" s="11">
        <f>9234.06680045301/(10^3)</f>
        <v>9.2340668004530109</v>
      </c>
      <c r="BL34" s="11">
        <f>9427.94743113966/(10^3)</f>
        <v>9.4279474311396605</v>
      </c>
      <c r="BM34" s="11">
        <v>9.5298986076905958</v>
      </c>
      <c r="BN34" s="11">
        <f>9908.14119900017/(10^3)</f>
        <v>9.9081411990001715</v>
      </c>
      <c r="BO34" s="11">
        <f>9721.43716957288/(10^3)</f>
        <v>9.7214371695728801</v>
      </c>
      <c r="BP34" s="11">
        <f>9706.55988170131/(10^3)</f>
        <v>9.7065598817013115</v>
      </c>
      <c r="BQ34" s="11">
        <f>9510.72291741531/(10^3)</f>
        <v>9.5107229174153112</v>
      </c>
      <c r="BR34" s="11">
        <f>9979.69419265708/(10^3)</f>
        <v>9.9796941926570799</v>
      </c>
      <c r="BS34" s="11">
        <v>10.298763558254128</v>
      </c>
      <c r="BT34" s="11">
        <f>10669.0263275431/(10^3)</f>
        <v>10.669026327543101</v>
      </c>
      <c r="BU34" s="11">
        <f>11156.2688505196/(10^3)</f>
        <v>11.1562688505196</v>
      </c>
      <c r="BV34" s="11">
        <f>11559.5791279623/(10^3)</f>
        <v>11.559579127962301</v>
      </c>
      <c r="BW34" s="11">
        <f>12013.79333124/(10^3)</f>
        <v>12.01379333124</v>
      </c>
      <c r="BX34" s="11">
        <f>12559.52316508/(10^3)</f>
        <v>12.55952316508</v>
      </c>
      <c r="BY34" s="11">
        <v>13.132163414228931</v>
      </c>
      <c r="BZ34" s="11">
        <f>13132.1634142289/(10^3)</f>
        <v>13.1321634142289</v>
      </c>
      <c r="CA34" s="11">
        <f>13017.7632087658/(10^3)</f>
        <v>13.0177632087658</v>
      </c>
      <c r="CB34" s="11">
        <f>12968.1630523395/(10^3)</f>
        <v>12.9681630523395</v>
      </c>
      <c r="CC34" s="12"/>
      <c r="DD34" s="11"/>
      <c r="DE34" s="11"/>
      <c r="DF34" s="11"/>
    </row>
    <row r="35" spans="4:110" x14ac:dyDescent="0.25">
      <c r="D35" s="10" t="s">
        <v>120</v>
      </c>
      <c r="E35" s="10" t="s">
        <v>113</v>
      </c>
      <c r="F35" s="10" t="s">
        <v>180</v>
      </c>
      <c r="G35" s="10"/>
      <c r="H35" s="67" t="str">
        <f t="shared" si="2"/>
        <v xml:space="preserve">Montpelier </v>
      </c>
      <c r="I35" s="11">
        <f>14952/(10^3)</f>
        <v>14.952</v>
      </c>
      <c r="J35" s="11">
        <f>15578.8707246729/(10^3)</f>
        <v>15.578870724672901</v>
      </c>
      <c r="K35" s="11">
        <v>15.567457881486835</v>
      </c>
      <c r="L35" s="11">
        <f>15877.8440663853/(10^3)</f>
        <v>15.8778440663853</v>
      </c>
      <c r="M35" s="11">
        <f>16298.9916117507/(10^3)</f>
        <v>16.298991611750701</v>
      </c>
      <c r="N35" s="11">
        <f>17097.1434682253/(10^3)</f>
        <v>17.097143468225298</v>
      </c>
      <c r="O35" s="11">
        <f>17453.9679783488/(10^3)</f>
        <v>17.4539679783488</v>
      </c>
      <c r="P35" s="11">
        <f>18301.5013824977/(10^3)</f>
        <v>18.301501382497701</v>
      </c>
      <c r="Q35" s="11">
        <v>18.557935111428399</v>
      </c>
      <c r="R35" s="11">
        <f>19010.8192762126/(10^3)</f>
        <v>19.010819276212597</v>
      </c>
      <c r="S35" s="11">
        <f>18633.425172978/(10^3)</f>
        <v>18.633425172978001</v>
      </c>
      <c r="T35" s="11">
        <f>18440.1737100203/(10^3)</f>
        <v>18.4401737100203</v>
      </c>
      <c r="U35" s="11">
        <f>17962.3243033739/(10^3)</f>
        <v>17.962324303373901</v>
      </c>
      <c r="V35" s="11">
        <f>18364.0990532548/(10^3)</f>
        <v>18.364099053254797</v>
      </c>
      <c r="W35" s="11">
        <v>18.872800360368299</v>
      </c>
      <c r="X35" s="11">
        <f>18728.3781906178/(10^3)</f>
        <v>18.7283781906178</v>
      </c>
      <c r="Y35" s="11">
        <f>18904.8447336362/(10^3)</f>
        <v>18.9048447336362</v>
      </c>
      <c r="Z35" s="11">
        <f>19149.5088916928/(10^3)</f>
        <v>19.1495088916928</v>
      </c>
      <c r="AA35" s="11">
        <f>19877.8748704957/(10^3)</f>
        <v>19.877874870495699</v>
      </c>
      <c r="AB35" s="11">
        <f>20236.7269327106/(10^3)</f>
        <v>20.236726932710599</v>
      </c>
      <c r="AC35" s="11">
        <v>20.957818766665596</v>
      </c>
      <c r="AD35" s="11">
        <f>21445.6733955066/(10^3)</f>
        <v>21.445673395506603</v>
      </c>
      <c r="AE35" s="11">
        <f>20884.9303892026/(10^3)</f>
        <v>20.884930389202601</v>
      </c>
      <c r="AF35" s="11">
        <f>20512.2174900077/(10^3)</f>
        <v>20.5122174900077</v>
      </c>
      <c r="AG35" s="11">
        <f>19917.865307476/(10^3)</f>
        <v>19.917865307475999</v>
      </c>
      <c r="AH35" s="11">
        <f>20559.4395325624/(10^3)</f>
        <v>20.559439532562401</v>
      </c>
      <c r="AI35" s="11">
        <v>20.732256801954197</v>
      </c>
      <c r="AJ35" s="11">
        <f>21743.5616761771/(10^3)</f>
        <v>21.743561676177102</v>
      </c>
      <c r="AK35" s="11">
        <f>21847.2843117775/(10^3)</f>
        <v>21.8472843117775</v>
      </c>
      <c r="AL35" s="11">
        <f>22268.6578775721/(10^3)</f>
        <v>22.2686578775721</v>
      </c>
      <c r="AM35" s="11">
        <f>23213.2825341642/(10^3)</f>
        <v>23.213282534164197</v>
      </c>
      <c r="AN35" s="11">
        <f>23853.6931018152/(10^3)</f>
        <v>23.8536931018152</v>
      </c>
      <c r="AO35" s="11">
        <v>23.972496025370649</v>
      </c>
      <c r="AP35" s="11">
        <f>23726.7649321276/(10^3)</f>
        <v>23.726764932127601</v>
      </c>
      <c r="AQ35" s="11">
        <f>23038.4676085562/(10^3)</f>
        <v>23.0384676085562</v>
      </c>
      <c r="AR35" s="11">
        <f>23687.0014726015/(10^3)</f>
        <v>23.687001472601501</v>
      </c>
      <c r="AS35" s="11">
        <f>23203.0531292431/(10^3)</f>
        <v>23.203053129243102</v>
      </c>
      <c r="AT35" s="11">
        <f>23908.2255292106/(10^3)</f>
        <v>23.908225529210597</v>
      </c>
      <c r="AU35" s="11">
        <v>23.783341216702439</v>
      </c>
      <c r="AV35" s="11">
        <f>23097.3598358726/(10^3)</f>
        <v>23.097359835872602</v>
      </c>
      <c r="AW35" s="11">
        <f>23753.2554143175/(10^3)</f>
        <v>23.753255414317501</v>
      </c>
      <c r="AX35" s="11">
        <f>23774.09501805/(10^3)</f>
        <v>23.774095018050001</v>
      </c>
      <c r="AY35" s="11">
        <f>23856.5282175523/(10^3)</f>
        <v>23.856528217552299</v>
      </c>
      <c r="AZ35" s="11">
        <f>24413.3612739656/(10^3)</f>
        <v>24.413361273965599</v>
      </c>
      <c r="BA35" s="11">
        <v>25.338067038319728</v>
      </c>
      <c r="BB35" s="11">
        <f>25849.6943094845/(10^3)</f>
        <v>25.849694309484502</v>
      </c>
      <c r="BC35" s="11">
        <f>24821.4295091343/(10^3)</f>
        <v>24.821429509134301</v>
      </c>
      <c r="BD35" s="11">
        <f>24301.3124275141/(10^3)</f>
        <v>24.301312427514102</v>
      </c>
      <c r="BE35" s="11">
        <f>23806.6780683292/(10^3)</f>
        <v>23.806678068329202</v>
      </c>
      <c r="BF35" s="11">
        <f>23252.3520559057/(10^3)</f>
        <v>23.2523520559057</v>
      </c>
      <c r="BG35" s="11">
        <v>22.689957721946804</v>
      </c>
      <c r="BH35" s="11">
        <f>23427.4203309154/(10^3)</f>
        <v>23.4274203309154</v>
      </c>
      <c r="BI35" s="11">
        <f>24125.1043009716/(10^3)</f>
        <v>24.1251043009716</v>
      </c>
      <c r="BJ35" s="11">
        <f>24919.716707298/(10^3)</f>
        <v>24.919716707298001</v>
      </c>
      <c r="BK35" s="11">
        <f>25538.0183416475/(10^3)</f>
        <v>25.538018341647501</v>
      </c>
      <c r="BL35" s="11">
        <f>26148.5139279485/(10^3)</f>
        <v>26.1485139279485</v>
      </c>
      <c r="BM35" s="11">
        <v>26.392230125034491</v>
      </c>
      <c r="BN35" s="11">
        <f>27494.9990050424/(10^3)</f>
        <v>27.494999005042398</v>
      </c>
      <c r="BO35" s="11">
        <f>24746.2157260477/(10^3)</f>
        <v>24.746215726047701</v>
      </c>
      <c r="BP35" s="11">
        <f>23534.1143797672/(10^3)</f>
        <v>23.5341143797672</v>
      </c>
      <c r="BQ35" s="11">
        <f>23405.8986230334/(10^3)</f>
        <v>23.405898623033401</v>
      </c>
      <c r="BR35" s="11">
        <f>23974.5075935096/(10^3)</f>
        <v>23.9745075935096</v>
      </c>
      <c r="BS35" s="11">
        <v>24.075408811481296</v>
      </c>
      <c r="BT35" s="11">
        <f>24471.1066530877/(10^3)</f>
        <v>24.471106653087698</v>
      </c>
      <c r="BU35" s="11">
        <f>24981.3018326329/(10^3)</f>
        <v>24.981301832632901</v>
      </c>
      <c r="BV35" s="11">
        <f>26117.4819188365/(10^3)</f>
        <v>26.1174819188365</v>
      </c>
      <c r="BW35" s="11">
        <f>26473.0033606087/(10^3)</f>
        <v>26.473003360608701</v>
      </c>
      <c r="BX35" s="11">
        <f>27262.6023420015/(10^3)</f>
        <v>27.2626023420015</v>
      </c>
      <c r="BY35" s="11">
        <v>28.19883913981208</v>
      </c>
      <c r="BZ35" s="11">
        <f>28198.8391398121/(10^3)</f>
        <v>28.198839139812097</v>
      </c>
      <c r="CA35" s="11">
        <f>27794.6030117088/(10^3)</f>
        <v>27.794603011708801</v>
      </c>
      <c r="CB35" s="11">
        <f>26552.5772588742/(10^3)</f>
        <v>26.552577258874202</v>
      </c>
      <c r="CC35" s="12"/>
      <c r="DD35" s="11"/>
      <c r="DE35" s="11"/>
      <c r="DF35" s="11"/>
    </row>
    <row r="36" spans="4:110" x14ac:dyDescent="0.25">
      <c r="D36" s="10" t="s">
        <v>121</v>
      </c>
      <c r="E36" s="10" t="s">
        <v>113</v>
      </c>
      <c r="F36" s="10" t="s">
        <v>180</v>
      </c>
      <c r="G36" s="10"/>
      <c r="H36" s="67" t="str">
        <f t="shared" si="2"/>
        <v xml:space="preserve">Burlington </v>
      </c>
      <c r="I36" s="11">
        <f>8872/(10^3)</f>
        <v>8.8719999999999999</v>
      </c>
      <c r="J36" s="11">
        <f>8952.16861472733/(10^3)</f>
        <v>8.9521686147273307</v>
      </c>
      <c r="K36" s="11">
        <v>9.1306268637162376</v>
      </c>
      <c r="L36" s="11">
        <f>9404.1124643866/(10^3)</f>
        <v>9.4041124643865999</v>
      </c>
      <c r="M36" s="11">
        <f>9300.49955510591/(10^3)</f>
        <v>9.30049955510591</v>
      </c>
      <c r="N36" s="11">
        <f>10050.2220833843/(10^3)</f>
        <v>10.0502220833843</v>
      </c>
      <c r="O36" s="11">
        <f>10441.0961647761/(10^3)</f>
        <v>10.4410961647761</v>
      </c>
      <c r="P36" s="11">
        <f>10624.4948525202/(10^3)</f>
        <v>10.624494852520201</v>
      </c>
      <c r="Q36" s="11">
        <v>10.70644810810859</v>
      </c>
      <c r="R36" s="11">
        <f>10827.1268395036/(10^3)</f>
        <v>10.827126839503601</v>
      </c>
      <c r="S36" s="11">
        <f>10700.2116301044/(10^3)</f>
        <v>10.7002116301044</v>
      </c>
      <c r="T36" s="11">
        <f>10195.6660641482/(10^3)</f>
        <v>10.195666064148199</v>
      </c>
      <c r="U36" s="11">
        <f>10182.1293166847/(10^3)</f>
        <v>10.182129316684701</v>
      </c>
      <c r="V36" s="11">
        <f>10263.7437097648/(10^3)</f>
        <v>10.2637437097648</v>
      </c>
      <c r="W36" s="11">
        <v>10.314592202162531</v>
      </c>
      <c r="X36" s="11">
        <f>10372.1923997238/(10^3)</f>
        <v>10.372192399723799</v>
      </c>
      <c r="Y36" s="11">
        <f>10350.2505507202/(10^3)</f>
        <v>10.350250550720201</v>
      </c>
      <c r="Z36" s="11">
        <f>10763.603852911/(10^3)</f>
        <v>10.763603852910999</v>
      </c>
      <c r="AA36" s="11">
        <f>11291.9746261298/(10^3)</f>
        <v>11.2919746261298</v>
      </c>
      <c r="AB36" s="11">
        <f>11558.5120812683/(10^3)</f>
        <v>11.558512081268299</v>
      </c>
      <c r="AC36" s="11">
        <v>12.100535186006299</v>
      </c>
      <c r="AD36" s="11">
        <f>12634.410717452/(10^3)</f>
        <v>12.634410717451999</v>
      </c>
      <c r="AE36" s="11">
        <f>11982.5729424662/(10^3)</f>
        <v>11.9825729424662</v>
      </c>
      <c r="AF36" s="11">
        <f>11878.9547457585/(10^3)</f>
        <v>11.878954745758499</v>
      </c>
      <c r="AG36" s="11">
        <f>11647.3977565999/(10^3)</f>
        <v>11.647397756599899</v>
      </c>
      <c r="AH36" s="11">
        <f>11504.8393008451/(10^3)</f>
        <v>11.5048393008451</v>
      </c>
      <c r="AI36" s="11">
        <v>11.493045578117441</v>
      </c>
      <c r="AJ36" s="11">
        <f>11589.6776860026/(10^3)</f>
        <v>11.589677686002601</v>
      </c>
      <c r="AK36" s="11">
        <f>11586.321771853/(10^3)</f>
        <v>11.586321771852999</v>
      </c>
      <c r="AL36" s="11">
        <f>11559.7378230782/(10^3)</f>
        <v>11.5597378230782</v>
      </c>
      <c r="AM36" s="11">
        <f>11379.5540022232/(10^3)</f>
        <v>11.3795540022232</v>
      </c>
      <c r="AN36" s="11">
        <f>11881.3627101434/(10^3)</f>
        <v>11.881362710143399</v>
      </c>
      <c r="AO36" s="11">
        <v>12.258807843592585</v>
      </c>
      <c r="AP36" s="11">
        <f>12264.8312914399/(10^3)</f>
        <v>12.264831291439899</v>
      </c>
      <c r="AQ36" s="11">
        <f>12490.2541911596/(10^3)</f>
        <v>12.4902541911596</v>
      </c>
      <c r="AR36" s="11">
        <f>12222.9934558093/(10^3)</f>
        <v>12.222993455809299</v>
      </c>
      <c r="AS36" s="11">
        <f>12360.3338898866/(10^3)</f>
        <v>12.360333889886601</v>
      </c>
      <c r="AT36" s="11">
        <f>12374.7494124096/(10^3)</f>
        <v>12.374749412409599</v>
      </c>
      <c r="AU36" s="11">
        <v>12.56399263229831</v>
      </c>
      <c r="AV36" s="11">
        <f>13088.2165848701/(10^3)</f>
        <v>13.0882165848701</v>
      </c>
      <c r="AW36" s="11">
        <f>13367.8803082709/(10^3)</f>
        <v>13.3678803082709</v>
      </c>
      <c r="AX36" s="11">
        <f>14066.7309529591/(10^3)</f>
        <v>14.0667309529591</v>
      </c>
      <c r="AY36" s="11">
        <f>14578.4366737625/(10^3)</f>
        <v>14.5784366737625</v>
      </c>
      <c r="AZ36" s="11">
        <f>14851.1264746203/(10^3)</f>
        <v>14.851126474620299</v>
      </c>
      <c r="BA36" s="11">
        <v>15.56527475220815</v>
      </c>
      <c r="BB36" s="11">
        <f>15997.8112577974/(10^3)</f>
        <v>15.9978112577974</v>
      </c>
      <c r="BC36" s="11">
        <f>14680.1861141656/(10^3)</f>
        <v>14.6801861141656</v>
      </c>
      <c r="BD36" s="11">
        <f>14479.7185429878/(10^3)</f>
        <v>14.479718542987801</v>
      </c>
      <c r="BE36" s="11">
        <f>14313.9615843481/(10^3)</f>
        <v>14.313961584348101</v>
      </c>
      <c r="BF36" s="11">
        <f>13949.8506667425/(10^3)</f>
        <v>13.949850666742501</v>
      </c>
      <c r="BG36" s="11">
        <v>14.57102088931166</v>
      </c>
      <c r="BH36" s="11">
        <f>14996.9569518386/(10^3)</f>
        <v>14.9969569518386</v>
      </c>
      <c r="BI36" s="11">
        <f>15079.8979512595/(10^3)</f>
        <v>15.0798979512595</v>
      </c>
      <c r="BJ36" s="11">
        <f>15368.7085128379/(10^3)</f>
        <v>15.3687085128379</v>
      </c>
      <c r="BK36" s="11">
        <f>16055.8568816148/(10^3)</f>
        <v>16.055856881614801</v>
      </c>
      <c r="BL36" s="11">
        <f>16160.3442404275/(10^3)</f>
        <v>16.160344240427499</v>
      </c>
      <c r="BM36" s="11">
        <v>16.285472542709005</v>
      </c>
      <c r="BN36" s="11">
        <f>16797.5363534263/(10^3)</f>
        <v>16.797536353426302</v>
      </c>
      <c r="BO36" s="11">
        <f>15718.1481321809/(10^3)</f>
        <v>15.7181481321809</v>
      </c>
      <c r="BP36" s="11">
        <f>15657.1237273499/(10^3)</f>
        <v>15.6571237273499</v>
      </c>
      <c r="BQ36" s="11">
        <f>15464.1332275272/(10^3)</f>
        <v>15.464133227527199</v>
      </c>
      <c r="BR36" s="11">
        <f>15047.7001744606/(10^3)</f>
        <v>15.0477001744606</v>
      </c>
      <c r="BS36" s="11">
        <v>15.284803303995588</v>
      </c>
      <c r="BT36" s="11">
        <f>15071.8438603484/(10^3)</f>
        <v>15.0718438603484</v>
      </c>
      <c r="BU36" s="11">
        <f>15668.7447285348/(10^3)</f>
        <v>15.668744728534801</v>
      </c>
      <c r="BV36" s="11">
        <f>15950.8915583788/(10^3)</f>
        <v>15.9508915583788</v>
      </c>
      <c r="BW36" s="11">
        <f>16682.6513849429/(10^3)</f>
        <v>16.682651384942901</v>
      </c>
      <c r="BX36" s="11">
        <f>17226.4700971059/(10^3)</f>
        <v>17.226470097105899</v>
      </c>
      <c r="BY36" s="11">
        <v>16.948593251681107</v>
      </c>
      <c r="BZ36" s="11">
        <f>16948.5932516811/(10^3)</f>
        <v>16.9485932516811</v>
      </c>
      <c r="CA36" s="11">
        <f>15584.2886683498/(10^3)</f>
        <v>15.584288668349799</v>
      </c>
      <c r="CB36" s="11">
        <f>15069.8165241859/(10^3)</f>
        <v>15.069816524185901</v>
      </c>
      <c r="CC36" s="12"/>
      <c r="DD36" s="11"/>
      <c r="DE36" s="11"/>
      <c r="DF36" s="11"/>
    </row>
    <row r="37" spans="4:110" x14ac:dyDescent="0.25">
      <c r="D37" s="13" t="s">
        <v>9</v>
      </c>
      <c r="E37" s="13" t="s">
        <v>8</v>
      </c>
      <c r="F37" s="10" t="s">
        <v>151</v>
      </c>
      <c r="G37" s="13"/>
      <c r="H37" s="67" t="str">
        <f t="shared" si="2"/>
        <v xml:space="preserve">Albuquerque </v>
      </c>
      <c r="I37" s="11">
        <f>63104/(10^3)</f>
        <v>63.103999999999999</v>
      </c>
      <c r="J37" s="11">
        <f>65605.1398349723/(10^3)</f>
        <v>65.605139834972306</v>
      </c>
      <c r="K37" s="11">
        <v>64.300813896251157</v>
      </c>
      <c r="L37" s="11">
        <f>65404.1998863303/(10^3)</f>
        <v>65.404199886330304</v>
      </c>
      <c r="M37" s="11">
        <f>67868.1593902997/(10^3)</f>
        <v>67.868159390299695</v>
      </c>
      <c r="N37" s="11">
        <f>69341.7597231713/(10^3)</f>
        <v>69.341759723171307</v>
      </c>
      <c r="O37" s="11">
        <f>71038.7316654056/(10^3)</f>
        <v>71.038731665405606</v>
      </c>
      <c r="P37" s="11">
        <f>72285.7766508243/(10^3)</f>
        <v>72.285776650824289</v>
      </c>
      <c r="Q37" s="11">
        <v>74.156889527149204</v>
      </c>
      <c r="R37" s="11">
        <f>77101.3803007807/(10^3)</f>
        <v>77.101380300780704</v>
      </c>
      <c r="S37" s="11">
        <f>74679.4802105745/(10^3)</f>
        <v>74.679480210574511</v>
      </c>
      <c r="T37" s="11">
        <f>74593.5491147882/(10^3)</f>
        <v>74.593549114788203</v>
      </c>
      <c r="U37" s="11">
        <f>74265.636225569/(10^3)</f>
        <v>74.265636225568997</v>
      </c>
      <c r="V37" s="11">
        <f>73424.5318805175/(10^3)</f>
        <v>73.424531880517506</v>
      </c>
      <c r="W37" s="11">
        <v>71.263766021023926</v>
      </c>
      <c r="X37" s="11">
        <f>73154.5462151192/(10^3)</f>
        <v>73.154546215119211</v>
      </c>
      <c r="Y37" s="11">
        <f>72228.3067328807/(10^3)</f>
        <v>72.228306732880696</v>
      </c>
      <c r="Z37" s="11">
        <f>76672.5273439875/(10^3)</f>
        <v>76.672527343987497</v>
      </c>
      <c r="AA37" s="11">
        <f>77353.0832922467/(10^3)</f>
        <v>77.353083292246694</v>
      </c>
      <c r="AB37" s="11">
        <f>80040.1436953949/(10^3)</f>
        <v>80.040143695394903</v>
      </c>
      <c r="AC37" s="11">
        <v>83.072521004014519</v>
      </c>
      <c r="AD37" s="11">
        <f>80703.7305077965/(10^3)</f>
        <v>80.703730507796493</v>
      </c>
      <c r="AE37" s="11">
        <f>73053.5921313235/(10^3)</f>
        <v>73.053592131323498</v>
      </c>
      <c r="AF37" s="11">
        <f>69785.6595576919/(10^3)</f>
        <v>69.785659557691901</v>
      </c>
      <c r="AG37" s="11">
        <f>69148.7432412624/(10^3)</f>
        <v>69.148743241262409</v>
      </c>
      <c r="AH37" s="11">
        <f>68202.9711637505/(10^3)</f>
        <v>68.20297116375049</v>
      </c>
      <c r="AI37" s="11">
        <v>71.144012394709321</v>
      </c>
      <c r="AJ37" s="11">
        <f>69337.3232728393/(10^3)</f>
        <v>69.337323272839299</v>
      </c>
      <c r="AK37" s="11">
        <f>68981.086182302/(10^3)</f>
        <v>68.981086182301993</v>
      </c>
      <c r="AL37" s="11">
        <f>68533.7186369472/(10^3)</f>
        <v>68.533718636947199</v>
      </c>
      <c r="AM37" s="11">
        <f>66526.453548611/(10^3)</f>
        <v>66.526453548611002</v>
      </c>
      <c r="AN37" s="11">
        <f>69052.3000714065/(10^3)</f>
        <v>69.052300071406492</v>
      </c>
      <c r="AO37" s="11">
        <v>72.230923699764489</v>
      </c>
      <c r="AP37" s="11">
        <f>74594.5412008476/(10^3)</f>
        <v>74.594541200847601</v>
      </c>
      <c r="AQ37" s="11">
        <f>73180.0981191716/(10^3)</f>
        <v>73.180098119171603</v>
      </c>
      <c r="AR37" s="11">
        <f>73815.3879346618/(10^3)</f>
        <v>73.8153879346618</v>
      </c>
      <c r="AS37" s="11">
        <f>74914.5569086159/(10^3)</f>
        <v>74.914556908615893</v>
      </c>
      <c r="AT37" s="11">
        <f>73927.4789295763/(10^3)</f>
        <v>73.92747892957631</v>
      </c>
      <c r="AU37" s="11">
        <v>76.265619731842548</v>
      </c>
      <c r="AV37" s="11">
        <f>76890.3471080579/(10^3)</f>
        <v>76.89034710805791</v>
      </c>
      <c r="AW37" s="11">
        <f>75518.0249154689/(10^3)</f>
        <v>75.518024915468899</v>
      </c>
      <c r="AX37" s="11">
        <f>76528.214354526/(10^3)</f>
        <v>76.528214354526</v>
      </c>
      <c r="AY37" s="11">
        <f>79491.5630536914/(10^3)</f>
        <v>79.491563053691394</v>
      </c>
      <c r="AZ37" s="11">
        <f>82413.4458156803/(10^3)</f>
        <v>82.413445815680305</v>
      </c>
      <c r="BA37" s="11">
        <v>85.800025972131124</v>
      </c>
      <c r="BB37" s="11">
        <f>83370.8545842302/(10^3)</f>
        <v>83.370854584230202</v>
      </c>
      <c r="BC37" s="11">
        <f>82916.0705904455/(10^3)</f>
        <v>82.9160705904455</v>
      </c>
      <c r="BD37" s="11">
        <f>82224.7047405898/(10^3)</f>
        <v>82.2247047405898</v>
      </c>
      <c r="BE37" s="11">
        <f>80737.8685572709/(10^3)</f>
        <v>80.737868557270886</v>
      </c>
      <c r="BF37" s="11">
        <f>81571.3902782246/(10^3)</f>
        <v>81.571390278224598</v>
      </c>
      <c r="BG37" s="11">
        <v>83.942855773241092</v>
      </c>
      <c r="BH37" s="11">
        <f>85190.1205387324/(10^3)</f>
        <v>85.190120538732401</v>
      </c>
      <c r="BI37" s="11">
        <f>82902.9300962141/(10^3)</f>
        <v>82.902930096214092</v>
      </c>
      <c r="BJ37" s="11">
        <f>84431.9646153946/(10^3)</f>
        <v>84.431964615394591</v>
      </c>
      <c r="BK37" s="11">
        <f>86581.2431080423/(10^3)</f>
        <v>86.581243108042301</v>
      </c>
      <c r="BL37" s="11">
        <f>87443.0495710327/(10^3)</f>
        <v>87.443049571032688</v>
      </c>
      <c r="BM37" s="11">
        <v>88.054325283677017</v>
      </c>
      <c r="BN37" s="11">
        <f>88717.2872089323/(10^3)</f>
        <v>88.717287208932305</v>
      </c>
      <c r="BO37" s="11">
        <f>80567.3147074128/(10^3)</f>
        <v>80.567314707412805</v>
      </c>
      <c r="BP37" s="11">
        <f>76738.1480398967/(10^3)</f>
        <v>76.7381480398967</v>
      </c>
      <c r="BQ37" s="11">
        <f>75890.3112492439/(10^3)</f>
        <v>75.890311249243894</v>
      </c>
      <c r="BR37" s="11">
        <f>76267.0617987491/(10^3)</f>
        <v>76.267061798749097</v>
      </c>
      <c r="BS37" s="11">
        <v>79.804038836659899</v>
      </c>
      <c r="BT37" s="11">
        <f>83665.7585233667/(10^3)</f>
        <v>83.665758523366705</v>
      </c>
      <c r="BU37" s="11">
        <f>84837.1400395327/(10^3)</f>
        <v>84.837140039532699</v>
      </c>
      <c r="BV37" s="11">
        <f>91187.0052321787/(10^3)</f>
        <v>91.187005232178691</v>
      </c>
      <c r="BW37" s="11">
        <f>94116.1293785766/(10^3)</f>
        <v>94.116129378576602</v>
      </c>
      <c r="BX37" s="11">
        <f>97974.7649637518/(10^3)</f>
        <v>97.974764963751809</v>
      </c>
      <c r="BY37" s="11">
        <v>100.45145768336063</v>
      </c>
      <c r="BZ37" s="11">
        <f>100451.457683361/(10^3)</f>
        <v>100.451457683361</v>
      </c>
      <c r="CA37" s="11">
        <f>93179.5302769627/(10^3)</f>
        <v>93.179530276962709</v>
      </c>
      <c r="CB37" s="11">
        <f>89468.4195596795/(10^3)</f>
        <v>89.468419559679504</v>
      </c>
      <c r="CC37" s="12"/>
      <c r="DD37" s="11"/>
      <c r="DE37" s="11"/>
      <c r="DF37" s="11"/>
    </row>
    <row r="38" spans="4:110" x14ac:dyDescent="0.25">
      <c r="D38" s="13" t="s">
        <v>11</v>
      </c>
      <c r="E38" s="13" t="s">
        <v>10</v>
      </c>
      <c r="F38" s="10" t="s">
        <v>150</v>
      </c>
      <c r="G38" s="13"/>
      <c r="H38" s="67" t="str">
        <f t="shared" si="2"/>
        <v xml:space="preserve">Atlanta </v>
      </c>
      <c r="I38" s="11">
        <f>38142/(10^3)</f>
        <v>38.142000000000003</v>
      </c>
      <c r="J38" s="11">
        <f>38892.5481398175/(10^3)</f>
        <v>38.892548139817507</v>
      </c>
      <c r="K38" s="11">
        <v>38.085813168562311</v>
      </c>
      <c r="L38" s="11">
        <f>38271.565122024/(10^3)</f>
        <v>38.271565122024001</v>
      </c>
      <c r="M38" s="11">
        <f>37757.5580136799/(10^3)</f>
        <v>37.757558013679905</v>
      </c>
      <c r="N38" s="11">
        <f>38666.3526309472/(10^3)</f>
        <v>38.666352630947202</v>
      </c>
      <c r="O38" s="11">
        <f>39494.9762354244/(10^3)</f>
        <v>39.494976235424403</v>
      </c>
      <c r="P38" s="11">
        <f>40817.4503503987/(10^3)</f>
        <v>40.817450350398701</v>
      </c>
      <c r="Q38" s="11">
        <v>41.252585140429744</v>
      </c>
      <c r="R38" s="11">
        <f>41333.0063279498/(10^3)</f>
        <v>41.333006327949796</v>
      </c>
      <c r="S38" s="11">
        <f>37469.3819962292/(10^3)</f>
        <v>37.469381996229195</v>
      </c>
      <c r="T38" s="11">
        <f>35649.0474827618/(10^3)</f>
        <v>35.649047482761802</v>
      </c>
      <c r="U38" s="11">
        <f>35357.3155487254/(10^3)</f>
        <v>35.357315548725396</v>
      </c>
      <c r="V38" s="11">
        <f>36315.0568273889/(10^3)</f>
        <v>36.315056827388901</v>
      </c>
      <c r="W38" s="11">
        <v>35.96014111401297</v>
      </c>
      <c r="X38" s="11">
        <f>36677.5829043238/(10^3)</f>
        <v>36.677582904323799</v>
      </c>
      <c r="Y38" s="11">
        <f>38062.3335896609/(10^3)</f>
        <v>38.062333589660902</v>
      </c>
      <c r="Z38" s="11">
        <f>38545.112786829/(10^3)</f>
        <v>38.545112786829002</v>
      </c>
      <c r="AA38" s="11">
        <f>39282.7358593561/(10^3)</f>
        <v>39.282735859356102</v>
      </c>
      <c r="AB38" s="11">
        <f>41098.7314516279/(10^3)</f>
        <v>41.098731451627899</v>
      </c>
      <c r="AC38" s="11">
        <v>41.626154429704044</v>
      </c>
      <c r="AD38" s="11">
        <f>41691.8240071977/(10^3)</f>
        <v>41.691824007197695</v>
      </c>
      <c r="AE38" s="11">
        <f>39479.4418329442/(10^3)</f>
        <v>39.479441832944197</v>
      </c>
      <c r="AF38" s="11">
        <f>37968.5648867825/(10^3)</f>
        <v>37.968564886782502</v>
      </c>
      <c r="AG38" s="11">
        <f>37650.2700554181/(10^3)</f>
        <v>37.650270055418098</v>
      </c>
      <c r="AH38" s="11">
        <f>39007.0099059161/(10^3)</f>
        <v>39.0070099059161</v>
      </c>
      <c r="AI38" s="11">
        <v>38.496230228370955</v>
      </c>
      <c r="AJ38" s="11">
        <f>40023.8743736104/(10^3)</f>
        <v>40.023874373610404</v>
      </c>
      <c r="AK38" s="11">
        <f>41781.2596158716/(10^3)</f>
        <v>41.781259615871598</v>
      </c>
      <c r="AL38" s="11">
        <f>42784.0411809511/(10^3)</f>
        <v>42.7840411809511</v>
      </c>
      <c r="AM38" s="11">
        <f>44695.1807518515/(10^3)</f>
        <v>44.695180751851495</v>
      </c>
      <c r="AN38" s="11">
        <f>45135.0066234473/(10^3)</f>
        <v>45.135006623447296</v>
      </c>
      <c r="AO38" s="11">
        <v>45.461060825433677</v>
      </c>
      <c r="AP38" s="11">
        <f>45010.7162080144/(10^3)</f>
        <v>45.010716208014394</v>
      </c>
      <c r="AQ38" s="11">
        <f>46265.73069215/(10^3)</f>
        <v>46.265730692150001</v>
      </c>
      <c r="AR38" s="11">
        <f>45251.7598339667/(10^3)</f>
        <v>45.251759833966702</v>
      </c>
      <c r="AS38" s="11">
        <f>46691.8398286813/(10^3)</f>
        <v>46.691839828681303</v>
      </c>
      <c r="AT38" s="11">
        <f>47187.778437021/(10^3)</f>
        <v>47.187778437021002</v>
      </c>
      <c r="AU38" s="11">
        <v>48.941538272110549</v>
      </c>
      <c r="AV38" s="11">
        <f>48221.1946435861/(10^3)</f>
        <v>48.221194643586102</v>
      </c>
      <c r="AW38" s="11">
        <f>50022.6963729276/(10^3)</f>
        <v>50.022696372927605</v>
      </c>
      <c r="AX38" s="11">
        <f>54284.0969721515/(10^3)</f>
        <v>54.284096972151502</v>
      </c>
      <c r="AY38" s="11">
        <f>54734.9265919819/(10^3)</f>
        <v>54.734926591981903</v>
      </c>
      <c r="AZ38" s="11">
        <f>56674.3785570311/(10^3)</f>
        <v>56.674378557031098</v>
      </c>
      <c r="BA38" s="11">
        <v>59.267145520511988</v>
      </c>
      <c r="BB38" s="11">
        <f>60110.5729398711/(10^3)</f>
        <v>60.110572939871098</v>
      </c>
      <c r="BC38" s="11">
        <f>58817.0253593997/(10^3)</f>
        <v>58.817025359399693</v>
      </c>
      <c r="BD38" s="11">
        <f>56256.0019811324/(10^3)</f>
        <v>56.2560019811324</v>
      </c>
      <c r="BE38" s="11">
        <f>55552.5039563918/(10^3)</f>
        <v>55.552503956391803</v>
      </c>
      <c r="BF38" s="11">
        <f>56621.4614735834/(10^3)</f>
        <v>56.621461473583395</v>
      </c>
      <c r="BG38" s="11">
        <v>58.124491004354212</v>
      </c>
      <c r="BH38" s="11">
        <f>60199.2260921485/(10^3)</f>
        <v>60.1992260921485</v>
      </c>
      <c r="BI38" s="11">
        <f>60314.3971943562/(10^3)</f>
        <v>60.314397194356197</v>
      </c>
      <c r="BJ38" s="11">
        <f>61862.7837189443/(10^3)</f>
        <v>61.8627837189443</v>
      </c>
      <c r="BK38" s="11">
        <f>64164.7338920824/(10^3)</f>
        <v>64.164733892082396</v>
      </c>
      <c r="BL38" s="11">
        <f>65222.407074446/(10^3)</f>
        <v>65.222407074445996</v>
      </c>
      <c r="BM38" s="11">
        <v>67.170766001394512</v>
      </c>
      <c r="BN38" s="11">
        <f>67527.3224640118/(10^3)</f>
        <v>67.527322464011803</v>
      </c>
      <c r="BO38" s="11">
        <f>63221.8560560613/(10^3)</f>
        <v>63.221856056061299</v>
      </c>
      <c r="BP38" s="11">
        <f>60921.7453546655/(10^3)</f>
        <v>60.921745354665504</v>
      </c>
      <c r="BQ38" s="11">
        <f>59617.0136185391/(10^3)</f>
        <v>59.617013618539104</v>
      </c>
      <c r="BR38" s="11">
        <f>59077.1199269699/(10^3)</f>
        <v>59.0771199269699</v>
      </c>
      <c r="BS38" s="11">
        <v>61.609783710975904</v>
      </c>
      <c r="BT38" s="11">
        <f>59950.3616551457/(10^3)</f>
        <v>59.950361655145699</v>
      </c>
      <c r="BU38" s="11">
        <f>58958.021416017/(10^3)</f>
        <v>58.958021416016997</v>
      </c>
      <c r="BV38" s="11">
        <f>63532.8141948907/(10^3)</f>
        <v>63.532814194890697</v>
      </c>
      <c r="BW38" s="11">
        <f>65229.5029261748/(10^3)</f>
        <v>65.229502926174803</v>
      </c>
      <c r="BX38" s="11">
        <f>68464.9222719638/(10^3)</f>
        <v>68.4649222719638</v>
      </c>
      <c r="BY38" s="11">
        <v>69.178209359588877</v>
      </c>
      <c r="BZ38" s="11">
        <f>69178.2093595889/(10^3)</f>
        <v>69.178209359588905</v>
      </c>
      <c r="CA38" s="11">
        <f>68130.098062898/(10^3)</f>
        <v>68.130098062898</v>
      </c>
      <c r="CB38" s="11">
        <f>66640.4262046421/(10^3)</f>
        <v>66.640426204642111</v>
      </c>
      <c r="CC38" s="12"/>
      <c r="DD38" s="11"/>
      <c r="DE38" s="11"/>
      <c r="DF38" s="11"/>
    </row>
    <row r="39" spans="4:110" x14ac:dyDescent="0.25">
      <c r="D39" s="13" t="s">
        <v>13</v>
      </c>
      <c r="E39" s="13" t="s">
        <v>12</v>
      </c>
      <c r="F39" s="10" t="s">
        <v>150</v>
      </c>
      <c r="G39" s="13"/>
      <c r="H39" s="67" t="str">
        <f t="shared" si="2"/>
        <v xml:space="preserve">Austin </v>
      </c>
      <c r="I39" s="11">
        <f>126472/(10^3)</f>
        <v>126.47199999999999</v>
      </c>
      <c r="J39" s="11">
        <f>128106.04712471/(10^3)</f>
        <v>128.10604712471002</v>
      </c>
      <c r="K39" s="11">
        <v>126.77645231172143</v>
      </c>
      <c r="L39" s="11">
        <f>126159.128993255/(10^3)</f>
        <v>126.159128993255</v>
      </c>
      <c r="M39" s="11">
        <f>131283.925121373/(10^3)</f>
        <v>131.28392512137299</v>
      </c>
      <c r="N39" s="11">
        <f>143142.772042024/(10^3)</f>
        <v>143.14277204202401</v>
      </c>
      <c r="O39" s="11">
        <f>147166.636897429/(10^3)</f>
        <v>147.16663689742902</v>
      </c>
      <c r="P39" s="11">
        <f>150954.431614354/(10^3)</f>
        <v>150.95443161435398</v>
      </c>
      <c r="Q39" s="11">
        <v>151.93934708309186</v>
      </c>
      <c r="R39" s="11">
        <f>151661.44648974/(10^3)</f>
        <v>151.66144648974</v>
      </c>
      <c r="S39" s="11">
        <f>137395.559714776/(10^3)</f>
        <v>137.395559714776</v>
      </c>
      <c r="T39" s="11">
        <f>131417.239286944/(10^3)</f>
        <v>131.41723928694401</v>
      </c>
      <c r="U39" s="11">
        <f>127997.334134965/(10^3)</f>
        <v>127.997334134965</v>
      </c>
      <c r="V39" s="11">
        <f>128460.627267732/(10^3)</f>
        <v>128.46062726773201</v>
      </c>
      <c r="W39" s="11">
        <v>125.22389014785375</v>
      </c>
      <c r="X39" s="11">
        <f>123011.585899631/(10^3)</f>
        <v>123.011585899631</v>
      </c>
      <c r="Y39" s="11">
        <f>121765.794586905/(10^3)</f>
        <v>121.765794586905</v>
      </c>
      <c r="Z39" s="11">
        <f>128128.526492379/(10^3)</f>
        <v>128.128526492379</v>
      </c>
      <c r="AA39" s="11">
        <f>129363.300784319/(10^3)</f>
        <v>129.36330078431899</v>
      </c>
      <c r="AB39" s="11">
        <f>132990.452823356/(10^3)</f>
        <v>132.99045282335601</v>
      </c>
      <c r="AC39" s="11">
        <v>136.92369020173638</v>
      </c>
      <c r="AD39" s="11">
        <f>138042.97921302/(10^3)</f>
        <v>138.04297921302</v>
      </c>
      <c r="AE39" s="11">
        <f>124863.471160153/(10^3)</f>
        <v>124.863471160153</v>
      </c>
      <c r="AF39" s="11">
        <f>121661.046858642/(10^3)</f>
        <v>121.66104685864201</v>
      </c>
      <c r="AG39" s="11">
        <f>118302.482616434/(10^3)</f>
        <v>118.30248261643401</v>
      </c>
      <c r="AH39" s="11">
        <f>122806.952806665/(10^3)</f>
        <v>122.806952806665</v>
      </c>
      <c r="AI39" s="11">
        <v>127.39086881675699</v>
      </c>
      <c r="AJ39" s="11">
        <f>133449.294948196/(10^3)</f>
        <v>133.44929494819601</v>
      </c>
      <c r="AK39" s="11">
        <f>136877.844775387/(10^3)</f>
        <v>136.87784477538699</v>
      </c>
      <c r="AL39" s="11">
        <f>137868.338764914/(10^3)</f>
        <v>137.868338764914</v>
      </c>
      <c r="AM39" s="11">
        <f>141434.792238152/(10^3)</f>
        <v>141.434792238152</v>
      </c>
      <c r="AN39" s="11">
        <f>137986.203769516/(10^3)</f>
        <v>137.98620376951601</v>
      </c>
      <c r="AO39" s="11">
        <v>134.63967907600889</v>
      </c>
      <c r="AP39" s="11">
        <f>138173.765522083/(10^3)</f>
        <v>138.17376552208302</v>
      </c>
      <c r="AQ39" s="11">
        <f>139202.963569826/(10^3)</f>
        <v>139.20296356982601</v>
      </c>
      <c r="AR39" s="11">
        <f>135457.934567108/(10^3)</f>
        <v>135.457934567108</v>
      </c>
      <c r="AS39" s="11">
        <f>136839.76590062/(10^3)</f>
        <v>136.83976590061999</v>
      </c>
      <c r="AT39" s="11">
        <f>135379.840095604/(10^3)</f>
        <v>135.37984009560401</v>
      </c>
      <c r="AU39" s="11">
        <v>141.15205323881003</v>
      </c>
      <c r="AV39" s="11">
        <f>144066.261960922/(10^3)</f>
        <v>144.06626196092202</v>
      </c>
      <c r="AW39" s="11">
        <f>140122.586423444/(10^3)</f>
        <v>140.12258642344401</v>
      </c>
      <c r="AX39" s="11">
        <f>148418.31886543/(10^3)</f>
        <v>148.41831886543</v>
      </c>
      <c r="AY39" s="11">
        <f>153088.595187611/(10^3)</f>
        <v>153.08859518761099</v>
      </c>
      <c r="AZ39" s="11">
        <f>153818.267603984/(10^3)</f>
        <v>153.818267603984</v>
      </c>
      <c r="BA39" s="11">
        <v>154.3566098473805</v>
      </c>
      <c r="BB39" s="11">
        <f>154640.325002838/(10^3)</f>
        <v>154.64032500283801</v>
      </c>
      <c r="BC39" s="11">
        <f>148828.7672547/(10^3)</f>
        <v>148.82876725470001</v>
      </c>
      <c r="BD39" s="11">
        <f>145321.91461415/(10^3)</f>
        <v>145.32191461415002</v>
      </c>
      <c r="BE39" s="11">
        <f>142272.585290225/(10^3)</f>
        <v>142.27258529022498</v>
      </c>
      <c r="BF39" s="11">
        <f>145684.220418905/(10^3)</f>
        <v>145.684220418905</v>
      </c>
      <c r="BG39" s="11">
        <v>143.98685068535073</v>
      </c>
      <c r="BH39" s="11">
        <f>150199.284849786/(10^3)</f>
        <v>150.19928484978598</v>
      </c>
      <c r="BI39" s="11">
        <f>155891.042181344/(10^3)</f>
        <v>155.89104218134401</v>
      </c>
      <c r="BJ39" s="11">
        <f>159048.866141629/(10^3)</f>
        <v>159.04886614162899</v>
      </c>
      <c r="BK39" s="11">
        <f>163665.307005514/(10^3)</f>
        <v>163.66530700551402</v>
      </c>
      <c r="BL39" s="11">
        <f>166871.85594038/(10^3)</f>
        <v>166.87185594037999</v>
      </c>
      <c r="BM39" s="11">
        <v>175.06309734612807</v>
      </c>
      <c r="BN39" s="11">
        <f>180278.061486219/(10^3)</f>
        <v>180.278061486219</v>
      </c>
      <c r="BO39" s="11">
        <f>169031.111508709/(10^3)</f>
        <v>169.03111150870899</v>
      </c>
      <c r="BP39" s="11">
        <f>168158.530146537/(10^3)</f>
        <v>168.158530146537</v>
      </c>
      <c r="BQ39" s="11">
        <f>167037.11729434/(10^3)</f>
        <v>167.03711729433999</v>
      </c>
      <c r="BR39" s="11">
        <f>164758.971861359/(10^3)</f>
        <v>164.75897186135899</v>
      </c>
      <c r="BS39" s="11">
        <v>165.23883864358282</v>
      </c>
      <c r="BT39" s="11">
        <f>169749.086205414/(10^3)</f>
        <v>169.74908620541399</v>
      </c>
      <c r="BU39" s="11">
        <f>175497.864608372/(10^3)</f>
        <v>175.497864608372</v>
      </c>
      <c r="BV39" s="11">
        <f>181447.191138818/(10^3)</f>
        <v>181.447191138818</v>
      </c>
      <c r="BW39" s="11">
        <f>181506.811626995/(10^3)</f>
        <v>181.50681162699502</v>
      </c>
      <c r="BX39" s="11">
        <f>181654.568289271/(10^3)</f>
        <v>181.654568289271</v>
      </c>
      <c r="BY39" s="11">
        <v>192.3297632207844</v>
      </c>
      <c r="BZ39" s="11">
        <f>192329.763220784/(10^3)</f>
        <v>192.329763220784</v>
      </c>
      <c r="CA39" s="11">
        <f>178036.670249133/(10^3)</f>
        <v>178.03667024913298</v>
      </c>
      <c r="CB39" s="11">
        <f>175763.793498087/(10^3)</f>
        <v>175.76379349808701</v>
      </c>
      <c r="CC39" s="12"/>
      <c r="DD39" s="11"/>
      <c r="DE39" s="11"/>
      <c r="DF39" s="11"/>
    </row>
    <row r="40" spans="4:110" x14ac:dyDescent="0.25">
      <c r="D40" s="13" t="s">
        <v>15</v>
      </c>
      <c r="E40" s="13" t="s">
        <v>14</v>
      </c>
      <c r="F40" s="10" t="s">
        <v>150</v>
      </c>
      <c r="G40" s="13"/>
      <c r="H40" s="67" t="str">
        <f t="shared" si="2"/>
        <v xml:space="preserve">Baton Rouge </v>
      </c>
      <c r="I40" s="11">
        <f>38874/(10^3)</f>
        <v>38.874000000000002</v>
      </c>
      <c r="J40" s="11">
        <f>37813.44164729/(10^3)</f>
        <v>37.813441647289999</v>
      </c>
      <c r="K40" s="11">
        <v>36.73689799804891</v>
      </c>
      <c r="L40" s="11">
        <f>38543.7013142863/(10^3)</f>
        <v>38.543701314286302</v>
      </c>
      <c r="M40" s="11">
        <f>39129.6088233113/(10^3)</f>
        <v>39.129608823311294</v>
      </c>
      <c r="N40" s="11">
        <f>41210.4167271136/(10^3)</f>
        <v>41.210416727113603</v>
      </c>
      <c r="O40" s="11">
        <f>43202.4912643806/(10^3)</f>
        <v>43.202491264380605</v>
      </c>
      <c r="P40" s="11">
        <f>43381.9310619937/(10^3)</f>
        <v>43.381931061993704</v>
      </c>
      <c r="Q40" s="11">
        <v>45.144743813098323</v>
      </c>
      <c r="R40" s="11">
        <f>45667.7654735913/(10^3)</f>
        <v>45.667765473591302</v>
      </c>
      <c r="S40" s="11">
        <f>45249.2580137482/(10^3)</f>
        <v>45.249258013748197</v>
      </c>
      <c r="T40" s="11">
        <f>44658.130470762/(10^3)</f>
        <v>44.658130470762003</v>
      </c>
      <c r="U40" s="11">
        <f>44483.2213434538/(10^3)</f>
        <v>44.483221343453799</v>
      </c>
      <c r="V40" s="11">
        <f>46415.2804865878/(10^3)</f>
        <v>46.415280486587797</v>
      </c>
      <c r="W40" s="11">
        <v>46.564346820747694</v>
      </c>
      <c r="X40" s="11">
        <f>45422.8640176478/(10^3)</f>
        <v>45.422864017647797</v>
      </c>
      <c r="Y40" s="11">
        <f>47673.7759352419/(10^3)</f>
        <v>47.673775935241899</v>
      </c>
      <c r="Z40" s="11">
        <f>50669.4642459807/(10^3)</f>
        <v>50.669464245980699</v>
      </c>
      <c r="AA40" s="11">
        <f>51336.0237916087/(10^3)</f>
        <v>51.336023791608696</v>
      </c>
      <c r="AB40" s="11">
        <f>53139.0719188361/(10^3)</f>
        <v>53.139071918836102</v>
      </c>
      <c r="AC40" s="11">
        <v>53.202590790315249</v>
      </c>
      <c r="AD40" s="11">
        <f>52239.798093391/(10^3)</f>
        <v>52.239798093391002</v>
      </c>
      <c r="AE40" s="11">
        <f>49789.9412016892/(10^3)</f>
        <v>49.789941201689203</v>
      </c>
      <c r="AF40" s="11">
        <f>48676.8930826984/(10^3)</f>
        <v>48.676893082698399</v>
      </c>
      <c r="AG40" s="11">
        <f>47721.9709055198/(10^3)</f>
        <v>47.721970905519804</v>
      </c>
      <c r="AH40" s="11">
        <f>49852.3388413727/(10^3)</f>
        <v>49.852338841372699</v>
      </c>
      <c r="AI40" s="11">
        <v>52.251299324862117</v>
      </c>
      <c r="AJ40" s="11">
        <f>53638.9946363062/(10^3)</f>
        <v>53.638994636306194</v>
      </c>
      <c r="AK40" s="11">
        <f>54292.3425999143/(10^3)</f>
        <v>54.292342599914299</v>
      </c>
      <c r="AL40" s="11">
        <f>59670.0240899006/(10^3)</f>
        <v>59.6700240899006</v>
      </c>
      <c r="AM40" s="11">
        <f>61033.8309970469/(10^3)</f>
        <v>61.033830997046898</v>
      </c>
      <c r="AN40" s="11">
        <f>61823.5080702741/(10^3)</f>
        <v>61.823508070274102</v>
      </c>
      <c r="AO40" s="11">
        <v>62.894552668355082</v>
      </c>
      <c r="AP40" s="11">
        <f>65574.2848419895/(10^3)</f>
        <v>65.574284841989495</v>
      </c>
      <c r="AQ40" s="11">
        <f>66329.6036374335/(10^3)</f>
        <v>66.329603637433493</v>
      </c>
      <c r="AR40" s="11">
        <f>66150.5456207479/(10^3)</f>
        <v>66.150545620747906</v>
      </c>
      <c r="AS40" s="11">
        <f>66170.4840147716/(10^3)</f>
        <v>66.170484014771603</v>
      </c>
      <c r="AT40" s="11">
        <f>64925.5199173308/(10^3)</f>
        <v>64.925519917330803</v>
      </c>
      <c r="AU40" s="11">
        <v>66.618219030774412</v>
      </c>
      <c r="AV40" s="11">
        <f>68167.5582041392/(10^3)</f>
        <v>68.167558204139198</v>
      </c>
      <c r="AW40" s="11">
        <f>71441.8321319687/(10^3)</f>
        <v>71.441832131968695</v>
      </c>
      <c r="AX40" s="11">
        <f>74801.5075482862/(10^3)</f>
        <v>74.801507548286196</v>
      </c>
      <c r="AY40" s="11">
        <f>76303.0801101217/(10^3)</f>
        <v>76.303080110121698</v>
      </c>
      <c r="AZ40" s="11">
        <f>78154.9440644816/(10^3)</f>
        <v>78.154944064481612</v>
      </c>
      <c r="BA40" s="11">
        <v>79.017974962753584</v>
      </c>
      <c r="BB40" s="11">
        <f>81261.9981879186/(10^3)</f>
        <v>81.261998187918593</v>
      </c>
      <c r="BC40" s="11">
        <f>74321.5702941135/(10^3)</f>
        <v>74.321570294113499</v>
      </c>
      <c r="BD40" s="11">
        <f>71558.4207757749/(10^3)</f>
        <v>71.558420775774891</v>
      </c>
      <c r="BE40" s="11">
        <f>70049.3278451351/(10^3)</f>
        <v>70.04932784513511</v>
      </c>
      <c r="BF40" s="11">
        <f>70940.83967467/(10^3)</f>
        <v>70.940839674670002</v>
      </c>
      <c r="BG40" s="11">
        <v>72.132052362187636</v>
      </c>
      <c r="BH40" s="11">
        <f>71028.2018296098/(10^3)</f>
        <v>71.028201829609799</v>
      </c>
      <c r="BI40" s="11">
        <f>72861.0480495141/(10^3)</f>
        <v>72.861048049514096</v>
      </c>
      <c r="BJ40" s="11">
        <f>77960.2543382527/(10^3)</f>
        <v>77.960254338252696</v>
      </c>
      <c r="BK40" s="11">
        <f>78148.7100649807/(10^3)</f>
        <v>78.148710064980691</v>
      </c>
      <c r="BL40" s="11">
        <f>81930.5398997057/(10^3)</f>
        <v>81.930539899705707</v>
      </c>
      <c r="BM40" s="11">
        <v>85.315159899367941</v>
      </c>
      <c r="BN40" s="11">
        <f>82896.0143050266/(10^3)</f>
        <v>82.896014305026611</v>
      </c>
      <c r="BO40" s="11">
        <f>74906.4283359434/(10^3)</f>
        <v>74.906428335943403</v>
      </c>
      <c r="BP40" s="11">
        <f>71915.3013189097/(10^3)</f>
        <v>71.915301318909698</v>
      </c>
      <c r="BQ40" s="11">
        <f>70523.2797327144/(10^3)</f>
        <v>70.523279732714414</v>
      </c>
      <c r="BR40" s="11">
        <f>72092.5396350147/(10^3)</f>
        <v>72.092539635014703</v>
      </c>
      <c r="BS40" s="11">
        <v>70.293080813910066</v>
      </c>
      <c r="BT40" s="11">
        <f>69870.4374609791/(10^3)</f>
        <v>69.870437460979105</v>
      </c>
      <c r="BU40" s="11">
        <f>73032.7712593489/(10^3)</f>
        <v>73.032771259348891</v>
      </c>
      <c r="BV40" s="11">
        <f>77892.1370375246/(10^3)</f>
        <v>77.892137037524606</v>
      </c>
      <c r="BW40" s="11">
        <f>81460.8364328175/(10^3)</f>
        <v>81.460836432817487</v>
      </c>
      <c r="BX40" s="11">
        <f>85293.6732215835/(10^3)</f>
        <v>85.293673221583504</v>
      </c>
      <c r="BY40" s="11">
        <v>91.577213639731625</v>
      </c>
      <c r="BZ40" s="11">
        <f>91577.2136397316/(10^3)</f>
        <v>91.57721363973161</v>
      </c>
      <c r="CA40" s="11">
        <f>86134.0059118/(10^3)</f>
        <v>86.134005911800003</v>
      </c>
      <c r="CB40" s="11">
        <f>84369.1356663449/(10^3)</f>
        <v>84.369135666344903</v>
      </c>
      <c r="CC40" s="12"/>
      <c r="DD40" s="11"/>
      <c r="DE40" s="11"/>
      <c r="DF40" s="11"/>
    </row>
    <row r="41" spans="4:110" x14ac:dyDescent="0.25">
      <c r="D41" s="13" t="s">
        <v>16</v>
      </c>
      <c r="E41" s="13" t="s">
        <v>2</v>
      </c>
      <c r="F41" s="10" t="s">
        <v>150</v>
      </c>
      <c r="G41" s="13"/>
      <c r="H41" s="67" t="str">
        <f t="shared" si="2"/>
        <v xml:space="preserve">Birmingham </v>
      </c>
      <c r="I41" s="11">
        <f>88935/(10^3)</f>
        <v>88.935000000000002</v>
      </c>
      <c r="J41" s="11">
        <f>87688.4725757636/(10^3)</f>
        <v>87.688472575763598</v>
      </c>
      <c r="K41" s="11">
        <v>87.799980793790596</v>
      </c>
      <c r="L41" s="11">
        <f>86961.2776914815/(10^3)</f>
        <v>86.961277691481499</v>
      </c>
      <c r="M41" s="11">
        <f>89362.6622452874/(10^3)</f>
        <v>89.362662245287396</v>
      </c>
      <c r="N41" s="11">
        <f>91160.1325877952/(10^3)</f>
        <v>91.160132587795204</v>
      </c>
      <c r="O41" s="11">
        <f>93852.4440780111/(10^3)</f>
        <v>93.852444078011104</v>
      </c>
      <c r="P41" s="11">
        <f>96211.4410105154/(10^3)</f>
        <v>96.211441010515401</v>
      </c>
      <c r="Q41" s="11">
        <v>97.166948221590005</v>
      </c>
      <c r="R41" s="11">
        <f>96688.1002182402/(10^3)</f>
        <v>96.688100218240194</v>
      </c>
      <c r="S41" s="11">
        <f>92496.8344928984/(10^3)</f>
        <v>92.496834492898401</v>
      </c>
      <c r="T41" s="11">
        <f>90994.2447736934/(10^3)</f>
        <v>90.994244773693396</v>
      </c>
      <c r="U41" s="11">
        <f>88412.1357611804/(10^3)</f>
        <v>88.412135761180394</v>
      </c>
      <c r="V41" s="11">
        <f>86894.7012940859/(10^3)</f>
        <v>86.894701294085905</v>
      </c>
      <c r="W41" s="11">
        <v>88.153443027906889</v>
      </c>
      <c r="X41" s="11">
        <f>89473.9224826788/(10^3)</f>
        <v>89.473922482678802</v>
      </c>
      <c r="Y41" s="11">
        <f>91084.9824775743/(10^3)</f>
        <v>91.0849824775743</v>
      </c>
      <c r="Z41" s="11">
        <f>97026.3248636258/(10^3)</f>
        <v>97.026324863625803</v>
      </c>
      <c r="AA41" s="11">
        <f>100343.625998503/(10^3)</f>
        <v>100.343625998503</v>
      </c>
      <c r="AB41" s="11">
        <f>102246.546759224/(10^3)</f>
        <v>102.246546759224</v>
      </c>
      <c r="AC41" s="11">
        <v>106.1914374046758</v>
      </c>
      <c r="AD41" s="11">
        <f>109687.60150418/(10^3)</f>
        <v>109.68760150417999</v>
      </c>
      <c r="AE41" s="11">
        <f>106539.761758062/(10^3)</f>
        <v>106.539761758062</v>
      </c>
      <c r="AF41" s="11">
        <f>106762.849857524/(10^3)</f>
        <v>106.76284985752399</v>
      </c>
      <c r="AG41" s="11">
        <f>111198.106826341/(10^3)</f>
        <v>111.198106826341</v>
      </c>
      <c r="AH41" s="11">
        <f>113956.100204511/(10^3)</f>
        <v>113.956100204511</v>
      </c>
      <c r="AI41" s="11">
        <v>119.22852859264819</v>
      </c>
      <c r="AJ41" s="11">
        <f>123107.329477423/(10^3)</f>
        <v>123.10732947742301</v>
      </c>
      <c r="AK41" s="11">
        <f>122753.648641526/(10^3)</f>
        <v>122.753648641526</v>
      </c>
      <c r="AL41" s="11">
        <f>120707.312562122/(10^3)</f>
        <v>120.707312562122</v>
      </c>
      <c r="AM41" s="11">
        <f>121117.014898863/(10^3)</f>
        <v>121.11701489886299</v>
      </c>
      <c r="AN41" s="11">
        <f>123347.577844852/(10^3)</f>
        <v>123.347577844852</v>
      </c>
      <c r="AO41" s="11">
        <v>124.1639360965022</v>
      </c>
      <c r="AP41" s="11">
        <f>128020.443916564/(10^3)</f>
        <v>128.02044391656401</v>
      </c>
      <c r="AQ41" s="11">
        <f>126138.442073942/(10^3)</f>
        <v>126.138442073942</v>
      </c>
      <c r="AR41" s="11">
        <f>127580.324793295/(10^3)</f>
        <v>127.58032479329501</v>
      </c>
      <c r="AS41" s="11">
        <f>126769.578215841/(10^3)</f>
        <v>126.76957821584099</v>
      </c>
      <c r="AT41" s="11">
        <f>123932.987503175/(10^3)</f>
        <v>123.932987503175</v>
      </c>
      <c r="AU41" s="11">
        <v>126.74737125573937</v>
      </c>
      <c r="AV41" s="11">
        <f>132239.117475861/(10^3)</f>
        <v>132.23911747586101</v>
      </c>
      <c r="AW41" s="11">
        <f>133571.824187416/(10^3)</f>
        <v>133.57182418741601</v>
      </c>
      <c r="AX41" s="11">
        <f>140647.115176937/(10^3)</f>
        <v>140.64711517693698</v>
      </c>
      <c r="AY41" s="11">
        <f>146707.653967245/(10^3)</f>
        <v>146.70765396724499</v>
      </c>
      <c r="AZ41" s="11">
        <f>153590.065833406/(10^3)</f>
        <v>153.59006583340599</v>
      </c>
      <c r="BA41" s="11">
        <v>155.99784141108486</v>
      </c>
      <c r="BB41" s="11">
        <f>162117.74674821/(10^3)</f>
        <v>162.11774674820998</v>
      </c>
      <c r="BC41" s="11">
        <f>148094.495045918/(10^3)</f>
        <v>148.09449504591802</v>
      </c>
      <c r="BD41" s="11">
        <f>142639.797034499/(10^3)</f>
        <v>142.639797034499</v>
      </c>
      <c r="BE41" s="11">
        <f>141088.538859705/(10^3)</f>
        <v>141.08853885970501</v>
      </c>
      <c r="BF41" s="11">
        <f>137086.425256107/(10^3)</f>
        <v>137.08642525610699</v>
      </c>
      <c r="BG41" s="11">
        <v>139.3182406636476</v>
      </c>
      <c r="BH41" s="11">
        <f>142944.11013656/(10^3)</f>
        <v>142.94411013656</v>
      </c>
      <c r="BI41" s="11">
        <f>148360.115951976/(10^3)</f>
        <v>148.36011595197601</v>
      </c>
      <c r="BJ41" s="11">
        <f>156751.605925693/(10^3)</f>
        <v>156.75160592569301</v>
      </c>
      <c r="BK41" s="11">
        <f>159028.454375074/(10^3)</f>
        <v>159.02845437507401</v>
      </c>
      <c r="BL41" s="11">
        <f>165476.695343963/(10^3)</f>
        <v>165.47669534396297</v>
      </c>
      <c r="BM41" s="11">
        <v>172.51334866784859</v>
      </c>
      <c r="BN41" s="11">
        <f>174523.481100395/(10^3)</f>
        <v>174.523481100395</v>
      </c>
      <c r="BO41" s="11">
        <f>157192.517883409/(10^3)</f>
        <v>157.19251788340898</v>
      </c>
      <c r="BP41" s="11">
        <f>154694.824740205/(10^3)</f>
        <v>154.69482474020498</v>
      </c>
      <c r="BQ41" s="11">
        <f>152606.706752922/(10^3)</f>
        <v>152.60670675292201</v>
      </c>
      <c r="BR41" s="11">
        <f>159027.743197733/(10^3)</f>
        <v>159.027743197733</v>
      </c>
      <c r="BS41" s="11">
        <v>160.63385045485609</v>
      </c>
      <c r="BT41" s="11">
        <f>162707.018729019/(10^3)</f>
        <v>162.70701872901901</v>
      </c>
      <c r="BU41" s="11">
        <f>164985.844970546/(10^3)</f>
        <v>164.985844970546</v>
      </c>
      <c r="BV41" s="11">
        <f>165205.873458109/(10^3)</f>
        <v>165.20587345810901</v>
      </c>
      <c r="BW41" s="11">
        <f>173359.682998199/(10^3)</f>
        <v>173.35968299819899</v>
      </c>
      <c r="BX41" s="11">
        <f>173434.831433948/(10^3)</f>
        <v>173.43483143394801</v>
      </c>
      <c r="BY41" s="11">
        <v>185.47922872191393</v>
      </c>
      <c r="BZ41" s="11">
        <f>185479.228721914/(10^3)</f>
        <v>185.47922872191401</v>
      </c>
      <c r="CA41" s="11">
        <f>184813.765910902/(10^3)</f>
        <v>184.81376591090199</v>
      </c>
      <c r="CB41" s="11">
        <f>177961.161178807/(10^3)</f>
        <v>177.961161178807</v>
      </c>
      <c r="CC41" s="12"/>
      <c r="DD41" s="11"/>
      <c r="DE41" s="11"/>
      <c r="DF41" s="11"/>
    </row>
    <row r="42" spans="4:110" x14ac:dyDescent="0.25">
      <c r="D42" s="13" t="s">
        <v>18</v>
      </c>
      <c r="E42" s="13" t="s">
        <v>17</v>
      </c>
      <c r="F42" s="10" t="s">
        <v>149</v>
      </c>
      <c r="G42" s="13"/>
      <c r="H42" s="67" t="str">
        <f t="shared" si="2"/>
        <v xml:space="preserve">Chicago </v>
      </c>
      <c r="I42" s="11">
        <f>11631/(10^3)</f>
        <v>11.631</v>
      </c>
      <c r="J42" s="11">
        <f>12120.8203566045/(10^3)</f>
        <v>12.120820356604499</v>
      </c>
      <c r="K42" s="11">
        <v>12.022662612610333</v>
      </c>
      <c r="L42" s="11">
        <f>12229.9076991998/(10^3)</f>
        <v>12.229907699199801</v>
      </c>
      <c r="M42" s="11">
        <f>12073.1364384403/(10^3)</f>
        <v>12.073136438440301</v>
      </c>
      <c r="N42" s="11">
        <f>12575.7608525854/(10^3)</f>
        <v>12.575760852585399</v>
      </c>
      <c r="O42" s="11">
        <f>12672.93684505/(10^3)</f>
        <v>12.67293684505</v>
      </c>
      <c r="P42" s="11">
        <f>12885.7882068291/(10^3)</f>
        <v>12.885788206829099</v>
      </c>
      <c r="Q42" s="11">
        <v>13.24904267748947</v>
      </c>
      <c r="R42" s="11">
        <f>13716.1447679003/(10^3)</f>
        <v>13.7161447679003</v>
      </c>
      <c r="S42" s="11">
        <f>13501.8049606608/(10^3)</f>
        <v>13.501804960660801</v>
      </c>
      <c r="T42" s="11">
        <f>13224.3788616208/(10^3)</f>
        <v>13.224378861620801</v>
      </c>
      <c r="U42" s="11">
        <f>12906.7465383413/(10^3)</f>
        <v>12.9067465383413</v>
      </c>
      <c r="V42" s="11">
        <f>12717.971933682/(10^3)</f>
        <v>12.717971933682</v>
      </c>
      <c r="W42" s="11">
        <v>12.773017371422057</v>
      </c>
      <c r="X42" s="11">
        <f>13155.8956218657/(10^3)</f>
        <v>13.155895621865699</v>
      </c>
      <c r="Y42" s="11">
        <f>12778.2230524348/(10^3)</f>
        <v>12.7782230524348</v>
      </c>
      <c r="Z42" s="11">
        <f>13795.5769642426/(10^3)</f>
        <v>13.795576964242601</v>
      </c>
      <c r="AA42" s="11">
        <f>14341.3349577174/(10^3)</f>
        <v>14.3413349577174</v>
      </c>
      <c r="AB42" s="11">
        <f>14671.334931465/(10^3)</f>
        <v>14.671334931465001</v>
      </c>
      <c r="AC42" s="11">
        <v>15.226423611264563</v>
      </c>
      <c r="AD42" s="11">
        <f>15979.5916624139/(10^3)</f>
        <v>15.979591662413901</v>
      </c>
      <c r="AE42" s="11">
        <f>16454.908301937/(10^3)</f>
        <v>16.454908301936999</v>
      </c>
      <c r="AF42" s="11">
        <f>16543.1097843946/(10^3)</f>
        <v>16.543109784394602</v>
      </c>
      <c r="AG42" s="11">
        <f>17113.6709994397/(10^3)</f>
        <v>17.113670999439698</v>
      </c>
      <c r="AH42" s="11">
        <f>16881.9560901755/(10^3)</f>
        <v>16.8819560901755</v>
      </c>
      <c r="AI42" s="11">
        <v>17.299314057167201</v>
      </c>
      <c r="AJ42" s="11">
        <f>17079.788645972/(10^3)</f>
        <v>17.079788645971998</v>
      </c>
      <c r="AK42" s="11">
        <f>17246.9645905954/(10^3)</f>
        <v>17.246964590595397</v>
      </c>
      <c r="AL42" s="11">
        <f>17120.0146102444/(10^3)</f>
        <v>17.1200146102444</v>
      </c>
      <c r="AM42" s="11">
        <f>17490.3196722364/(10^3)</f>
        <v>17.490319672236399</v>
      </c>
      <c r="AN42" s="11">
        <f>17637.8753930688/(10^3)</f>
        <v>17.6378753930688</v>
      </c>
      <c r="AO42" s="11">
        <v>17.859650668998558</v>
      </c>
      <c r="AP42" s="11">
        <f>18343.2937382085/(10^3)</f>
        <v>18.343293738208502</v>
      </c>
      <c r="AQ42" s="11">
        <f>18287.7682233629/(10^3)</f>
        <v>18.2877682233629</v>
      </c>
      <c r="AR42" s="11">
        <f>18127.4467025736/(10^3)</f>
        <v>18.1274467025736</v>
      </c>
      <c r="AS42" s="11">
        <f>18167.0051639398/(10^3)</f>
        <v>18.167005163939802</v>
      </c>
      <c r="AT42" s="11">
        <f>18635.8922584558/(10^3)</f>
        <v>18.635892258455797</v>
      </c>
      <c r="AU42" s="11">
        <v>19.430420498930225</v>
      </c>
      <c r="AV42" s="11">
        <f>19458.7490727988/(10^3)</f>
        <v>19.458749072798799</v>
      </c>
      <c r="AW42" s="11">
        <f>20349.7244474612/(10^3)</f>
        <v>20.349724447461202</v>
      </c>
      <c r="AX42" s="11">
        <f>20391.0487485264/(10^3)</f>
        <v>20.391048748526398</v>
      </c>
      <c r="AY42" s="11">
        <f>20462.0151510581/(10^3)</f>
        <v>20.4620151510581</v>
      </c>
      <c r="AZ42" s="11">
        <f>21312.9100858535/(10^3)</f>
        <v>21.312910085853499</v>
      </c>
      <c r="BA42" s="11">
        <v>22.062186764257042</v>
      </c>
      <c r="BB42" s="11">
        <f>21411.0579843501/(10^3)</f>
        <v>21.411057984350101</v>
      </c>
      <c r="BC42" s="11">
        <f>21179.037934341/(10^3)</f>
        <v>21.179037934341</v>
      </c>
      <c r="BD42" s="11">
        <f>21125.3587722527/(10^3)</f>
        <v>21.125358772252699</v>
      </c>
      <c r="BE42" s="11">
        <f>20926.5173910887/(10^3)</f>
        <v>20.926517391088698</v>
      </c>
      <c r="BF42" s="11">
        <f>21768.1444482788/(10^3)</f>
        <v>21.7681444482788</v>
      </c>
      <c r="BG42" s="11">
        <v>22.770471736620848</v>
      </c>
      <c r="BH42" s="11">
        <f>22089.6927952496/(10^3)</f>
        <v>22.089692795249601</v>
      </c>
      <c r="BI42" s="11">
        <f>22907.8075054544/(10^3)</f>
        <v>22.9078075054544</v>
      </c>
      <c r="BJ42" s="11">
        <f>24742.4331553762/(10^3)</f>
        <v>24.742433155376197</v>
      </c>
      <c r="BK42" s="11">
        <f>25029.5307534825/(10^3)</f>
        <v>25.029530753482501</v>
      </c>
      <c r="BL42" s="11">
        <f>25387.211380925/(10^3)</f>
        <v>25.387211380924999</v>
      </c>
      <c r="BM42" s="11">
        <v>25.986220446618471</v>
      </c>
      <c r="BN42" s="11">
        <f>26369.6961865225/(10^3)</f>
        <v>26.3696961865225</v>
      </c>
      <c r="BO42" s="11">
        <f>24962.8738929226/(10^3)</f>
        <v>24.962873892922598</v>
      </c>
      <c r="BP42" s="11">
        <f>24048.803861191/(10^3)</f>
        <v>24.048803861191001</v>
      </c>
      <c r="BQ42" s="11">
        <f>23761.0131571059/(10^3)</f>
        <v>23.7610131571059</v>
      </c>
      <c r="BR42" s="11">
        <f>24402.1705262003/(10^3)</f>
        <v>24.402170526200301</v>
      </c>
      <c r="BS42" s="11">
        <v>24.34700985461248</v>
      </c>
      <c r="BT42" s="11">
        <f>23924.3728692607/(10^3)</f>
        <v>23.924372869260701</v>
      </c>
      <c r="BU42" s="11">
        <f>23667.4112473039/(10^3)</f>
        <v>23.6674112473039</v>
      </c>
      <c r="BV42" s="11">
        <f>24391.1442828795/(10^3)</f>
        <v>24.391144282879502</v>
      </c>
      <c r="BW42" s="11">
        <f>24774.6692504385/(10^3)</f>
        <v>24.7746692504385</v>
      </c>
      <c r="BX42" s="11">
        <f>25116.1186208653/(10^3)</f>
        <v>25.116118620865301</v>
      </c>
      <c r="BY42" s="11">
        <v>25.996603741728009</v>
      </c>
      <c r="BZ42" s="11">
        <f>25996.603741728/(10^3)</f>
        <v>25.996603741727998</v>
      </c>
      <c r="CA42" s="11">
        <f>24682.9368685891/(10^3)</f>
        <v>24.682936868589099</v>
      </c>
      <c r="CB42" s="11">
        <f>23707.0234124652/(10^3)</f>
        <v>23.707023412465201</v>
      </c>
      <c r="CC42" s="12"/>
      <c r="DD42" s="11"/>
      <c r="DE42" s="11"/>
      <c r="DF42" s="11"/>
    </row>
    <row r="43" spans="4:110" x14ac:dyDescent="0.25">
      <c r="D43" s="13" t="s">
        <v>20</v>
      </c>
      <c r="E43" s="13" t="s">
        <v>19</v>
      </c>
      <c r="F43" s="10" t="s">
        <v>151</v>
      </c>
      <c r="G43" s="13"/>
      <c r="H43" s="67" t="str">
        <f t="shared" si="2"/>
        <v xml:space="preserve">Colorado Springs </v>
      </c>
      <c r="I43" s="11">
        <f>8547/(10^3)</f>
        <v>8.5470000000000006</v>
      </c>
      <c r="J43" s="11">
        <f>8597.2885937607/(10^3)</f>
        <v>8.5972885937607</v>
      </c>
      <c r="K43" s="11">
        <v>8.4224822616066621</v>
      </c>
      <c r="L43" s="11">
        <f>8428.01169210842/(10^3)</f>
        <v>8.42801169210842</v>
      </c>
      <c r="M43" s="11">
        <f>8743.20308851128/(10^3)</f>
        <v>8.7432030885112795</v>
      </c>
      <c r="N43" s="11">
        <f>8870.29055296078/(10^3)</f>
        <v>8.8702905529607801</v>
      </c>
      <c r="O43" s="11">
        <f>8898.46646629166/(10^3)</f>
        <v>8.8984664662916604</v>
      </c>
      <c r="P43" s="11">
        <f>9059.15041252801/(10^3)</f>
        <v>9.0591504125280107</v>
      </c>
      <c r="Q43" s="11">
        <v>9.222379624672838</v>
      </c>
      <c r="R43" s="11">
        <f>9138.46936878571/(10^3)</f>
        <v>9.1384693687857101</v>
      </c>
      <c r="S43" s="11">
        <f>8650.23334127357/(10^3)</f>
        <v>8.6502333412735695</v>
      </c>
      <c r="T43" s="11">
        <f>8325.10389466203/(10^3)</f>
        <v>8.3251038946620302</v>
      </c>
      <c r="U43" s="11">
        <f>8177.6422473621/(10^3)</f>
        <v>8.1776422473620993</v>
      </c>
      <c r="V43" s="11">
        <f>8357.03357755834/(10^3)</f>
        <v>8.3570335775583402</v>
      </c>
      <c r="W43" s="11">
        <v>8.1760729276816591</v>
      </c>
      <c r="X43" s="11">
        <f>8388.57255393894/(10^3)</f>
        <v>8.3885725539389409</v>
      </c>
      <c r="Y43" s="11">
        <f>8558.26300795657/(10^3)</f>
        <v>8.5582630079565689</v>
      </c>
      <c r="Z43" s="11">
        <f>8800.55454637144/(10^3)</f>
        <v>8.8005545463714405</v>
      </c>
      <c r="AA43" s="11">
        <f>9055.42585012218/(10^3)</f>
        <v>9.0554258501221785</v>
      </c>
      <c r="AB43" s="11">
        <f>9162.09372993139/(10^3)</f>
        <v>9.1620937299313905</v>
      </c>
      <c r="AC43" s="11">
        <v>9.4691371327575737</v>
      </c>
      <c r="AD43" s="11">
        <f>9317.79943096405/(10^3)</f>
        <v>9.3177994309640511</v>
      </c>
      <c r="AE43" s="11">
        <f>9345.90247253024/(10^3)</f>
        <v>9.3459024725302413</v>
      </c>
      <c r="AF43" s="11">
        <f>9689.47130932641/(10^3)</f>
        <v>9.6894713093264109</v>
      </c>
      <c r="AG43" s="11">
        <f>9715.42925552592/(10^3)</f>
        <v>9.7154292555259207</v>
      </c>
      <c r="AH43" s="11">
        <f>9764.49216142547/(10^3)</f>
        <v>9.7644921614254709</v>
      </c>
      <c r="AI43" s="11">
        <v>9.7874419370510601</v>
      </c>
      <c r="AJ43" s="11">
        <f>9838.58645516705/(10^3)</f>
        <v>9.8385864551670501</v>
      </c>
      <c r="AK43" s="11">
        <f>10179.5016275912/(10^3)</f>
        <v>10.1795016275912</v>
      </c>
      <c r="AL43" s="11">
        <f>10176.4856171577/(10^3)</f>
        <v>10.176485617157699</v>
      </c>
      <c r="AM43" s="11">
        <f>10360.6802389283/(10^3)</f>
        <v>10.3606802389283</v>
      </c>
      <c r="AN43" s="11">
        <f>10865.6815255803/(10^3)</f>
        <v>10.8656815255803</v>
      </c>
      <c r="AO43" s="11">
        <v>10.879454009039458</v>
      </c>
      <c r="AP43" s="11">
        <f>10970.2669549689/(10^3)</f>
        <v>10.970266954968899</v>
      </c>
      <c r="AQ43" s="11">
        <f>10883.0882194166/(10^3)</f>
        <v>10.883088219416601</v>
      </c>
      <c r="AR43" s="11">
        <f>10672.4857972262/(10^3)</f>
        <v>10.6724857972262</v>
      </c>
      <c r="AS43" s="11">
        <f>10997.9438116307/(10^3)</f>
        <v>10.9979438116307</v>
      </c>
      <c r="AT43" s="11">
        <f>11098.1765334924/(10^3)</f>
        <v>11.098176533492401</v>
      </c>
      <c r="AU43" s="11">
        <v>11.0266012124945</v>
      </c>
      <c r="AV43" s="11">
        <f>11375.6447373498/(10^3)</f>
        <v>11.3756447373498</v>
      </c>
      <c r="AW43" s="11">
        <f>11357.9541118684/(10^3)</f>
        <v>11.357954111868398</v>
      </c>
      <c r="AX43" s="11">
        <f>11871.8345168153/(10^3)</f>
        <v>11.8718345168153</v>
      </c>
      <c r="AY43" s="11">
        <f>12352.7958579171/(10^3)</f>
        <v>12.352795857917101</v>
      </c>
      <c r="AZ43" s="11">
        <f>12426.7467653446/(10^3)</f>
        <v>12.4267467653446</v>
      </c>
      <c r="BA43" s="11">
        <v>12.625290125604733</v>
      </c>
      <c r="BB43" s="11">
        <f>12649.9578909341/(10^3)</f>
        <v>12.6499578909341</v>
      </c>
      <c r="BC43" s="11">
        <f>11928.7091828105/(10^3)</f>
        <v>11.928709182810501</v>
      </c>
      <c r="BD43" s="11">
        <f>11670.6279498118/(10^3)</f>
        <v>11.6706279498118</v>
      </c>
      <c r="BE43" s="11">
        <f>11573.1928756998/(10^3)</f>
        <v>11.573192875699801</v>
      </c>
      <c r="BF43" s="11">
        <f>11721.660842824/(10^3)</f>
        <v>11.721660842823999</v>
      </c>
      <c r="BG43" s="11">
        <v>12.264089697644778</v>
      </c>
      <c r="BH43" s="11">
        <f>12813.9386412034/(10^3)</f>
        <v>12.8139386412034</v>
      </c>
      <c r="BI43" s="11">
        <f>12536.9700506686/(10^3)</f>
        <v>12.5369700506686</v>
      </c>
      <c r="BJ43" s="11">
        <f>13620.6236018014/(10^3)</f>
        <v>13.6206236018014</v>
      </c>
      <c r="BK43" s="11">
        <f>14051.701421508/(10^3)</f>
        <v>14.051701421508</v>
      </c>
      <c r="BL43" s="11">
        <f>14290.1225836565/(10^3)</f>
        <v>14.290122583656501</v>
      </c>
      <c r="BM43" s="11">
        <v>14.969889202508455</v>
      </c>
      <c r="BN43" s="11">
        <f>15627.4448631303/(10^3)</f>
        <v>15.6274448631303</v>
      </c>
      <c r="BO43" s="11">
        <f>14846.5336706321/(10^3)</f>
        <v>14.8465336706321</v>
      </c>
      <c r="BP43" s="11">
        <f>14190.825992231/(10^3)</f>
        <v>14.190825992231002</v>
      </c>
      <c r="BQ43" s="11">
        <f>13886.0284041918/(10^3)</f>
        <v>13.8860284041918</v>
      </c>
      <c r="BR43" s="11">
        <f>14060.984368616/(10^3)</f>
        <v>14.060984368615999</v>
      </c>
      <c r="BS43" s="11">
        <v>14.161853159348567</v>
      </c>
      <c r="BT43" s="11">
        <f>14594.6270143547/(10^3)</f>
        <v>14.594627014354701</v>
      </c>
      <c r="BU43" s="11">
        <f>14799.0385958509/(10^3)</f>
        <v>14.799038595850899</v>
      </c>
      <c r="BV43" s="11">
        <f>15132.6589689621/(10^3)</f>
        <v>15.132658968962099</v>
      </c>
      <c r="BW43" s="11">
        <f>15419.6472725879/(10^3)</f>
        <v>15.4196472725879</v>
      </c>
      <c r="BX43" s="11">
        <f>15913.9278225137/(10^3)</f>
        <v>15.913927822513701</v>
      </c>
      <c r="BY43" s="11">
        <v>15.765869048528394</v>
      </c>
      <c r="BZ43" s="11">
        <f>15765.8690485284/(10^3)</f>
        <v>15.765869048528401</v>
      </c>
      <c r="CA43" s="11">
        <f>15988.3136249901/(10^3)</f>
        <v>15.9883136249901</v>
      </c>
      <c r="CB43" s="11">
        <f>16669.7212649389/(10^3)</f>
        <v>16.6697212649389</v>
      </c>
      <c r="CC43" s="12"/>
      <c r="DD43" s="11"/>
      <c r="DE43" s="11"/>
      <c r="DF43" s="11"/>
    </row>
    <row r="44" spans="4:110" x14ac:dyDescent="0.25">
      <c r="D44" s="13" t="s">
        <v>21</v>
      </c>
      <c r="E44" s="13" t="s">
        <v>12</v>
      </c>
      <c r="F44" s="10" t="s">
        <v>150</v>
      </c>
      <c r="G44" s="13"/>
      <c r="H44" s="67" t="str">
        <f t="shared" si="2"/>
        <v xml:space="preserve">Dallas </v>
      </c>
      <c r="I44" s="11">
        <f>3873/(10^3)</f>
        <v>3.8730000000000002</v>
      </c>
      <c r="J44" s="11">
        <f>3963.58476468704/(10^3)</f>
        <v>3.9635847646870404</v>
      </c>
      <c r="K44" s="11">
        <v>4.1042266927630573</v>
      </c>
      <c r="L44" s="11">
        <f>4186.86352790048/(10^3)</f>
        <v>4.1868635279004804</v>
      </c>
      <c r="M44" s="11">
        <f>4282.41329021539/(10^3)</f>
        <v>4.2824132902153895</v>
      </c>
      <c r="N44" s="11">
        <f>4399.35584976757/(10^3)</f>
        <v>4.39935584976757</v>
      </c>
      <c r="O44" s="11">
        <f>4511.269580497/(10^3)</f>
        <v>4.5112695804970002</v>
      </c>
      <c r="P44" s="11">
        <f>4631.65923109303/(10^3)</f>
        <v>4.63165923109303</v>
      </c>
      <c r="Q44" s="11">
        <v>4.8203497501767449</v>
      </c>
      <c r="R44" s="11">
        <f>5053.32926822926/(10^3)</f>
        <v>5.0533292682292608</v>
      </c>
      <c r="S44" s="11">
        <f>4806.69206896633/(10^3)</f>
        <v>4.8066920689663304</v>
      </c>
      <c r="T44" s="11">
        <f>4743.5855694347/(10^3)</f>
        <v>4.7435855694346998</v>
      </c>
      <c r="U44" s="11">
        <f>4629.22151786515/(10^3)</f>
        <v>4.6292215178651501</v>
      </c>
      <c r="V44" s="11">
        <f>4787.84419462789/(10^3)</f>
        <v>4.7878441946278896</v>
      </c>
      <c r="W44" s="11">
        <v>4.771016443717671</v>
      </c>
      <c r="X44" s="11">
        <f>4853.65676024913/(10^3)</f>
        <v>4.8536567602491294</v>
      </c>
      <c r="Y44" s="11">
        <f>4737.12052476524/(10^3)</f>
        <v>4.7371205247652393</v>
      </c>
      <c r="Z44" s="11">
        <f>4911.63699938157/(10^3)</f>
        <v>4.9116369993815701</v>
      </c>
      <c r="AA44" s="11">
        <f>5004.29534325295/(10^3)</f>
        <v>5.0042953432529504</v>
      </c>
      <c r="AB44" s="11">
        <f>5250.9433743542/(10^3)</f>
        <v>5.2509433743542004</v>
      </c>
      <c r="AC44" s="11">
        <v>5.4374925962707072</v>
      </c>
      <c r="AD44" s="11">
        <f>5483.63623168444/(10^3)</f>
        <v>5.4836362316844394</v>
      </c>
      <c r="AE44" s="11">
        <f>5471.9880562171/(10^3)</f>
        <v>5.4719880562170999</v>
      </c>
      <c r="AF44" s="11">
        <f>5625.08168351704/(10^3)</f>
        <v>5.6250816835170401</v>
      </c>
      <c r="AG44" s="11">
        <f>5504.74025727876/(10^3)</f>
        <v>5.50474025727876</v>
      </c>
      <c r="AH44" s="11">
        <f>5432.26645545027/(10^3)</f>
        <v>5.4322664554502698</v>
      </c>
      <c r="AI44" s="11">
        <v>5.5788913770498869</v>
      </c>
      <c r="AJ44" s="11">
        <f>5486.44399524804/(10^3)</f>
        <v>5.4864439952480399</v>
      </c>
      <c r="AK44" s="11">
        <f>5402.65329259303/(10^3)</f>
        <v>5.4026532925930297</v>
      </c>
      <c r="AL44" s="11">
        <f>5308.6556115556/(10^3)</f>
        <v>5.3086556115556007</v>
      </c>
      <c r="AM44" s="11">
        <f>5433.85253240215/(10^3)</f>
        <v>5.4338525324021498</v>
      </c>
      <c r="AN44" s="11">
        <f>5642.81205536485/(10^3)</f>
        <v>5.6428120553648498</v>
      </c>
      <c r="AO44" s="11">
        <v>5.6838047047069615</v>
      </c>
      <c r="AP44" s="11">
        <f>5530.02919799945/(10^3)</f>
        <v>5.5300291979994496</v>
      </c>
      <c r="AQ44" s="11">
        <f>5555.57235831307/(10^3)</f>
        <v>5.5555723583130705</v>
      </c>
      <c r="AR44" s="11">
        <f>5553.62637896259/(10^3)</f>
        <v>5.5536263789625897</v>
      </c>
      <c r="AS44" s="11">
        <f>5413.80079023428/(10^3)</f>
        <v>5.41380079023428</v>
      </c>
      <c r="AT44" s="11">
        <f>5622.45761859631/(10^3)</f>
        <v>5.62245761859631</v>
      </c>
      <c r="AU44" s="11">
        <v>5.7220569113953426</v>
      </c>
      <c r="AV44" s="11">
        <f>5808.06091113603/(10^3)</f>
        <v>5.80806091113603</v>
      </c>
      <c r="AW44" s="11">
        <f>5909.82335549362/(10^3)</f>
        <v>5.9098233554936197</v>
      </c>
      <c r="AX44" s="11">
        <f>5998.94289727161/(10^3)</f>
        <v>5.9989428972716095</v>
      </c>
      <c r="AY44" s="11">
        <f>6198.46256911315/(10^3)</f>
        <v>6.1984625691131496</v>
      </c>
      <c r="AZ44" s="11">
        <f>6298.04018042657/(10^3)</f>
        <v>6.29804018042657</v>
      </c>
      <c r="BA44" s="11">
        <v>6.3910459279009935</v>
      </c>
      <c r="BB44" s="11">
        <f>6289.57925079665/(10^3)</f>
        <v>6.2895792507966499</v>
      </c>
      <c r="BC44" s="11">
        <f>6210.80461367511/(10^3)</f>
        <v>6.2108046136751103</v>
      </c>
      <c r="BD44" s="11">
        <f>6160.32011886565/(10^3)</f>
        <v>6.1603201188656502</v>
      </c>
      <c r="BE44" s="11">
        <f>6006.2088884359/(10^3)</f>
        <v>6.0062088884359</v>
      </c>
      <c r="BF44" s="11">
        <f>6139.51359133242/(10^3)</f>
        <v>6.1395135913324204</v>
      </c>
      <c r="BG44" s="11">
        <v>6.4018906137623617</v>
      </c>
      <c r="BH44" s="11">
        <f>6576.57208497151/(10^3)</f>
        <v>6.5765720849715095</v>
      </c>
      <c r="BI44" s="11">
        <f>6650.4187306148/(10^3)</f>
        <v>6.6504187306147999</v>
      </c>
      <c r="BJ44" s="11">
        <f>7286.93103848622/(10^3)</f>
        <v>7.2869310384862205</v>
      </c>
      <c r="BK44" s="11">
        <f>7367.75414347517/(10^3)</f>
        <v>7.3677541434751701</v>
      </c>
      <c r="BL44" s="11">
        <f>7727.17414308627/(10^3)</f>
        <v>7.7271741430862706</v>
      </c>
      <c r="BM44" s="11">
        <v>7.9461740512439203</v>
      </c>
      <c r="BN44" s="11">
        <f>8088.71228568146/(10^3)</f>
        <v>8.0887122856814599</v>
      </c>
      <c r="BO44" s="11">
        <f>8067.97205314992/(10^3)</f>
        <v>8.0679720531499193</v>
      </c>
      <c r="BP44" s="11">
        <f>7972.31796726496/(10^3)</f>
        <v>7.97231796726496</v>
      </c>
      <c r="BQ44" s="11">
        <f>7928.57282777924/(10^3)</f>
        <v>7.9285728277792398</v>
      </c>
      <c r="BR44" s="11">
        <f>8177.68829091873/(10^3)</f>
        <v>8.177688290918729</v>
      </c>
      <c r="BS44" s="11">
        <v>8.482061192217472</v>
      </c>
      <c r="BT44" s="11">
        <f>8442.25309376845/(10^3)</f>
        <v>8.4422530937684499</v>
      </c>
      <c r="BU44" s="11">
        <f>8390.29644615297/(10^3)</f>
        <v>8.3902964461529699</v>
      </c>
      <c r="BV44" s="11">
        <f>9135.80996846024/(10^3)</f>
        <v>9.1358099684602401</v>
      </c>
      <c r="BW44" s="11">
        <f>9258.32982990473/(10^3)</f>
        <v>9.2583298299047296</v>
      </c>
      <c r="BX44" s="11">
        <f>9617.29685389422/(10^3)</f>
        <v>9.6172968538942207</v>
      </c>
      <c r="BY44" s="11">
        <v>9.6978844294490436</v>
      </c>
      <c r="BZ44" s="11">
        <f>9697.88442944904/(10^3)</f>
        <v>9.6978844294490401</v>
      </c>
      <c r="CA44" s="11">
        <f>9730.14600268273/(10^3)</f>
        <v>9.73014600268273</v>
      </c>
      <c r="CB44" s="11">
        <f>9715.57932732975/(10^3)</f>
        <v>9.715579327329749</v>
      </c>
      <c r="CC44" s="12"/>
      <c r="DD44" s="11"/>
      <c r="DE44" s="11"/>
      <c r="DF44" s="11"/>
    </row>
    <row r="45" spans="4:110" x14ac:dyDescent="0.25">
      <c r="D45" s="13" t="s">
        <v>22</v>
      </c>
      <c r="E45" s="13" t="s">
        <v>19</v>
      </c>
      <c r="F45" s="10" t="s">
        <v>151</v>
      </c>
      <c r="G45" s="13"/>
      <c r="H45" s="67" t="str">
        <f t="shared" si="2"/>
        <v xml:space="preserve">Denver </v>
      </c>
      <c r="I45" s="11">
        <f>14129/(10^3)</f>
        <v>14.129</v>
      </c>
      <c r="J45" s="11">
        <f>14191.1480210142/(10^3)</f>
        <v>14.1911480210142</v>
      </c>
      <c r="K45" s="11">
        <v>14.525315023539045</v>
      </c>
      <c r="L45" s="11">
        <f>14253.2037834054/(10^3)</f>
        <v>14.2532037834054</v>
      </c>
      <c r="M45" s="11">
        <f>14674.9477379626/(10^3)</f>
        <v>14.674947737962601</v>
      </c>
      <c r="N45" s="11">
        <f>14755.7781853296/(10^3)</f>
        <v>14.7557781853296</v>
      </c>
      <c r="O45" s="11">
        <f>15408.1108136368/(10^3)</f>
        <v>15.408110813636799</v>
      </c>
      <c r="P45" s="11">
        <f>15829.8352639023/(10^3)</f>
        <v>15.8298352639023</v>
      </c>
      <c r="Q45" s="11">
        <v>15.986365318809591</v>
      </c>
      <c r="R45" s="11">
        <f>15882.4627185683/(10^3)</f>
        <v>15.8824627185683</v>
      </c>
      <c r="S45" s="11">
        <f>16250.2222029375/(10^3)</f>
        <v>16.250222202937501</v>
      </c>
      <c r="T45" s="11">
        <f>15976.9182376558/(10^3)</f>
        <v>15.9769182376558</v>
      </c>
      <c r="U45" s="11">
        <f>16493.5921627798/(10^3)</f>
        <v>16.493592162779802</v>
      </c>
      <c r="V45" s="11">
        <f>16334.7017748978/(10^3)</f>
        <v>16.334701774897798</v>
      </c>
      <c r="W45" s="11">
        <v>16.737834055883585</v>
      </c>
      <c r="X45" s="11">
        <f>16700.6890218766/(10^3)</f>
        <v>16.700689021876599</v>
      </c>
      <c r="Y45" s="11">
        <f>16444.1683349813/(10^3)</f>
        <v>16.444168334981299</v>
      </c>
      <c r="Z45" s="11">
        <f>17724.7732773834/(10^3)</f>
        <v>17.724773277383399</v>
      </c>
      <c r="AA45" s="11">
        <f>17765.7507174199/(10^3)</f>
        <v>17.765750717419902</v>
      </c>
      <c r="AB45" s="11">
        <f>18254.8303272338/(10^3)</f>
        <v>18.254830327233801</v>
      </c>
      <c r="AC45" s="11">
        <v>18.267955000865875</v>
      </c>
      <c r="AD45" s="11">
        <f>18632.5133172658/(10^3)</f>
        <v>18.632513317265797</v>
      </c>
      <c r="AE45" s="11">
        <f>18376.9087193529/(10^3)</f>
        <v>18.376908719352901</v>
      </c>
      <c r="AF45" s="11">
        <f>18241.2681641965/(10^3)</f>
        <v>18.241268164196498</v>
      </c>
      <c r="AG45" s="11">
        <f>17853.061129953/(10^3)</f>
        <v>17.853061129952998</v>
      </c>
      <c r="AH45" s="11">
        <f>18715.1939595466/(10^3)</f>
        <v>18.7151939595466</v>
      </c>
      <c r="AI45" s="11">
        <v>18.29045961889577</v>
      </c>
      <c r="AJ45" s="11">
        <f>18138.6046061475/(10^3)</f>
        <v>18.138604606147499</v>
      </c>
      <c r="AK45" s="11">
        <f>18757.5661113576/(10^3)</f>
        <v>18.757566111357598</v>
      </c>
      <c r="AL45" s="11">
        <f>19297.5443969771/(10^3)</f>
        <v>19.297544396977102</v>
      </c>
      <c r="AM45" s="11">
        <f>19743.8183483142/(10^3)</f>
        <v>19.7438183483142</v>
      </c>
      <c r="AN45" s="11">
        <f>20714.417320581/(10^3)</f>
        <v>20.714417320580999</v>
      </c>
      <c r="AO45" s="11">
        <v>21.639262425473998</v>
      </c>
      <c r="AP45" s="11">
        <f>22707.9576780142/(10^3)</f>
        <v>22.7079576780142</v>
      </c>
      <c r="AQ45" s="11">
        <f>23824.7277722045/(10^3)</f>
        <v>23.824727772204501</v>
      </c>
      <c r="AR45" s="11">
        <f>24283.2573670238/(10^3)</f>
        <v>24.283257367023801</v>
      </c>
      <c r="AS45" s="11">
        <f>25457.949467027/(10^3)</f>
        <v>25.457949467026999</v>
      </c>
      <c r="AT45" s="11">
        <f>25749.4893299829/(10^3)</f>
        <v>25.749489329982897</v>
      </c>
      <c r="AU45" s="11">
        <v>26.919617653210437</v>
      </c>
      <c r="AV45" s="11">
        <f>26735.7802362933/(10^3)</f>
        <v>26.735780236293301</v>
      </c>
      <c r="AW45" s="11">
        <f>26420.0788428245/(10^3)</f>
        <v>26.420078842824498</v>
      </c>
      <c r="AX45" s="11">
        <f>28679.9252109185/(10^3)</f>
        <v>28.679925210918501</v>
      </c>
      <c r="AY45" s="11">
        <f>30045.5703930142/(10^3)</f>
        <v>30.045570393014202</v>
      </c>
      <c r="AZ45" s="11">
        <f>30265.0473589915/(10^3)</f>
        <v>30.265047358991499</v>
      </c>
      <c r="BA45" s="11">
        <v>31.093174406958216</v>
      </c>
      <c r="BB45" s="11">
        <f>30351.8264114562/(10^3)</f>
        <v>30.351826411456202</v>
      </c>
      <c r="BC45" s="11">
        <f>28914.7224836339/(10^3)</f>
        <v>28.914722483633902</v>
      </c>
      <c r="BD45" s="11">
        <f>28715.2946462719/(10^3)</f>
        <v>28.7152946462719</v>
      </c>
      <c r="BE45" s="11">
        <f>27925.9099595052/(10^3)</f>
        <v>27.925909959505198</v>
      </c>
      <c r="BF45" s="11">
        <f>29178.9793801007/(10^3)</f>
        <v>29.178979380100699</v>
      </c>
      <c r="BG45" s="11">
        <v>29.936317870963407</v>
      </c>
      <c r="BH45" s="11">
        <f>29810.1177786952/(10^3)</f>
        <v>29.810117778695201</v>
      </c>
      <c r="BI45" s="11">
        <f>30877.7158723322/(10^3)</f>
        <v>30.8777158723322</v>
      </c>
      <c r="BJ45" s="11">
        <f>31480.2906993496/(10^3)</f>
        <v>31.480290699349599</v>
      </c>
      <c r="BK45" s="11">
        <f>32662.7533174864/(10^3)</f>
        <v>32.662753317486398</v>
      </c>
      <c r="BL45" s="11">
        <f>33335.9005850788/(10^3)</f>
        <v>33.335900585078804</v>
      </c>
      <c r="BM45" s="11">
        <v>33.514843402289358</v>
      </c>
      <c r="BN45" s="11">
        <f>33736.9758222224/(10^3)</f>
        <v>33.736975822222398</v>
      </c>
      <c r="BO45" s="11">
        <f>30593.6409333999/(10^3)</f>
        <v>30.5936409333999</v>
      </c>
      <c r="BP45" s="11">
        <f>29884.5069096256/(10^3)</f>
        <v>29.8845069096256</v>
      </c>
      <c r="BQ45" s="11">
        <f>29558.7432222461/(10^3)</f>
        <v>29.5587432222461</v>
      </c>
      <c r="BR45" s="11">
        <f>30755.0754357338/(10^3)</f>
        <v>30.755075435733801</v>
      </c>
      <c r="BS45" s="11">
        <v>30.3400678267265</v>
      </c>
      <c r="BT45" s="11">
        <f>30324.1071843544/(10^3)</f>
        <v>30.3241071843544</v>
      </c>
      <c r="BU45" s="11">
        <f>29868.7942958273/(10^3)</f>
        <v>29.8687942958273</v>
      </c>
      <c r="BV45" s="11">
        <f>32759.3375869957/(10^3)</f>
        <v>32.759337586995699</v>
      </c>
      <c r="BW45" s="11">
        <f>33823.7422094179/(10^3)</f>
        <v>33.823742209417901</v>
      </c>
      <c r="BX45" s="11">
        <f>34230.2312895643/(10^3)</f>
        <v>34.230231289564294</v>
      </c>
      <c r="BY45" s="11">
        <v>34.165262455548671</v>
      </c>
      <c r="BZ45" s="11">
        <f>34165.2624555487/(10^3)</f>
        <v>34.165262455548699</v>
      </c>
      <c r="CA45" s="11">
        <f>35192.6194380747/(10^3)</f>
        <v>35.192619438074694</v>
      </c>
      <c r="CB45" s="11">
        <f>35363.9195660963/(10^3)</f>
        <v>35.3639195660963</v>
      </c>
      <c r="CC45" s="12"/>
      <c r="DD45" s="11"/>
      <c r="DE45" s="11"/>
      <c r="DF45" s="11"/>
    </row>
    <row r="46" spans="4:110" x14ac:dyDescent="0.25">
      <c r="D46" s="13" t="s">
        <v>24</v>
      </c>
      <c r="E46" s="13" t="s">
        <v>23</v>
      </c>
      <c r="F46" s="10" t="s">
        <v>149</v>
      </c>
      <c r="G46" s="13"/>
      <c r="H46" s="67" t="str">
        <f t="shared" si="2"/>
        <v xml:space="preserve">Des Moines </v>
      </c>
      <c r="I46" s="11">
        <f>9021/(10^3)</f>
        <v>9.0210000000000008</v>
      </c>
      <c r="J46" s="11">
        <f>8829.82505395545/(10^3)</f>
        <v>8.8298250539554495</v>
      </c>
      <c r="K46" s="11">
        <v>8.7125711053176964</v>
      </c>
      <c r="L46" s="11">
        <f>8962.96449948715/(10^3)</f>
        <v>8.9629644994871498</v>
      </c>
      <c r="M46" s="11">
        <f>8842.6135225878/(10^3)</f>
        <v>8.8426135225878006</v>
      </c>
      <c r="N46" s="11">
        <f>9020.70303499169/(10^3)</f>
        <v>9.0207030349916888</v>
      </c>
      <c r="O46" s="11">
        <f>8790.37380968185/(10^3)</f>
        <v>8.7903738096818511</v>
      </c>
      <c r="P46" s="11">
        <f>8550.33954547081/(10^3)</f>
        <v>8.5503395454708091</v>
      </c>
      <c r="Q46" s="11">
        <v>8.8928446782127271</v>
      </c>
      <c r="R46" s="11">
        <f>8746.54582217501/(10^3)</f>
        <v>8.7465458221750101</v>
      </c>
      <c r="S46" s="11">
        <f>8722.88451627276/(10^3)</f>
        <v>8.7228845162727602</v>
      </c>
      <c r="T46" s="11">
        <f>9050.48667788886/(10^3)</f>
        <v>9.0504866778888609</v>
      </c>
      <c r="U46" s="11">
        <f>8794.18776435603/(10^3)</f>
        <v>8.79418776435603</v>
      </c>
      <c r="V46" s="11">
        <f>8537.18304952614/(10^3)</f>
        <v>8.5371830495261403</v>
      </c>
      <c r="W46" s="11">
        <v>8.7754307259603355</v>
      </c>
      <c r="X46" s="11">
        <f>9210.35654310906/(10^3)</f>
        <v>9.210356543109059</v>
      </c>
      <c r="Y46" s="11">
        <f>9017.97035589993/(10^3)</f>
        <v>9.01797035589993</v>
      </c>
      <c r="Z46" s="11">
        <f>9259.71525131342/(10^3)</f>
        <v>9.2597152513134198</v>
      </c>
      <c r="AA46" s="11">
        <f>9615.15522968383/(10^3)</f>
        <v>9.6151552296838307</v>
      </c>
      <c r="AB46" s="11">
        <f>9784.56608194809/(10^3)</f>
        <v>9.7845660819480909</v>
      </c>
      <c r="AC46" s="11">
        <v>9.926121652906815</v>
      </c>
      <c r="AD46" s="11">
        <f>9757.50075783411/(10^3)</f>
        <v>9.7575007578341104</v>
      </c>
      <c r="AE46" s="11">
        <f>9856.35681145216/(10^3)</f>
        <v>9.8563568114521605</v>
      </c>
      <c r="AF46" s="11">
        <f>10272.1452015297/(10^3)</f>
        <v>10.2721452015297</v>
      </c>
      <c r="AG46" s="11">
        <f>10399.6004413374/(10^3)</f>
        <v>10.3996004413374</v>
      </c>
      <c r="AH46" s="11">
        <f>10542.0623408278/(10^3)</f>
        <v>10.542062340827801</v>
      </c>
      <c r="AI46" s="11">
        <v>10.326498423003533</v>
      </c>
      <c r="AJ46" s="11">
        <f>10496.6966595583/(10^3)</f>
        <v>10.4966966595583</v>
      </c>
      <c r="AK46" s="11">
        <f>10570.7721095656/(10^3)</f>
        <v>10.570772109565599</v>
      </c>
      <c r="AL46" s="11">
        <f>11014.9651348723/(10^3)</f>
        <v>11.0149651348723</v>
      </c>
      <c r="AM46" s="11">
        <f>11203.7057422483/(10^3)</f>
        <v>11.2037057422483</v>
      </c>
      <c r="AN46" s="11">
        <f>11282.841170604/(10^3)</f>
        <v>11.282841170604</v>
      </c>
      <c r="AO46" s="11">
        <v>11.673849951023596</v>
      </c>
      <c r="AP46" s="11">
        <f>11471.0616823973/(10^3)</f>
        <v>11.4710616823973</v>
      </c>
      <c r="AQ46" s="11">
        <f>11966.7525786447/(10^3)</f>
        <v>11.9667525786447</v>
      </c>
      <c r="AR46" s="11">
        <f>11838.7158099876/(10^3)</f>
        <v>11.838715809987599</v>
      </c>
      <c r="AS46" s="11">
        <f>11878.6939215423/(10^3)</f>
        <v>11.8786939215423</v>
      </c>
      <c r="AT46" s="11">
        <f>11647.7620379498/(10^3)</f>
        <v>11.6477620379498</v>
      </c>
      <c r="AU46" s="11">
        <v>11.509288633757722</v>
      </c>
      <c r="AV46" s="11">
        <f>11362.2603630724/(10^3)</f>
        <v>11.362260363072402</v>
      </c>
      <c r="AW46" s="11">
        <f>11812.0904327962/(10^3)</f>
        <v>11.8120904327962</v>
      </c>
      <c r="AX46" s="11">
        <f>12656.365495854/(10^3)</f>
        <v>12.656365495853999</v>
      </c>
      <c r="AY46" s="11">
        <f>13094.2538935757/(10^3)</f>
        <v>13.094253893575701</v>
      </c>
      <c r="AZ46" s="11">
        <f>13722.2793516132/(10^3)</f>
        <v>13.722279351613201</v>
      </c>
      <c r="BA46" s="11">
        <v>13.775852954350661</v>
      </c>
      <c r="BB46" s="11">
        <f>14214.9548851356/(10^3)</f>
        <v>14.214954885135599</v>
      </c>
      <c r="BC46" s="11">
        <f>13969.2791564937/(10^3)</f>
        <v>13.9692791564937</v>
      </c>
      <c r="BD46" s="11">
        <f>13858.8411039557/(10^3)</f>
        <v>13.858841103955699</v>
      </c>
      <c r="BE46" s="11">
        <f>13540.3734407338/(10^3)</f>
        <v>13.5403734407338</v>
      </c>
      <c r="BF46" s="11">
        <f>14033.5824395778/(10^3)</f>
        <v>14.033582439577801</v>
      </c>
      <c r="BG46" s="11">
        <v>14.72725900183203</v>
      </c>
      <c r="BH46" s="11">
        <f>14714.4883143668/(10^3)</f>
        <v>14.714488314366799</v>
      </c>
      <c r="BI46" s="11">
        <f>14405.8336655321/(10^3)</f>
        <v>14.4058336655321</v>
      </c>
      <c r="BJ46" s="11">
        <f>15280.9564973177/(10^3)</f>
        <v>15.2809564973177</v>
      </c>
      <c r="BK46" s="11">
        <f>16003.1269524402/(10^3)</f>
        <v>16.003126952440201</v>
      </c>
      <c r="BL46" s="11">
        <f>16359.075433477/(10^3)</f>
        <v>16.359075433477003</v>
      </c>
      <c r="BM46" s="11">
        <v>16.62239069056006</v>
      </c>
      <c r="BN46" s="11">
        <f>16676.416976618/(10^3)</f>
        <v>16.676416976617997</v>
      </c>
      <c r="BO46" s="11">
        <f>15442.454506307/(10^3)</f>
        <v>15.442454506307</v>
      </c>
      <c r="BP46" s="11">
        <f>14967.4246897544/(10^3)</f>
        <v>14.967424689754401</v>
      </c>
      <c r="BQ46" s="11">
        <f>14692.8921302041/(10^3)</f>
        <v>14.6928921302041</v>
      </c>
      <c r="BR46" s="11">
        <f>14304.6881403372/(10^3)</f>
        <v>14.3046881403372</v>
      </c>
      <c r="BS46" s="11">
        <v>14.216189219970737</v>
      </c>
      <c r="BT46" s="11">
        <f>13992.7225965133/(10^3)</f>
        <v>13.9927225965133</v>
      </c>
      <c r="BU46" s="11">
        <f>13696.7723497219/(10^3)</f>
        <v>13.696772349721899</v>
      </c>
      <c r="BV46" s="11">
        <f>14427.8754069393/(10^3)</f>
        <v>14.4278754069393</v>
      </c>
      <c r="BW46" s="11">
        <f>15030.8841402792/(10^3)</f>
        <v>15.0308841402792</v>
      </c>
      <c r="BX46" s="11">
        <f>15555.2330716273/(10^3)</f>
        <v>15.555233071627301</v>
      </c>
      <c r="BY46" s="11">
        <v>16.531013846190451</v>
      </c>
      <c r="BZ46" s="11">
        <f>16531.0138461904/(10^3)</f>
        <v>16.531013846190397</v>
      </c>
      <c r="CA46" s="11">
        <f>17248.1973022764/(10^3)</f>
        <v>17.248197302276399</v>
      </c>
      <c r="CB46" s="11">
        <f>17526.1065168317/(10^3)</f>
        <v>17.5261065168317</v>
      </c>
      <c r="CC46" s="12"/>
      <c r="DD46" s="11"/>
      <c r="DE46" s="11"/>
      <c r="DF46" s="11"/>
    </row>
    <row r="47" spans="4:110" x14ac:dyDescent="0.25">
      <c r="D47" s="13" t="s">
        <v>26</v>
      </c>
      <c r="E47" s="13" t="s">
        <v>25</v>
      </c>
      <c r="F47" s="10" t="s">
        <v>149</v>
      </c>
      <c r="G47" s="13"/>
      <c r="H47" s="67" t="str">
        <f t="shared" si="2"/>
        <v xml:space="preserve">Detroit </v>
      </c>
      <c r="I47" s="11">
        <f>3297/(10^3)</f>
        <v>3.2970000000000002</v>
      </c>
      <c r="J47" s="11">
        <f>3283.10942419749/(10^3)</f>
        <v>3.2831094241974901</v>
      </c>
      <c r="K47" s="11">
        <v>3.2032512956100225</v>
      </c>
      <c r="L47" s="11">
        <f>3305.57729470536/(10^3)</f>
        <v>3.3055772947053601</v>
      </c>
      <c r="M47" s="11">
        <f>3301.54208809813/(10^3)</f>
        <v>3.3015420880981301</v>
      </c>
      <c r="N47" s="11">
        <f>3334.67479985359/(10^3)</f>
        <v>3.3346747998535897</v>
      </c>
      <c r="O47" s="11">
        <f>3448.86735778431/(10^3)</f>
        <v>3.4488673577843101</v>
      </c>
      <c r="P47" s="11">
        <f>3393.76249282315/(10^3)</f>
        <v>3.39376249282315</v>
      </c>
      <c r="Q47" s="11">
        <v>3.3468007257817929</v>
      </c>
      <c r="R47" s="11">
        <f>3322.11433714691/(10^3)</f>
        <v>3.3221143371469104</v>
      </c>
      <c r="S47" s="11">
        <f>3446.54795830508/(10^3)</f>
        <v>3.44654795830508</v>
      </c>
      <c r="T47" s="11">
        <f>3474.66257539325/(10^3)</f>
        <v>3.4746625753932499</v>
      </c>
      <c r="U47" s="11">
        <f>3551.58169130366/(10^3)</f>
        <v>3.5515816913036602</v>
      </c>
      <c r="V47" s="11">
        <f>3576.52377112818/(10^3)</f>
        <v>3.5765237711281803</v>
      </c>
      <c r="W47" s="11">
        <v>3.6496049535759059</v>
      </c>
      <c r="X47" s="11">
        <f>3636.04823906304/(10^3)</f>
        <v>3.6360482390630402</v>
      </c>
      <c r="Y47" s="11">
        <f>3669.16631918497/(10^3)</f>
        <v>3.6691663191849697</v>
      </c>
      <c r="Z47" s="11">
        <f>4028.57218825076/(10^3)</f>
        <v>4.0285721882507604</v>
      </c>
      <c r="AA47" s="11">
        <f>4095.07926109927/(10^3)</f>
        <v>4.0950792610992695</v>
      </c>
      <c r="AB47" s="11">
        <f>4290.53472268733/(10^3)</f>
        <v>4.2905347226873296</v>
      </c>
      <c r="AC47" s="11">
        <v>4.3408167219278146</v>
      </c>
      <c r="AD47" s="11">
        <f>4334.8871423337/(10^3)</f>
        <v>4.3348871423336997</v>
      </c>
      <c r="AE47" s="11">
        <f>4475.5072007833/(10^3)</f>
        <v>4.4755072007832997</v>
      </c>
      <c r="AF47" s="11">
        <f>4551.23775780964/(10^3)</f>
        <v>4.5512377578096403</v>
      </c>
      <c r="AG47" s="11">
        <f>4433.11829959206/(10^3)</f>
        <v>4.4331182995920599</v>
      </c>
      <c r="AH47" s="11">
        <f>4516.82762378587/(10^3)</f>
        <v>4.5168276237858702</v>
      </c>
      <c r="AI47" s="11">
        <v>4.5094268569414346</v>
      </c>
      <c r="AJ47" s="11">
        <f>4573.99491505497/(10^3)</f>
        <v>4.5739949150549704</v>
      </c>
      <c r="AK47" s="11">
        <f>4535.62960018491/(10^3)</f>
        <v>4.5356296001849099</v>
      </c>
      <c r="AL47" s="11">
        <f>4482.8311570751/(10^3)</f>
        <v>4.4828311570751005</v>
      </c>
      <c r="AM47" s="11">
        <f>4659.35605628651/(10^3)</f>
        <v>4.6593560562865095</v>
      </c>
      <c r="AN47" s="11">
        <f>4760.47707327027/(10^3)</f>
        <v>4.7604770732702697</v>
      </c>
      <c r="AO47" s="11">
        <v>4.7888276571976949</v>
      </c>
      <c r="AP47" s="11">
        <f>4937.73744041558/(10^3)</f>
        <v>4.9377374404155798</v>
      </c>
      <c r="AQ47" s="11">
        <f>5140.11582830044/(10^3)</f>
        <v>5.1401158283004396</v>
      </c>
      <c r="AR47" s="11">
        <f>5351.92586268485/(10^3)</f>
        <v>5.3519258626848494</v>
      </c>
      <c r="AS47" s="11">
        <f>5618.79019820191/(10^3)</f>
        <v>5.6187901982019106</v>
      </c>
      <c r="AT47" s="11">
        <f>5563.95714811909/(10^3)</f>
        <v>5.5639571481190897</v>
      </c>
      <c r="AU47" s="11">
        <v>5.431970683955293</v>
      </c>
      <c r="AV47" s="11">
        <f>5473.65866744246/(10^3)</f>
        <v>5.4736586674424599</v>
      </c>
      <c r="AW47" s="11">
        <f>5554.36154305526/(10^3)</f>
        <v>5.5543615430552595</v>
      </c>
      <c r="AX47" s="11">
        <f>5923.43307617489/(10^3)</f>
        <v>5.9234330761748897</v>
      </c>
      <c r="AY47" s="11">
        <f>5985.79108411441/(10^3)</f>
        <v>5.9857910841144104</v>
      </c>
      <c r="AZ47" s="11">
        <f>6044.94912882207/(10^3)</f>
        <v>6.0449491288220694</v>
      </c>
      <c r="BA47" s="11">
        <v>6.1297096711394454</v>
      </c>
      <c r="BB47" s="11">
        <f>6369.26426891543/(10^3)</f>
        <v>6.3692642689154297</v>
      </c>
      <c r="BC47" s="11">
        <f>5974.60174562747/(10^3)</f>
        <v>5.9746017456274707</v>
      </c>
      <c r="BD47" s="11">
        <f>5382.83401244583/(10^3)</f>
        <v>5.38283401244583</v>
      </c>
      <c r="BE47" s="11">
        <f>5207.85904323827/(10^3)</f>
        <v>5.2078590432382699</v>
      </c>
      <c r="BF47" s="11">
        <f>5428.80733412915/(10^3)</f>
        <v>5.4288073341291501</v>
      </c>
      <c r="BG47" s="11">
        <v>5.6456751651338024</v>
      </c>
      <c r="BH47" s="11">
        <f>5874.02744043756/(10^3)</f>
        <v>5.8740274404375592</v>
      </c>
      <c r="BI47" s="11">
        <f>6124.29392652907/(10^3)</f>
        <v>6.1242939265290701</v>
      </c>
      <c r="BJ47" s="11">
        <f>6436.28747924558/(10^3)</f>
        <v>6.4362874792455793</v>
      </c>
      <c r="BK47" s="11">
        <f>6617.72590406198/(10^3)</f>
        <v>6.61772590406198</v>
      </c>
      <c r="BL47" s="11">
        <f>6836.22383602001/(10^3)</f>
        <v>6.83622383602001</v>
      </c>
      <c r="BM47" s="11">
        <v>6.9452472489544164</v>
      </c>
      <c r="BN47" s="11">
        <f>6943.3684149295/(10^3)</f>
        <v>6.9433684149295001</v>
      </c>
      <c r="BO47" s="11">
        <f>6565.0682297837/(10^3)</f>
        <v>6.5650682297836997</v>
      </c>
      <c r="BP47" s="11">
        <f>6373.40106057449/(10^3)</f>
        <v>6.3734010605744897</v>
      </c>
      <c r="BQ47" s="11">
        <f>6256.09820609719/(10^3)</f>
        <v>6.2560982060971897</v>
      </c>
      <c r="BR47" s="11">
        <f>6166.28652322865/(10^3)</f>
        <v>6.1662865232286501</v>
      </c>
      <c r="BS47" s="11">
        <v>6.0877018050122755</v>
      </c>
      <c r="BT47" s="11">
        <f>6044.84631736966/(10^3)</f>
        <v>6.04484631736966</v>
      </c>
      <c r="BU47" s="11">
        <f>6163.52906565489/(10^3)</f>
        <v>6.16352906565489</v>
      </c>
      <c r="BV47" s="11">
        <f>6761.54008488155/(10^3)</f>
        <v>6.7615400848815499</v>
      </c>
      <c r="BW47" s="11">
        <f>6764.34819355281/(10^3)</f>
        <v>6.7643481935528094</v>
      </c>
      <c r="BX47" s="11">
        <f>6928.92124150057/(10^3)</f>
        <v>6.9289212415005705</v>
      </c>
      <c r="BY47" s="11">
        <v>7.3516292791272608</v>
      </c>
      <c r="BZ47" s="11">
        <f>7351.62927912726/(10^3)</f>
        <v>7.3516292791272599</v>
      </c>
      <c r="CA47" s="11">
        <f>7553.30805769541/(10^3)</f>
        <v>7.5533080576954097</v>
      </c>
      <c r="CB47" s="11">
        <f>7875.30378315502/(10^3)</f>
        <v>7.8753037831550197</v>
      </c>
      <c r="CC47" s="12"/>
      <c r="DD47" s="11"/>
      <c r="DE47" s="11"/>
      <c r="DF47" s="11"/>
    </row>
    <row r="48" spans="4:110" x14ac:dyDescent="0.25">
      <c r="D48" s="13" t="s">
        <v>28</v>
      </c>
      <c r="E48" s="13" t="s">
        <v>27</v>
      </c>
      <c r="F48" s="10" t="s">
        <v>149</v>
      </c>
      <c r="G48" s="13"/>
      <c r="H48" s="67" t="str">
        <f t="shared" si="2"/>
        <v xml:space="preserve">Fort Wayne </v>
      </c>
      <c r="I48" s="11">
        <f>9801/(10^3)</f>
        <v>9.8010000000000002</v>
      </c>
      <c r="J48" s="11">
        <f>10013.829594804/(10^3)</f>
        <v>10.013829594803999</v>
      </c>
      <c r="K48" s="11">
        <v>9.8541723089360289</v>
      </c>
      <c r="L48" s="11">
        <f>10093.8677435981/(10^3)</f>
        <v>10.0938677435981</v>
      </c>
      <c r="M48" s="11">
        <f>10062.8638736757/(10^3)</f>
        <v>10.062863873675701</v>
      </c>
      <c r="N48" s="11">
        <f>9979.02696902874/(10^3)</f>
        <v>9.979026969028741</v>
      </c>
      <c r="O48" s="11">
        <f>10427.1751118534/(10^3)</f>
        <v>10.4271751118534</v>
      </c>
      <c r="P48" s="11">
        <f>10561.9149166641/(10^3)</f>
        <v>10.561914916664101</v>
      </c>
      <c r="Q48" s="11">
        <v>10.549504714995393</v>
      </c>
      <c r="R48" s="11">
        <f>10691.3865664597/(10^3)</f>
        <v>10.6913865664597</v>
      </c>
      <c r="S48" s="11">
        <f>11169.138315075/(10^3)</f>
        <v>11.169138315075001</v>
      </c>
      <c r="T48" s="11">
        <f>11456.923017662/(10^3)</f>
        <v>11.456923017662</v>
      </c>
      <c r="U48" s="11">
        <f>11216.042293082/(10^3)</f>
        <v>11.216042293082001</v>
      </c>
      <c r="V48" s="11">
        <f>11603.775702764/(10^3)</f>
        <v>11.603775702764</v>
      </c>
      <c r="W48" s="11">
        <v>11.660474290583339</v>
      </c>
      <c r="X48" s="11">
        <f>12239.1267179114/(10^3)</f>
        <v>12.2391267179114</v>
      </c>
      <c r="Y48" s="11">
        <f>12516.281535361/(10^3)</f>
        <v>12.516281535361001</v>
      </c>
      <c r="Z48" s="11">
        <f>13121.1029120355/(10^3)</f>
        <v>13.1211029120355</v>
      </c>
      <c r="AA48" s="11">
        <f>13228.5369863264/(10^3)</f>
        <v>13.2285369863264</v>
      </c>
      <c r="AB48" s="11">
        <f>13875.569859974/(10^3)</f>
        <v>13.875569859974</v>
      </c>
      <c r="AC48" s="11">
        <v>13.939031066337085</v>
      </c>
      <c r="AD48" s="11">
        <f>14257.3276558057/(10^3)</f>
        <v>14.2573276558057</v>
      </c>
      <c r="AE48" s="11">
        <f>14160.4531364808/(10^3)</f>
        <v>14.1604531364808</v>
      </c>
      <c r="AF48" s="11">
        <f>14342.2105296353/(10^3)</f>
        <v>14.342210529635301</v>
      </c>
      <c r="AG48" s="11">
        <f>14994.9371516409/(10^3)</f>
        <v>14.994937151640899</v>
      </c>
      <c r="AH48" s="11">
        <f>15587.0999492815/(10^3)</f>
        <v>15.587099949281502</v>
      </c>
      <c r="AI48" s="11">
        <v>15.928367601424521</v>
      </c>
      <c r="AJ48" s="11">
        <f>15962.2375103134/(10^3)</f>
        <v>15.9622375103134</v>
      </c>
      <c r="AK48" s="11">
        <f>15807.5700878243/(10^3)</f>
        <v>15.807570087824301</v>
      </c>
      <c r="AL48" s="11">
        <f>15350.4307180254/(10^3)</f>
        <v>15.3504307180254</v>
      </c>
      <c r="AM48" s="11">
        <f>15521.5376581957/(10^3)</f>
        <v>15.521537658195701</v>
      </c>
      <c r="AN48" s="11">
        <f>16289.2349133417/(10^3)</f>
        <v>16.289234913341698</v>
      </c>
      <c r="AO48" s="11">
        <v>16.335182733888086</v>
      </c>
      <c r="AP48" s="11">
        <f>16366.4154935713/(10^3)</f>
        <v>16.366415493571299</v>
      </c>
      <c r="AQ48" s="11">
        <f>16078.5649007321/(10^3)</f>
        <v>16.078564900732101</v>
      </c>
      <c r="AR48" s="11">
        <f>16717.0680483126/(10^3)</f>
        <v>16.717068048312601</v>
      </c>
      <c r="AS48" s="11">
        <f>16253.9197046016/(10^3)</f>
        <v>16.2539197046016</v>
      </c>
      <c r="AT48" s="11">
        <f>16889.1776624887/(10^3)</f>
        <v>16.889177662488699</v>
      </c>
      <c r="AU48" s="11">
        <v>16.607631399927367</v>
      </c>
      <c r="AV48" s="11">
        <f>16977.0015475813/(10^3)</f>
        <v>16.977001547581303</v>
      </c>
      <c r="AW48" s="11">
        <f>17178.6735237029/(10^3)</f>
        <v>17.178673523702898</v>
      </c>
      <c r="AX48" s="11">
        <f>17980.5958057021/(10^3)</f>
        <v>17.980595805702102</v>
      </c>
      <c r="AY48" s="11">
        <f>18664.2967359318/(10^3)</f>
        <v>18.664296735931799</v>
      </c>
      <c r="AZ48" s="11">
        <f>18742.9193560509/(10^3)</f>
        <v>18.742919356050901</v>
      </c>
      <c r="BA48" s="11">
        <v>19.269640807661208</v>
      </c>
      <c r="BB48" s="11">
        <f>20195.4612698582/(10^3)</f>
        <v>20.1954612698582</v>
      </c>
      <c r="BC48" s="11">
        <f>18176.8847384015/(10^3)</f>
        <v>18.176884738401498</v>
      </c>
      <c r="BD48" s="11">
        <f>17011.9534872211/(10^3)</f>
        <v>17.011953487221099</v>
      </c>
      <c r="BE48" s="11">
        <f>16542.8018188986/(10^3)</f>
        <v>16.542801818898599</v>
      </c>
      <c r="BF48" s="11">
        <f>16102.851194752/(10^3)</f>
        <v>16.102851194751999</v>
      </c>
      <c r="BG48" s="11">
        <v>16.134248834633162</v>
      </c>
      <c r="BH48" s="11">
        <f>16149.5998957313/(10^3)</f>
        <v>16.149599895731299</v>
      </c>
      <c r="BI48" s="11">
        <f>16713.5170589999/(10^3)</f>
        <v>16.713517058999901</v>
      </c>
      <c r="BJ48" s="11">
        <f>17845.2269725386/(10^3)</f>
        <v>17.845226972538601</v>
      </c>
      <c r="BK48" s="11">
        <f>18119.320346776/(10^3)</f>
        <v>18.119320346776</v>
      </c>
      <c r="BL48" s="11">
        <f>18915.1718523477/(10^3)</f>
        <v>18.915171852347701</v>
      </c>
      <c r="BM48" s="11">
        <v>19.208127799029185</v>
      </c>
      <c r="BN48" s="11">
        <f>19676.4407631197/(10^3)</f>
        <v>19.6764407631197</v>
      </c>
      <c r="BO48" s="11">
        <f>18288.4103451984/(10^3)</f>
        <v>18.2884103451984</v>
      </c>
      <c r="BP48" s="11">
        <f>17591.1139014498/(10^3)</f>
        <v>17.591113901449802</v>
      </c>
      <c r="BQ48" s="11">
        <f>17421.3576900347/(10^3)</f>
        <v>17.4213576900347</v>
      </c>
      <c r="BR48" s="11">
        <f>17253.287924491/(10^3)</f>
        <v>17.253287924491001</v>
      </c>
      <c r="BS48" s="11">
        <v>17.248996987605381</v>
      </c>
      <c r="BT48" s="11">
        <f>16926.4315683194/(10^3)</f>
        <v>16.926431568319401</v>
      </c>
      <c r="BU48" s="11">
        <f>17501.4470972674/(10^3)</f>
        <v>17.501447097267398</v>
      </c>
      <c r="BV48" s="11">
        <f>18760.77048277/(10^3)</f>
        <v>18.760770482769999</v>
      </c>
      <c r="BW48" s="11">
        <f>19372.4115493069/(10^3)</f>
        <v>19.3724115493069</v>
      </c>
      <c r="BX48" s="11">
        <f>20064.8210598204/(10^3)</f>
        <v>20.0648210598204</v>
      </c>
      <c r="BY48" s="11">
        <v>20.613696123401834</v>
      </c>
      <c r="BZ48" s="11">
        <f>20613.6961234018/(10^3)</f>
        <v>20.613696123401802</v>
      </c>
      <c r="CA48" s="11">
        <f>20674.1339722996/(10^3)</f>
        <v>20.6741339722996</v>
      </c>
      <c r="CB48" s="11">
        <f>21326.9833882863/(10^3)</f>
        <v>21.326983388286298</v>
      </c>
      <c r="CC48" s="12"/>
      <c r="DD48" s="11"/>
      <c r="DE48" s="11"/>
      <c r="DF48" s="11"/>
    </row>
    <row r="49" spans="4:110" x14ac:dyDescent="0.25">
      <c r="D49" s="13" t="s">
        <v>30</v>
      </c>
      <c r="E49" s="13" t="s">
        <v>29</v>
      </c>
      <c r="F49" s="10" t="s">
        <v>150</v>
      </c>
      <c r="G49" s="13"/>
      <c r="H49" s="67" t="str">
        <f t="shared" si="2"/>
        <v xml:space="preserve">Frankfort 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>
        <v>0.56243665862308223</v>
      </c>
      <c r="BZ49" s="11">
        <f>562.436658623082/(10^3)</f>
        <v>0.56243665862308201</v>
      </c>
      <c r="CA49" s="11">
        <f>516.01422439569/(10^3)</f>
        <v>0.51601422439569</v>
      </c>
      <c r="CB49" s="11">
        <f>510.089847433544/(10^3)</f>
        <v>0.51008984743354402</v>
      </c>
      <c r="CC49" s="12"/>
      <c r="DD49" s="11"/>
      <c r="DE49" s="11"/>
      <c r="DF49" s="11"/>
    </row>
    <row r="50" spans="4:110" x14ac:dyDescent="0.25">
      <c r="D50" s="13" t="s">
        <v>31</v>
      </c>
      <c r="E50" s="13" t="s">
        <v>12</v>
      </c>
      <c r="F50" s="10" t="s">
        <v>150</v>
      </c>
      <c r="G50" s="13"/>
      <c r="H50" s="67" t="str">
        <f t="shared" si="2"/>
        <v xml:space="preserve">Houston </v>
      </c>
      <c r="I50" s="11">
        <f>1305/(10^3)</f>
        <v>1.3049999999999999</v>
      </c>
      <c r="J50" s="11">
        <f>1354.22361268069/(10^3)</f>
        <v>1.3542236126806899</v>
      </c>
      <c r="K50" s="11">
        <v>1.3735468684606296</v>
      </c>
      <c r="L50" s="11">
        <f>1354.68829227785/(10^3)</f>
        <v>1.35468829227785</v>
      </c>
      <c r="M50" s="11">
        <f>1361.41322932611/(10^3)</f>
        <v>1.3614132293261101</v>
      </c>
      <c r="N50" s="11">
        <f>1342.47409598859/(10^3)</f>
        <v>1.3424740959885901</v>
      </c>
      <c r="O50" s="11">
        <f>1385.99115451935/(10^3)</f>
        <v>1.38599115451935</v>
      </c>
      <c r="P50" s="11">
        <f>1402.67445480358/(10^3)</f>
        <v>1.4026744548035799</v>
      </c>
      <c r="Q50" s="11">
        <v>1.3680755529497253</v>
      </c>
      <c r="R50" s="11">
        <f>1400.45535891972/(10^3)</f>
        <v>1.4004553589197202</v>
      </c>
      <c r="S50" s="11">
        <f>1466.13258478699/(10^3)</f>
        <v>1.4661325847869899</v>
      </c>
      <c r="T50" s="11">
        <f>1459.48493101056/(10^3)</f>
        <v>1.4594849310105602</v>
      </c>
      <c r="U50" s="11">
        <f>1463.46910313637/(10^3)</f>
        <v>1.46346910313637</v>
      </c>
      <c r="V50" s="11">
        <f>1433.86933494708/(10^3)</f>
        <v>1.4338693349470799</v>
      </c>
      <c r="W50" s="11">
        <v>1.4917377385467443</v>
      </c>
      <c r="X50" s="11">
        <f>1495.87484835939/(10^3)</f>
        <v>1.49587484835939</v>
      </c>
      <c r="Y50" s="11">
        <f>1504.43738060575/(10^3)</f>
        <v>1.5044373806057498</v>
      </c>
      <c r="Z50" s="11">
        <f>1644.26465370251/(10^3)</f>
        <v>1.6442646537025101</v>
      </c>
      <c r="AA50" s="11">
        <f>1645.14249318922/(10^3)</f>
        <v>1.64514249318922</v>
      </c>
      <c r="AB50" s="11">
        <f>1708.74720900761/(10^3)</f>
        <v>1.7087472090076101</v>
      </c>
      <c r="AC50" s="11">
        <v>1.7629042149063905</v>
      </c>
      <c r="AD50" s="11">
        <f>1836.91980837266/(10^3)</f>
        <v>1.8369198083726601</v>
      </c>
      <c r="AE50" s="11">
        <f>1702.69500007917/(10^3)</f>
        <v>1.7026950000791701</v>
      </c>
      <c r="AF50" s="11">
        <f>1668.74284845063/(10^3)</f>
        <v>1.6687428484506299</v>
      </c>
      <c r="AG50" s="11">
        <f>1637.62158780336/(10^3)</f>
        <v>1.63762158780336</v>
      </c>
      <c r="AH50" s="11">
        <f>1658.18335417143/(10^3)</f>
        <v>1.6581833541714299</v>
      </c>
      <c r="AI50" s="11">
        <v>1.6702604214498906</v>
      </c>
      <c r="AJ50" s="11">
        <f>1640.57109197114/(10^3)</f>
        <v>1.64057109197114</v>
      </c>
      <c r="AK50" s="11">
        <f>1627.66497288094/(10^3)</f>
        <v>1.62766497288094</v>
      </c>
      <c r="AL50" s="11">
        <f>1666.55047042652/(10^3)</f>
        <v>1.6665504704265199</v>
      </c>
      <c r="AM50" s="11">
        <f>1668.24822405695/(10^3)</f>
        <v>1.6682482240569501</v>
      </c>
      <c r="AN50" s="11">
        <f>1703.59287654981/(10^3)</f>
        <v>1.7035928765498098</v>
      </c>
      <c r="AO50" s="11">
        <v>1.7844836842279554</v>
      </c>
      <c r="AP50" s="11">
        <f>1829.97951778994/(10^3)</f>
        <v>1.8299795177899401</v>
      </c>
      <c r="AQ50" s="11">
        <f>1754.83386099714/(10^3)</f>
        <v>1.7548338609971399</v>
      </c>
      <c r="AR50" s="11">
        <f>1712.75534268522/(10^3)</f>
        <v>1.71275534268522</v>
      </c>
      <c r="AS50" s="11">
        <f>1697.51652659063/(10^3)</f>
        <v>1.69751652659063</v>
      </c>
      <c r="AT50" s="11">
        <f>1732.43104710071/(10^3)</f>
        <v>1.7324310471007101</v>
      </c>
      <c r="AU50" s="11">
        <v>1.8127789262319616</v>
      </c>
      <c r="AV50" s="11">
        <f>1852.83100512765/(10^3)</f>
        <v>1.85283100512765</v>
      </c>
      <c r="AW50" s="11">
        <f>1927.55005965053/(10^3)</f>
        <v>1.9275500596505302</v>
      </c>
      <c r="AX50" s="11">
        <f>1998.38271659789/(10^3)</f>
        <v>1.99838271659789</v>
      </c>
      <c r="AY50" s="11">
        <f>2043.20275758076/(10^3)</f>
        <v>2.0432027575807599</v>
      </c>
      <c r="AZ50" s="11">
        <f>2060.40078005071/(10^3)</f>
        <v>2.0604007800507103</v>
      </c>
      <c r="BA50" s="11">
        <v>2.0608376537090836</v>
      </c>
      <c r="BB50" s="11">
        <f>2136.5913814708/(10^3)</f>
        <v>2.1365913814708</v>
      </c>
      <c r="BC50" s="11">
        <f>2056.81814396112/(10^3)</f>
        <v>2.0568181439611197</v>
      </c>
      <c r="BD50" s="11">
        <f>2005.90531583786/(10^3)</f>
        <v>2.0059053158378601</v>
      </c>
      <c r="BE50" s="11">
        <f>1967.92586162429/(10^3)</f>
        <v>1.9679258616242901</v>
      </c>
      <c r="BF50" s="11">
        <f>2048.05139358345/(10^3)</f>
        <v>2.0480513935834503</v>
      </c>
      <c r="BG50" s="11">
        <v>2.0063433513040745</v>
      </c>
      <c r="BH50" s="11">
        <f>2042.03896095809/(10^3)</f>
        <v>2.0420389609580898</v>
      </c>
      <c r="BI50" s="11">
        <f>2064.79677206073/(10^3)</f>
        <v>2.0647967720607299</v>
      </c>
      <c r="BJ50" s="11">
        <f>2180.8768101648/(10^3)</f>
        <v>2.1808768101648002</v>
      </c>
      <c r="BK50" s="11">
        <f>2226.0421932191/(10^3)</f>
        <v>2.2260421932191004</v>
      </c>
      <c r="BL50" s="11">
        <f>2294.7913553934/(10^3)</f>
        <v>2.2947913553934001</v>
      </c>
      <c r="BM50" s="11">
        <v>2.3100042949854793</v>
      </c>
      <c r="BN50" s="11">
        <f>2331.64505975287/(10^3)</f>
        <v>2.3316450597528702</v>
      </c>
      <c r="BO50" s="11">
        <f>2136.74151153562/(10^3)</f>
        <v>2.1367415115356199</v>
      </c>
      <c r="BP50" s="11">
        <f>2067.09667606732/(10^3)</f>
        <v>2.0670966760673202</v>
      </c>
      <c r="BQ50" s="11">
        <f>2047.50551516245/(10^3)</f>
        <v>2.0475055151624497</v>
      </c>
      <c r="BR50" s="11">
        <f>2035.34011564352/(10^3)</f>
        <v>2.0353401156435198</v>
      </c>
      <c r="BS50" s="11">
        <v>2.0094869429961113</v>
      </c>
      <c r="BT50" s="11">
        <f>1985.7128464067/(10^3)</f>
        <v>1.9857128464067</v>
      </c>
      <c r="BU50" s="11">
        <f>2051.62260480696/(10^3)</f>
        <v>2.0516226048069601</v>
      </c>
      <c r="BV50" s="11">
        <f>2184.45372910454/(10^3)</f>
        <v>2.1844537291045398</v>
      </c>
      <c r="BW50" s="11">
        <f>2247.61094015471/(10^3)</f>
        <v>2.24761094015471</v>
      </c>
      <c r="BX50" s="11">
        <f>2335.232263649/(10^3)</f>
        <v>2.3352322636489999</v>
      </c>
      <c r="BY50" s="11">
        <v>2.3930553869197957</v>
      </c>
      <c r="BZ50" s="11">
        <f>2393.0553869198/(10^3)</f>
        <v>2.3930553869198001</v>
      </c>
      <c r="CA50" s="11">
        <f>2374.34568724426/(10^3)</f>
        <v>2.3743456872442597</v>
      </c>
      <c r="CB50" s="11">
        <f>2299.7799251594/(10^3)</f>
        <v>2.2997799251594002</v>
      </c>
      <c r="CC50" s="12"/>
      <c r="DD50" s="11"/>
      <c r="DE50" s="11"/>
      <c r="DF50" s="11"/>
    </row>
    <row r="51" spans="4:110" x14ac:dyDescent="0.25">
      <c r="D51" s="13" t="s">
        <v>32</v>
      </c>
      <c r="E51" s="13" t="s">
        <v>27</v>
      </c>
      <c r="F51" s="10" t="s">
        <v>149</v>
      </c>
      <c r="G51" s="13"/>
      <c r="H51" s="67" t="str">
        <f t="shared" si="2"/>
        <v xml:space="preserve">Indianapolis </v>
      </c>
      <c r="I51" s="11"/>
      <c r="J51" s="11"/>
      <c r="K51" s="11">
        <v>0.72660572929113498</v>
      </c>
      <c r="L51" s="11"/>
      <c r="M51" s="11"/>
      <c r="N51" s="11"/>
      <c r="O51" s="11"/>
      <c r="P51" s="11"/>
      <c r="Q51" s="11">
        <v>0.79540843441563425</v>
      </c>
      <c r="R51" s="11"/>
      <c r="S51" s="11"/>
      <c r="T51" s="11"/>
      <c r="U51" s="11"/>
      <c r="V51" s="11"/>
      <c r="W51" s="11">
        <v>0.9231735062709443</v>
      </c>
      <c r="X51" s="11"/>
      <c r="Y51" s="11"/>
      <c r="Z51" s="11"/>
      <c r="AA51" s="11"/>
      <c r="AB51" s="11"/>
      <c r="AC51" s="11">
        <v>1.1243380085994867</v>
      </c>
      <c r="AD51" s="11"/>
      <c r="AE51" s="11"/>
      <c r="AF51" s="11"/>
      <c r="AG51" s="11"/>
      <c r="AH51" s="11"/>
      <c r="AI51" s="11">
        <v>0.98675704875340342</v>
      </c>
      <c r="AJ51" s="11"/>
      <c r="AK51" s="11"/>
      <c r="AL51" s="11"/>
      <c r="AM51" s="11"/>
      <c r="AN51" s="11"/>
      <c r="AO51" s="11">
        <v>1.1378172671220332</v>
      </c>
      <c r="AP51" s="11"/>
      <c r="AQ51" s="11"/>
      <c r="AR51" s="11"/>
      <c r="AS51" s="11"/>
      <c r="AT51" s="11">
        <f>1018.18370482859/(10^3)</f>
        <v>1.01818370482859</v>
      </c>
      <c r="AU51" s="11">
        <v>1.0037982456319274</v>
      </c>
      <c r="AV51" s="11">
        <f>987.115938457596/(10^3)</f>
        <v>0.98711593845759604</v>
      </c>
      <c r="AW51" s="11">
        <f>1033.99941736539/(10^3)</f>
        <v>1.0339994173653899</v>
      </c>
      <c r="AX51" s="11">
        <f>1074.03126307903/(10^3)</f>
        <v>1.0740312630790299</v>
      </c>
      <c r="AY51" s="11">
        <f>1116.32614264745/(10^3)</f>
        <v>1.11632614264745</v>
      </c>
      <c r="AZ51" s="11">
        <f>1133.20798573573/(10^3)</f>
        <v>1.13320798573573</v>
      </c>
      <c r="BA51" s="11">
        <v>1.1291518474167652</v>
      </c>
      <c r="BB51" s="11">
        <f>1128.77275835917/(10^3)</f>
        <v>1.12877275835917</v>
      </c>
      <c r="BC51" s="11">
        <f>1122.01883252662/(10^3)</f>
        <v>1.1220188325266198</v>
      </c>
      <c r="BD51" s="11">
        <f>1119.83052283948/(10^3)</f>
        <v>1.11983052283948</v>
      </c>
      <c r="BE51" s="11">
        <f>1034.35901595319/(10^3)</f>
        <v>1.0343590159531899</v>
      </c>
      <c r="BF51" s="11">
        <f>1047.92801426/(10^3)</f>
        <v>1.04792801426</v>
      </c>
      <c r="BG51" s="11">
        <v>1.0229070111173979</v>
      </c>
      <c r="BH51" s="11">
        <f>1001.74923120999/(10^3)</f>
        <v>1.00174923120999</v>
      </c>
      <c r="BI51" s="11">
        <f>1027.9253824972/(10^3)</f>
        <v>1.0279253824971999</v>
      </c>
      <c r="BJ51" s="11">
        <f>1129.75637927188/(10^3)</f>
        <v>1.1297563792718799</v>
      </c>
      <c r="BK51" s="11">
        <f>1146.16560735629/(10^3)</f>
        <v>1.1461656073562898</v>
      </c>
      <c r="BL51" s="11">
        <f>1149.56524488483/(10^3)</f>
        <v>1.1495652448848299</v>
      </c>
      <c r="BM51" s="11">
        <v>1.1533699309237648</v>
      </c>
      <c r="BN51" s="11">
        <f>1139.31401892466/(10^3)</f>
        <v>1.13931401892466</v>
      </c>
      <c r="BO51" s="11">
        <f>1132.95596275093/(10^3)</f>
        <v>1.13295596275093</v>
      </c>
      <c r="BP51" s="11">
        <f>1123.88820020749/(10^3)</f>
        <v>1.1238882002074899</v>
      </c>
      <c r="BQ51" s="11">
        <f>1103.3101083616/(10^3)</f>
        <v>1.1033101083615999</v>
      </c>
      <c r="BR51" s="11">
        <f>1084.589037137/(10^3)</f>
        <v>1.0845890371370002</v>
      </c>
      <c r="BS51" s="11">
        <v>1.082560467832151</v>
      </c>
      <c r="BT51" s="11">
        <f>1059.17042895869/(10^3)</f>
        <v>1.0591704289586901</v>
      </c>
      <c r="BU51" s="11">
        <f>1037.89422832658/(10^3)</f>
        <v>1.0378942283265802</v>
      </c>
      <c r="BV51" s="11">
        <f>1127.13142325373/(10^3)</f>
        <v>1.1271314232537299</v>
      </c>
      <c r="BW51" s="11">
        <f>1181.81370396748/(10^3)</f>
        <v>1.1818137039674801</v>
      </c>
      <c r="BX51" s="11">
        <f>1183.20009569467/(10^3)</f>
        <v>1.18320009569467</v>
      </c>
      <c r="BY51" s="11">
        <v>1.2600383051677384</v>
      </c>
      <c r="BZ51" s="11">
        <f>1260.03830516774/(10^3)</f>
        <v>1.26003830516774</v>
      </c>
      <c r="CA51" s="11">
        <f>1250.72903364198/(10^3)</f>
        <v>1.2507290336419801</v>
      </c>
      <c r="CB51" s="11">
        <f>1214.62395225518/(10^3)</f>
        <v>1.2146239522551801</v>
      </c>
      <c r="CC51" s="12"/>
      <c r="DD51" s="11"/>
      <c r="DE51" s="11"/>
      <c r="DF51" s="11"/>
    </row>
    <row r="52" spans="4:110" x14ac:dyDescent="0.25">
      <c r="D52" s="13" t="s">
        <v>34</v>
      </c>
      <c r="E52" s="13" t="s">
        <v>33</v>
      </c>
      <c r="F52" s="10" t="s">
        <v>150</v>
      </c>
      <c r="G52" s="13"/>
      <c r="H52" s="67" t="str">
        <f t="shared" si="2"/>
        <v xml:space="preserve">Jackson </v>
      </c>
      <c r="I52" s="11"/>
      <c r="J52" s="11"/>
      <c r="K52" s="11">
        <v>0.595659226969531</v>
      </c>
      <c r="L52" s="11"/>
      <c r="M52" s="11"/>
      <c r="N52" s="11"/>
      <c r="O52" s="11"/>
      <c r="P52" s="11"/>
      <c r="Q52" s="11">
        <v>0.64719788905665121</v>
      </c>
      <c r="R52" s="11"/>
      <c r="S52" s="11"/>
      <c r="T52" s="11"/>
      <c r="U52" s="11"/>
      <c r="V52" s="11"/>
      <c r="W52" s="11">
        <v>0.66358464230997127</v>
      </c>
      <c r="X52" s="11"/>
      <c r="Y52" s="11"/>
      <c r="Z52" s="11"/>
      <c r="AA52" s="11"/>
      <c r="AB52" s="11"/>
      <c r="AC52" s="11">
        <v>0.80260053313543345</v>
      </c>
      <c r="AD52" s="11"/>
      <c r="AE52" s="11"/>
      <c r="AF52" s="11"/>
      <c r="AG52" s="11"/>
      <c r="AH52" s="11"/>
      <c r="AI52" s="11">
        <v>0.76154380015214762</v>
      </c>
      <c r="AJ52" s="11"/>
      <c r="AK52" s="11"/>
      <c r="AL52" s="11"/>
      <c r="AM52" s="11"/>
      <c r="AN52" s="11"/>
      <c r="AO52" s="11">
        <v>0.92039329244076096</v>
      </c>
      <c r="AP52" s="11"/>
      <c r="AQ52" s="11"/>
      <c r="AR52" s="11"/>
      <c r="AS52" s="11"/>
      <c r="AT52" s="11"/>
      <c r="AU52" s="11">
        <v>0.79974281736412067</v>
      </c>
      <c r="AV52" s="11"/>
      <c r="AW52" s="11"/>
      <c r="AX52" s="11"/>
      <c r="AY52" s="11"/>
      <c r="AZ52" s="11"/>
      <c r="BA52" s="11">
        <v>0.85973308912448654</v>
      </c>
      <c r="BB52" s="11">
        <f>878.501638682409/(10^3)</f>
        <v>0.87850163868240894</v>
      </c>
      <c r="BC52" s="11">
        <f>855.752781370791/(10^3)</f>
        <v>0.85575278137079103</v>
      </c>
      <c r="BD52" s="11">
        <f>821.843334540762/(10^3)</f>
        <v>0.82184333454076208</v>
      </c>
      <c r="BE52" s="11">
        <f>783.414226840093/(10^3)</f>
        <v>0.78341422684009299</v>
      </c>
      <c r="BF52" s="11">
        <f>813.315697647968/(10^3)</f>
        <v>0.81331569764796807</v>
      </c>
      <c r="BG52" s="11">
        <v>0.84336349255419374</v>
      </c>
      <c r="BH52" s="11">
        <f>878.95713783347/(10^3)</f>
        <v>0.87895713783347007</v>
      </c>
      <c r="BI52" s="11">
        <f>883.668751911304/(10^3)</f>
        <v>0.88366875191130401</v>
      </c>
      <c r="BJ52" s="11">
        <f>898.087009898801/(10^3)</f>
        <v>0.89808700989880108</v>
      </c>
      <c r="BK52" s="11">
        <f>918.301910050102/(10^3)</f>
        <v>0.91830191005010209</v>
      </c>
      <c r="BL52" s="11">
        <f>948.579975596082/(10^3)</f>
        <v>0.94857997559608198</v>
      </c>
      <c r="BM52" s="11">
        <v>0.96906194187583261</v>
      </c>
      <c r="BN52" s="11">
        <f>992.523056355016/(10^3)</f>
        <v>0.99252305635501603</v>
      </c>
      <c r="BO52" s="11">
        <f>941.191186200098/(10^3)</f>
        <v>0.9411911862000979</v>
      </c>
      <c r="BP52" s="11">
        <f>919.572452909526/(10^3)</f>
        <v>0.91957245290952594</v>
      </c>
      <c r="BQ52" s="11">
        <f>919.549870187248/(10^3)</f>
        <v>0.91954987018724799</v>
      </c>
      <c r="BR52" s="11">
        <f>910.989246949806/(10^3)</f>
        <v>0.91098924694980599</v>
      </c>
      <c r="BS52" s="11">
        <v>0.8915056089713318</v>
      </c>
      <c r="BT52" s="11">
        <f>886.121640677477/(10^3)</f>
        <v>0.88612164067747701</v>
      </c>
      <c r="BU52" s="11">
        <f>913.410469524263/(10^3)</f>
        <v>0.91341046952426297</v>
      </c>
      <c r="BV52" s="11">
        <f>977.580956623992/(10^3)</f>
        <v>0.97758095662399203</v>
      </c>
      <c r="BW52" s="11">
        <f>1001.22499346396/(10^3)</f>
        <v>1.0012249934639601</v>
      </c>
      <c r="BX52" s="11">
        <f>1046.08409397434/(10^3)</f>
        <v>1.0460840939743401</v>
      </c>
      <c r="BY52" s="11">
        <v>1.0564837879485254</v>
      </c>
      <c r="BZ52" s="11">
        <f>1056.48378794853/(10^3)</f>
        <v>1.05648378794853</v>
      </c>
      <c r="CA52" s="11">
        <f>951.152748020201/(10^3)</f>
        <v>0.951152748020201</v>
      </c>
      <c r="CB52" s="11">
        <f>933.569460267483/(10^3)</f>
        <v>0.933569460267483</v>
      </c>
      <c r="CC52" s="12"/>
      <c r="DD52" s="11"/>
      <c r="DE52" s="11"/>
      <c r="DF52" s="11"/>
    </row>
    <row r="53" spans="4:110" x14ac:dyDescent="0.25">
      <c r="D53" s="13" t="s">
        <v>36</v>
      </c>
      <c r="E53" s="13" t="s">
        <v>35</v>
      </c>
      <c r="F53" s="10" t="s">
        <v>150</v>
      </c>
      <c r="G53" s="13"/>
      <c r="H53" s="67" t="str">
        <f t="shared" si="2"/>
        <v xml:space="preserve">Jacksonville </v>
      </c>
      <c r="I53" s="11">
        <f>917/(10^3)</f>
        <v>0.91700000000000004</v>
      </c>
      <c r="J53" s="11">
        <f>927.316237191708/(10^3)</f>
        <v>0.92731623719170797</v>
      </c>
      <c r="K53" s="11">
        <v>0.95789813167484594</v>
      </c>
      <c r="L53" s="11">
        <f>997.139055510187/(10^3)</f>
        <v>0.997139055510187</v>
      </c>
      <c r="M53" s="11">
        <f>987.618316935446/(10^3)</f>
        <v>0.98761831693544599</v>
      </c>
      <c r="N53" s="11">
        <f>1001.39285453049/(10^3)</f>
        <v>1.00139285453049</v>
      </c>
      <c r="O53" s="11">
        <f>1021.0560364748/(10^3)</f>
        <v>1.0210560364748</v>
      </c>
      <c r="P53" s="11">
        <f>1052.79332172763/(10^3)</f>
        <v>1.05279332172763</v>
      </c>
      <c r="Q53" s="11">
        <v>1.1026372348776445</v>
      </c>
      <c r="R53" s="11">
        <f>1121.73686895856/(10^3)</f>
        <v>1.1217368689585601</v>
      </c>
      <c r="S53" s="11">
        <f>1109.85494670776/(10^3)</f>
        <v>1.1098549467077601</v>
      </c>
      <c r="T53" s="11">
        <f>1088.58381432097/(10^3)</f>
        <v>1.0885838143209701</v>
      </c>
      <c r="U53" s="11">
        <f>1099.82215719183/(10^3)</f>
        <v>1.0998221571918301</v>
      </c>
      <c r="V53" s="11">
        <f>1085.93904064338/(10^3)</f>
        <v>1.08593904064338</v>
      </c>
      <c r="W53" s="11">
        <v>1.103201945197805</v>
      </c>
      <c r="X53" s="11">
        <f>1109.68173201072/(10^3)</f>
        <v>1.10968173201072</v>
      </c>
      <c r="Y53" s="11">
        <f>1134.08180751061/(10^3)</f>
        <v>1.1340818075106098</v>
      </c>
      <c r="Z53" s="11">
        <f>1189.82180763216/(10^3)</f>
        <v>1.1898218076321601</v>
      </c>
      <c r="AA53" s="11">
        <f>1217.18463810939/(10^3)</f>
        <v>1.21718463810939</v>
      </c>
      <c r="AB53" s="11">
        <f>1223.78757088853/(10^3)</f>
        <v>1.22378757088853</v>
      </c>
      <c r="AC53" s="11">
        <v>1.2480130526822151</v>
      </c>
      <c r="AD53" s="11">
        <f>1286.35183761806/(10^3)</f>
        <v>1.28635183761806</v>
      </c>
      <c r="AE53" s="11">
        <f>1201.14006187984/(10^3)</f>
        <v>1.20114006187984</v>
      </c>
      <c r="AF53" s="11">
        <f>1153.89913405901/(10^3)</f>
        <v>1.1538991340590101</v>
      </c>
      <c r="AG53" s="11">
        <f>1146.04610005641/(10^3)</f>
        <v>1.1460461000564102</v>
      </c>
      <c r="AH53" s="11">
        <f>1193.25437175556/(10^3)</f>
        <v>1.1932543717555599</v>
      </c>
      <c r="AI53" s="11">
        <v>1.191753006529324</v>
      </c>
      <c r="AJ53" s="11">
        <f>1166.1705804158/(10^3)</f>
        <v>1.1661705804158</v>
      </c>
      <c r="AK53" s="11">
        <f>1195.30502268116/(10^3)</f>
        <v>1.1953050226811599</v>
      </c>
      <c r="AL53" s="11">
        <f>1293.97239804956/(10^3)</f>
        <v>1.2939723980495601</v>
      </c>
      <c r="AM53" s="11">
        <f>1357.86823578482/(10^3)</f>
        <v>1.35786823578482</v>
      </c>
      <c r="AN53" s="11">
        <f>1418.43661476462/(10^3)</f>
        <v>1.4184366147646199</v>
      </c>
      <c r="AO53" s="11">
        <v>1.4318520873073866</v>
      </c>
      <c r="AP53" s="11">
        <f>1449.58694800563/(10^3)</f>
        <v>1.4495869480056298</v>
      </c>
      <c r="AQ53" s="11">
        <f>1434.74784999829/(10^3)</f>
        <v>1.43474784999829</v>
      </c>
      <c r="AR53" s="11">
        <f>1417.54914232451/(10^3)</f>
        <v>1.4175491423245101</v>
      </c>
      <c r="AS53" s="11">
        <f>1409.62719731745/(10^3)</f>
        <v>1.4096271973174501</v>
      </c>
      <c r="AT53" s="11">
        <f>1387.13659304435/(10^3)</f>
        <v>1.38713659304435</v>
      </c>
      <c r="AU53" s="11">
        <v>1.3727300711261607</v>
      </c>
      <c r="AV53" s="11">
        <f>1414.37700320486/(10^3)</f>
        <v>1.4143770032048602</v>
      </c>
      <c r="AW53" s="11">
        <f>1469.29307622407/(10^3)</f>
        <v>1.4692930762240701</v>
      </c>
      <c r="AX53" s="11">
        <f>1540.68121851195/(10^3)</f>
        <v>1.5406812185119501</v>
      </c>
      <c r="AY53" s="11">
        <f>1577.65006624793/(10^3)</f>
        <v>1.57765006624793</v>
      </c>
      <c r="AZ53" s="11">
        <f>1556.47561805783/(10^3)</f>
        <v>1.5564756180578299</v>
      </c>
      <c r="BA53" s="11">
        <v>1.5864867052310374</v>
      </c>
      <c r="BB53" s="11">
        <f>1608.56090404023/(10^3)</f>
        <v>1.60856090404023</v>
      </c>
      <c r="BC53" s="11">
        <f>1564.24313495579/(10^3)</f>
        <v>1.5642431349557901</v>
      </c>
      <c r="BD53" s="11">
        <f>1535.80435952845/(10^3)</f>
        <v>1.5358043595284501</v>
      </c>
      <c r="BE53" s="11">
        <f>1497.70934200472/(10^3)</f>
        <v>1.4977093420047198</v>
      </c>
      <c r="BF53" s="11">
        <f>1474.30761379114/(10^3)</f>
        <v>1.4743076137911399</v>
      </c>
      <c r="BG53" s="11">
        <v>1.4408128643770468</v>
      </c>
      <c r="BH53" s="11">
        <f>1510.09861555871/(10^3)</f>
        <v>1.5100986155587099</v>
      </c>
      <c r="BI53" s="11">
        <f>1480.49228258266/(10^3)</f>
        <v>1.4804922825826601</v>
      </c>
      <c r="BJ53" s="11">
        <f>1496.15607878596/(10^3)</f>
        <v>1.49615607878596</v>
      </c>
      <c r="BK53" s="11">
        <f>1569.46620114535/(10^3)</f>
        <v>1.56946620114535</v>
      </c>
      <c r="BL53" s="11">
        <f>1619.23915793293/(10^3)</f>
        <v>1.6192391579329302</v>
      </c>
      <c r="BM53" s="11">
        <v>1.6401681577800111</v>
      </c>
      <c r="BN53" s="11">
        <f>1715.15846333245/(10^3)</f>
        <v>1.7151584633324501</v>
      </c>
      <c r="BO53" s="11">
        <f>1660.67684792745/(10^3)</f>
        <v>1.6606768479274499</v>
      </c>
      <c r="BP53" s="11">
        <f>1609.87612409929/(10^3)</f>
        <v>1.60987612409929</v>
      </c>
      <c r="BQ53" s="11">
        <f>1599.25795854645/(10^3)</f>
        <v>1.5992579585464499</v>
      </c>
      <c r="BR53" s="11">
        <f>1610.90645979715/(10^3)</f>
        <v>1.6109064597971501</v>
      </c>
      <c r="BS53" s="11">
        <v>1.6501005245518134</v>
      </c>
      <c r="BT53" s="11">
        <f>1629.24272303941/(10^3)</f>
        <v>1.62924272303941</v>
      </c>
      <c r="BU53" s="11">
        <f>1673.43729079201/(10^3)</f>
        <v>1.6734372907920099</v>
      </c>
      <c r="BV53" s="11">
        <f>1750.34976686813/(10^3)</f>
        <v>1.75034976686813</v>
      </c>
      <c r="BW53" s="11">
        <f>1819.24947146177/(10^3)</f>
        <v>1.8192494714617702</v>
      </c>
      <c r="BX53" s="11">
        <f>1836.91290054814/(10^3)</f>
        <v>1.8369129005481399</v>
      </c>
      <c r="BY53" s="11">
        <v>1.9403658834520285</v>
      </c>
      <c r="BZ53" s="11">
        <f>1940.36588345203/(10^3)</f>
        <v>1.9403658834520299</v>
      </c>
      <c r="CA53" s="11">
        <f>1805.00066391481/(10^3)</f>
        <v>1.80500066391481</v>
      </c>
      <c r="CB53" s="11">
        <f>1785.13006695511/(10^3)</f>
        <v>1.78513006695511</v>
      </c>
      <c r="CC53" s="12"/>
      <c r="DD53" s="11"/>
      <c r="DE53" s="11"/>
      <c r="DF53" s="11"/>
    </row>
    <row r="54" spans="4:110" x14ac:dyDescent="0.25">
      <c r="D54" s="13" t="s">
        <v>38</v>
      </c>
      <c r="E54" s="13" t="s">
        <v>37</v>
      </c>
      <c r="F54" s="10" t="s">
        <v>149</v>
      </c>
      <c r="G54" s="13"/>
      <c r="H54" s="67" t="str">
        <f t="shared" si="2"/>
        <v xml:space="preserve">Jefferson City 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>
        <f>450.741511516152/(10^3)</f>
        <v>0.45074151151615199</v>
      </c>
      <c r="BY54" s="11">
        <v>0.47411415189249051</v>
      </c>
      <c r="BZ54" s="11">
        <f>474.11415189249/(10^3)</f>
        <v>0.47411415189249001</v>
      </c>
      <c r="CA54" s="11">
        <f>443.911007775644/(10^3)</f>
        <v>0.44391100777564402</v>
      </c>
      <c r="CB54" s="11">
        <f>427.034821437318/(10^3)</f>
        <v>0.42703482143731797</v>
      </c>
      <c r="CC54" s="12"/>
      <c r="DD54" s="11"/>
      <c r="DE54" s="11"/>
      <c r="DF54" s="11"/>
    </row>
    <row r="55" spans="4:110" x14ac:dyDescent="0.25">
      <c r="D55" s="13" t="s">
        <v>39</v>
      </c>
      <c r="E55" s="13" t="s">
        <v>37</v>
      </c>
      <c r="F55" s="10" t="s">
        <v>149</v>
      </c>
      <c r="G55" s="13"/>
      <c r="H55" s="67" t="str">
        <f t="shared" si="2"/>
        <v xml:space="preserve">Kansas City </v>
      </c>
      <c r="I55" s="11">
        <f>911/(10^3)</f>
        <v>0.91100000000000003</v>
      </c>
      <c r="J55" s="11">
        <f>929.784645346033/(10^3)</f>
        <v>0.929784645346033</v>
      </c>
      <c r="K55" s="11">
        <v>0.95113704761757623</v>
      </c>
      <c r="L55" s="11">
        <f>926.444709070321/(10^3)</f>
        <v>0.92644470907032095</v>
      </c>
      <c r="M55" s="11">
        <f>931.576202103939/(10^3)</f>
        <v>0.93157620210393899</v>
      </c>
      <c r="N55" s="11">
        <f>903.836242676838/(10^3)</f>
        <v>0.90383624267683793</v>
      </c>
      <c r="O55" s="11">
        <f>890.037959843588/(10^3)</f>
        <v>0.89003795984358802</v>
      </c>
      <c r="P55" s="11">
        <f>909.039495794454/(10^3)</f>
        <v>0.90903949579445398</v>
      </c>
      <c r="Q55" s="11">
        <v>0.91519511945710297</v>
      </c>
      <c r="R55" s="11">
        <f>918.699738923377/(10^3)</f>
        <v>0.91869973892337697</v>
      </c>
      <c r="S55" s="11">
        <f>934.366205101884/(10^3)</f>
        <v>0.93436620510188406</v>
      </c>
      <c r="T55" s="11">
        <f>971.973984547436/(10^3)</f>
        <v>0.971973984547436</v>
      </c>
      <c r="U55" s="11">
        <f>976.789801166597/(10^3)</f>
        <v>0.97678980116659708</v>
      </c>
      <c r="V55" s="11">
        <f>951.32719467794/(10^3)</f>
        <v>0.95132719467794002</v>
      </c>
      <c r="W55" s="11">
        <v>0.97225001389090149</v>
      </c>
      <c r="X55" s="11">
        <f>1006.68821014699/(10^3)</f>
        <v>1.0066882101469898</v>
      </c>
      <c r="Y55" s="11">
        <f>1003.35941708334/(10^3)</f>
        <v>1.00335941708334</v>
      </c>
      <c r="Z55" s="11">
        <f>1082.27336765002/(10^3)</f>
        <v>1.08227336765002</v>
      </c>
      <c r="AA55" s="11">
        <f>1105.97527357028/(10^3)</f>
        <v>1.1059752735702799</v>
      </c>
      <c r="AB55" s="11">
        <f>1120.71288576052/(10^3)</f>
        <v>1.12071288576052</v>
      </c>
      <c r="AC55" s="11">
        <v>1.1615255106430487</v>
      </c>
      <c r="AD55" s="11">
        <f>1186.96203145137/(10^3)</f>
        <v>1.18696203145137</v>
      </c>
      <c r="AE55" s="11">
        <f>1157.76316083901/(10^3)</f>
        <v>1.15776316083901</v>
      </c>
      <c r="AF55" s="11">
        <f>1122.65447648807/(10^3)</f>
        <v>1.1226544764880699</v>
      </c>
      <c r="AG55" s="11">
        <f>1098.37325172022/(10^3)</f>
        <v>1.09837325172022</v>
      </c>
      <c r="AH55" s="11">
        <f>1089.1078365202/(10^3)</f>
        <v>1.0891078365202</v>
      </c>
      <c r="AI55" s="11">
        <v>1.1229636330259209</v>
      </c>
      <c r="AJ55" s="11">
        <f>1135.14433789477/(10^3)</f>
        <v>1.1351443378947699</v>
      </c>
      <c r="AK55" s="11">
        <f>1150.78982562766/(10^3)</f>
        <v>1.1507898256276601</v>
      </c>
      <c r="AL55" s="11">
        <f>1212.76365942874/(10^3)</f>
        <v>1.2127636594287401</v>
      </c>
      <c r="AM55" s="11">
        <f>1231.90624776259/(10^3)</f>
        <v>1.2319062477625899</v>
      </c>
      <c r="AN55" s="11">
        <f>1245.1167844782/(10^3)</f>
        <v>1.2451167844782001</v>
      </c>
      <c r="AO55" s="11">
        <v>1.2637350779031962</v>
      </c>
      <c r="AP55" s="11">
        <f>1323.81139204964/(10^3)</f>
        <v>1.3238113920496402</v>
      </c>
      <c r="AQ55" s="11">
        <f>1307.72390143189/(10^3)</f>
        <v>1.30772390143189</v>
      </c>
      <c r="AR55" s="11">
        <f>1285.39433085101/(10^3)</f>
        <v>1.2853943308510098</v>
      </c>
      <c r="AS55" s="11">
        <f>1281.93434602376/(10^3)</f>
        <v>1.28193434602376</v>
      </c>
      <c r="AT55" s="11">
        <f>1320.59885677334/(10^3)</f>
        <v>1.32059885677334</v>
      </c>
      <c r="AU55" s="11">
        <v>1.3038786341836373</v>
      </c>
      <c r="AV55" s="11">
        <f>1325.31983969276/(10^3)</f>
        <v>1.3253198396927601</v>
      </c>
      <c r="AW55" s="11">
        <f>1386.99497747716/(10^3)</f>
        <v>1.3869949774771602</v>
      </c>
      <c r="AX55" s="11">
        <f>1439.03771561094/(10^3)</f>
        <v>1.43903771561094</v>
      </c>
      <c r="AY55" s="11">
        <f>1445.0392583072/(10^3)</f>
        <v>1.4450392583072</v>
      </c>
      <c r="AZ55" s="11">
        <f>1472.45643944109/(10^3)</f>
        <v>1.4724564394410899</v>
      </c>
      <c r="BA55" s="11">
        <v>1.5382076646589944</v>
      </c>
      <c r="BB55" s="11">
        <f>1528.76266541697/(10^3)</f>
        <v>1.5287626654169701</v>
      </c>
      <c r="BC55" s="11">
        <f>1394.62109777693/(10^3)</f>
        <v>1.39462109777693</v>
      </c>
      <c r="BD55" s="11">
        <f>1352.76612163299/(10^3)</f>
        <v>1.35276612163299</v>
      </c>
      <c r="BE55" s="11">
        <f>1318.91355525399/(10^3)</f>
        <v>1.3189135552539899</v>
      </c>
      <c r="BF55" s="11">
        <f>1315.61427933412/(10^3)</f>
        <v>1.3156142793341201</v>
      </c>
      <c r="BG55" s="11">
        <v>1.2803825761384939</v>
      </c>
      <c r="BH55" s="11">
        <f>1266.77043713186/(10^3)</f>
        <v>1.26677043713186</v>
      </c>
      <c r="BI55" s="11">
        <f>1246.78172957185/(10^3)</f>
        <v>1.24678172957185</v>
      </c>
      <c r="BJ55" s="11">
        <f>1352.64000520281/(10^3)</f>
        <v>1.35264000520281</v>
      </c>
      <c r="BK55" s="11">
        <f>1376.00135796605/(10^3)</f>
        <v>1.3760013579660499</v>
      </c>
      <c r="BL55" s="11">
        <f>1389.41680615711/(10^3)</f>
        <v>1.3894168061571099</v>
      </c>
      <c r="BM55" s="11">
        <v>1.424006666060339</v>
      </c>
      <c r="BN55" s="11">
        <f>1457.44559430998/(10^3)</f>
        <v>1.45744559430998</v>
      </c>
      <c r="BO55" s="11">
        <f>1401.86330211573/(10^3)</f>
        <v>1.4018633021157301</v>
      </c>
      <c r="BP55" s="11">
        <f>1332.20628033867/(10^3)</f>
        <v>1.3322062803386701</v>
      </c>
      <c r="BQ55" s="11">
        <f>1312.34024665061/(10^3)</f>
        <v>1.31234024665061</v>
      </c>
      <c r="BR55" s="11">
        <f>1289.5412112505/(10^3)</f>
        <v>1.2895412112505</v>
      </c>
      <c r="BS55" s="11">
        <v>1.2744158588627932</v>
      </c>
      <c r="BT55" s="11">
        <f>1247.13392967625/(10^3)</f>
        <v>1.24713392967625</v>
      </c>
      <c r="BU55" s="11">
        <f>1270.60820371558/(10^3)</f>
        <v>1.2706082037155799</v>
      </c>
      <c r="BV55" s="11">
        <f>1295.7112189662/(10^3)</f>
        <v>1.2957112189662001</v>
      </c>
      <c r="BW55" s="11">
        <f>1332.50543393895/(10^3)</f>
        <v>1.3325054339389502</v>
      </c>
      <c r="BX55" s="11">
        <f>1369.96736250334/(10^3)</f>
        <v>1.3699673625033399</v>
      </c>
      <c r="BY55" s="11">
        <v>1.3511887726904321</v>
      </c>
      <c r="BZ55" s="11">
        <f>1351.18877269043/(10^3)</f>
        <v>1.3511887726904299</v>
      </c>
      <c r="CA55" s="11">
        <f>1274.75644088493/(10^3)</f>
        <v>1.2747564408849301</v>
      </c>
      <c r="CB55" s="11">
        <f>1246.7511109937/(10^3)</f>
        <v>1.2467511109937</v>
      </c>
      <c r="CC55" s="12"/>
      <c r="DD55" s="11"/>
      <c r="DE55" s="11"/>
      <c r="DF55" s="11"/>
    </row>
    <row r="56" spans="4:110" x14ac:dyDescent="0.25">
      <c r="D56" s="13" t="s">
        <v>40</v>
      </c>
      <c r="E56" s="13" t="s">
        <v>25</v>
      </c>
      <c r="F56" s="10" t="s">
        <v>149</v>
      </c>
      <c r="G56" s="13"/>
      <c r="H56" s="67" t="str">
        <f t="shared" si="2"/>
        <v xml:space="preserve">Lansing </v>
      </c>
      <c r="I56" s="11">
        <f>1558/(10^3)</f>
        <v>1.5580000000000001</v>
      </c>
      <c r="J56" s="11">
        <f>1567.48190831713/(10^3)</f>
        <v>1.5674819083171301</v>
      </c>
      <c r="K56" s="11">
        <v>1.6318748884689582</v>
      </c>
      <c r="L56" s="11">
        <f>1699.13371083739/(10^3)</f>
        <v>1.6991337108373901</v>
      </c>
      <c r="M56" s="11">
        <f>1651.72489868738/(10^3)</f>
        <v>1.6517248986873798</v>
      </c>
      <c r="N56" s="11">
        <f>1652.19855927112/(10^3)</f>
        <v>1.6521985592711201</v>
      </c>
      <c r="O56" s="11">
        <f>1691.80561325708/(10^3)</f>
        <v>1.69180561325708</v>
      </c>
      <c r="P56" s="11">
        <f>1774.38200205163/(10^3)</f>
        <v>1.7743820020516301</v>
      </c>
      <c r="Q56" s="11">
        <v>1.8220306753705036</v>
      </c>
      <c r="R56" s="11">
        <f>1813.44296929975/(10^3)</f>
        <v>1.81344296929975</v>
      </c>
      <c r="S56" s="11">
        <f>1853.33722507494/(10^3)</f>
        <v>1.85333722507494</v>
      </c>
      <c r="T56" s="11">
        <f>1860.21985645612/(10^3)</f>
        <v>1.8602198564561199</v>
      </c>
      <c r="U56" s="11">
        <f>1831.86554747474/(10^3)</f>
        <v>1.8318655474747401</v>
      </c>
      <c r="V56" s="11">
        <f>1868.83956344532/(10^3)</f>
        <v>1.8688395634453199</v>
      </c>
      <c r="W56" s="11">
        <v>1.9213051860044967</v>
      </c>
      <c r="X56" s="11">
        <f>1913.15811275904/(10^3)</f>
        <v>1.91315811275904</v>
      </c>
      <c r="Y56" s="11">
        <f>1959.59804170611/(10^3)</f>
        <v>1.9595980417061101</v>
      </c>
      <c r="Z56" s="11">
        <f>2063.24908892692/(10^3)</f>
        <v>2.0632490889269204</v>
      </c>
      <c r="AA56" s="11">
        <f>2102.86322908892/(10^3)</f>
        <v>2.10286322908892</v>
      </c>
      <c r="AB56" s="11">
        <f>2155.89962383059/(10^3)</f>
        <v>2.1558996238305901</v>
      </c>
      <c r="AC56" s="11">
        <v>2.2234566325993494</v>
      </c>
      <c r="AD56" s="11">
        <f>2196.57690871824/(10^3)</f>
        <v>2.1965769087182396</v>
      </c>
      <c r="AE56" s="11">
        <f>2191.52081053808/(10^3)</f>
        <v>2.1915208105380799</v>
      </c>
      <c r="AF56" s="11">
        <f>2168.76751981504/(10^3)</f>
        <v>2.1687675198150402</v>
      </c>
      <c r="AG56" s="11">
        <f>2117.79715565188/(10^3)</f>
        <v>2.1177971556518802</v>
      </c>
      <c r="AH56" s="11">
        <f>2177.90867845956/(10^3)</f>
        <v>2.17790867845956</v>
      </c>
      <c r="AI56" s="11">
        <v>2.2103328515857794</v>
      </c>
      <c r="AJ56" s="11">
        <f>2195.3202589768/(10^3)</f>
        <v>2.1953202589767997</v>
      </c>
      <c r="AK56" s="11">
        <f>2206.46441409035/(10^3)</f>
        <v>2.20646441409035</v>
      </c>
      <c r="AL56" s="11">
        <f>2316.10455536921/(10^3)</f>
        <v>2.3161045553692103</v>
      </c>
      <c r="AM56" s="11">
        <f>2363.14520687273/(10^3)</f>
        <v>2.3631452068727299</v>
      </c>
      <c r="AN56" s="11">
        <f>2424.84564326821/(10^3)</f>
        <v>2.4248456432682102</v>
      </c>
      <c r="AO56" s="11">
        <v>2.5460580455211281</v>
      </c>
      <c r="AP56" s="11">
        <f>2553.2746867463/(10^3)</f>
        <v>2.5532746867463003</v>
      </c>
      <c r="AQ56" s="11">
        <f>2482.67905710932/(10^3)</f>
        <v>2.48267905710932</v>
      </c>
      <c r="AR56" s="11">
        <f>2475.64824601126/(10^3)</f>
        <v>2.4756482460112603</v>
      </c>
      <c r="AS56" s="11">
        <f>2474.25707667216/(10^3)</f>
        <v>2.4742570766721603</v>
      </c>
      <c r="AT56" s="11">
        <f>2585.17995541829/(10^3)</f>
        <v>2.5851799554182899</v>
      </c>
      <c r="AU56" s="11">
        <v>2.5297969565829215</v>
      </c>
      <c r="AV56" s="11">
        <f>2546.45856592832/(10^3)</f>
        <v>2.5464585659283197</v>
      </c>
      <c r="AW56" s="11">
        <f>2479.57012964535/(10^3)</f>
        <v>2.4795701296453498</v>
      </c>
      <c r="AX56" s="11">
        <f>2526.71430734478/(10^3)</f>
        <v>2.52671430734478</v>
      </c>
      <c r="AY56" s="11">
        <f>2581.03256545888/(10^3)</f>
        <v>2.5810325654588802</v>
      </c>
      <c r="AZ56" s="11">
        <f>2550.1071633751/(10^3)</f>
        <v>2.5501071633750998</v>
      </c>
      <c r="BA56" s="11">
        <v>2.5939477726930411</v>
      </c>
      <c r="BB56" s="11">
        <f>2709.1970783145/(10^3)</f>
        <v>2.7091970783144999</v>
      </c>
      <c r="BC56" s="11">
        <f>2637.40808092003/(10^3)</f>
        <v>2.63740808092003</v>
      </c>
      <c r="BD56" s="11">
        <f>2612.29023006534/(10^3)</f>
        <v>2.6122902300653399</v>
      </c>
      <c r="BE56" s="11">
        <f>2588.08670152117/(10^3)</f>
        <v>2.5880867015211702</v>
      </c>
      <c r="BF56" s="11">
        <f>2647.18848737259/(10^3)</f>
        <v>2.6471884873725897</v>
      </c>
      <c r="BG56" s="11">
        <v>2.7265878201312881</v>
      </c>
      <c r="BH56" s="11">
        <f>2712.6675206292/(10^3)</f>
        <v>2.7126675206292004</v>
      </c>
      <c r="BI56" s="11">
        <f>2756.78791344805/(10^3)</f>
        <v>2.7567879134480497</v>
      </c>
      <c r="BJ56" s="11">
        <f>2764.94153505839/(10^3)</f>
        <v>2.7649415350583899</v>
      </c>
      <c r="BK56" s="11">
        <f>2846.48100357834/(10^3)</f>
        <v>2.8464810035783397</v>
      </c>
      <c r="BL56" s="11">
        <f>2902.13180321441/(10^3)</f>
        <v>2.9021318032144099</v>
      </c>
      <c r="BM56" s="11">
        <v>2.9359372949616866</v>
      </c>
      <c r="BN56" s="11">
        <f>3048.25193153766/(10^3)</f>
        <v>3.0482519315376599</v>
      </c>
      <c r="BO56" s="11">
        <f>2928.82921546485/(10^3)</f>
        <v>2.9288292154648503</v>
      </c>
      <c r="BP56" s="11">
        <f>2916.2616112611/(10^3)</f>
        <v>2.9162616112611</v>
      </c>
      <c r="BQ56" s="11">
        <f>2849.12196621876/(10^3)</f>
        <v>2.8491219662187599</v>
      </c>
      <c r="BR56" s="11">
        <f>2917.81454087546/(10^3)</f>
        <v>2.9178145408754599</v>
      </c>
      <c r="BS56" s="11">
        <v>3.0255493912984406</v>
      </c>
      <c r="BT56" s="11">
        <f>3176.05706518595/(10^3)</f>
        <v>3.1760570651859497</v>
      </c>
      <c r="BU56" s="11">
        <f>3152.71559502037/(10^3)</f>
        <v>3.15271559502037</v>
      </c>
      <c r="BV56" s="11">
        <f>3432.96979899864/(10^3)</f>
        <v>3.4329697989986396</v>
      </c>
      <c r="BW56" s="11">
        <f>3468.96338417003/(10^3)</f>
        <v>3.46896338417003</v>
      </c>
      <c r="BX56" s="11">
        <f>3567.55930320539/(10^3)</f>
        <v>3.5675593032053898</v>
      </c>
      <c r="BY56" s="11">
        <v>3.6413688041781986</v>
      </c>
      <c r="BZ56" s="11">
        <f>3641.3688041782/(10^3)</f>
        <v>3.6413688041782004</v>
      </c>
      <c r="CA56" s="11">
        <f>3498.08945655543/(10^3)</f>
        <v>3.4980894565554301</v>
      </c>
      <c r="CB56" s="11">
        <f>3369.19807707513/(10^3)</f>
        <v>3.3691980770751302</v>
      </c>
      <c r="CC56" s="12"/>
      <c r="DD56" s="11"/>
      <c r="DE56" s="11"/>
      <c r="DF56" s="11"/>
    </row>
    <row r="57" spans="4:110" x14ac:dyDescent="0.25">
      <c r="D57" s="13" t="s">
        <v>42</v>
      </c>
      <c r="E57" s="13" t="s">
        <v>41</v>
      </c>
      <c r="F57" s="10" t="s">
        <v>149</v>
      </c>
      <c r="G57" s="13"/>
      <c r="H57" s="67" t="str">
        <f t="shared" si="2"/>
        <v xml:space="preserve">Lincoln </v>
      </c>
      <c r="I57" s="11">
        <f>1181/(10^3)</f>
        <v>1.181</v>
      </c>
      <c r="J57" s="11">
        <f>1219.9612082293/(10^3)</f>
        <v>1.2199612082292999</v>
      </c>
      <c r="K57" s="11">
        <v>1.2652557361784278</v>
      </c>
      <c r="L57" s="11">
        <f>1296.37098004101/(10^3)</f>
        <v>1.2963709800410099</v>
      </c>
      <c r="M57" s="11">
        <f>1334.9869345619/(10^3)</f>
        <v>1.3349869345618999</v>
      </c>
      <c r="N57" s="11">
        <f>1433.25715559824/(10^3)</f>
        <v>1.4332571555982399</v>
      </c>
      <c r="O57" s="11">
        <f>1436.80677205082/(10^3)</f>
        <v>1.43680677205082</v>
      </c>
      <c r="P57" s="11">
        <f>1439.35038815341/(10^3)</f>
        <v>1.43935038815341</v>
      </c>
      <c r="Q57" s="11">
        <v>1.5048819724865885</v>
      </c>
      <c r="R57" s="11">
        <f>1564.62919541033/(10^3)</f>
        <v>1.5646291954103302</v>
      </c>
      <c r="S57" s="11">
        <f>1534.97458788938/(10^3)</f>
        <v>1.5349745878893801</v>
      </c>
      <c r="T57" s="11">
        <f>1526.44211000183/(10^3)</f>
        <v>1.5264421100018302</v>
      </c>
      <c r="U57" s="11">
        <f>1512.97278046032/(10^3)</f>
        <v>1.5129727804603201</v>
      </c>
      <c r="V57" s="11">
        <f>1575.54921198724/(10^3)</f>
        <v>1.5755492119872399</v>
      </c>
      <c r="W57" s="11">
        <v>1.6288232254687378</v>
      </c>
      <c r="X57" s="11">
        <f>1703.96474298919/(10^3)</f>
        <v>1.70396474298919</v>
      </c>
      <c r="Y57" s="11">
        <f>1688.02104958428/(10^3)</f>
        <v>1.68802104958428</v>
      </c>
      <c r="Z57" s="11">
        <f>1831.39648477847/(10^3)</f>
        <v>1.8313964847784701</v>
      </c>
      <c r="AA57" s="11">
        <f>1882.54065421586/(10^3)</f>
        <v>1.88254065421586</v>
      </c>
      <c r="AB57" s="11">
        <f>1943.92907943389/(10^3)</f>
        <v>1.9439290794338899</v>
      </c>
      <c r="AC57" s="11">
        <v>1.9668255922336393</v>
      </c>
      <c r="AD57" s="11">
        <f>1970.23200209253/(10^3)</f>
        <v>1.9702320020925299</v>
      </c>
      <c r="AE57" s="11">
        <f>1948.25802570935/(10^3)</f>
        <v>1.94825802570935</v>
      </c>
      <c r="AF57" s="11">
        <f>1896.66665162838/(10^3)</f>
        <v>1.8966666516283799</v>
      </c>
      <c r="AG57" s="11">
        <f>1879.1502413922/(10^3)</f>
        <v>1.8791502413922001</v>
      </c>
      <c r="AH57" s="11">
        <f>1874.91767843922/(10^3)</f>
        <v>1.8749176784392201</v>
      </c>
      <c r="AI57" s="11">
        <v>1.9166039368958481</v>
      </c>
      <c r="AJ57" s="11">
        <f>1945.31041778872/(10^3)</f>
        <v>1.9453104177887202</v>
      </c>
      <c r="AK57" s="11">
        <f>2017.61528621659/(10^3)</f>
        <v>2.0176152862165901</v>
      </c>
      <c r="AL57" s="11">
        <f>2065.75503869047/(10^3)</f>
        <v>2.0657550386904702</v>
      </c>
      <c r="AM57" s="11">
        <f>2151.76510836016/(10^3)</f>
        <v>2.1517651083601601</v>
      </c>
      <c r="AN57" s="11">
        <f>2162.87328938766/(10^3)</f>
        <v>2.1628732893876599</v>
      </c>
      <c r="AO57" s="11">
        <v>2.1693188047138463</v>
      </c>
      <c r="AP57" s="11">
        <f>2180.48945711257/(10^3)</f>
        <v>2.1804894571125701</v>
      </c>
      <c r="AQ57" s="11">
        <f>2044.93522264268/(10^3)</f>
        <v>2.04493522264268</v>
      </c>
      <c r="AR57" s="11">
        <f>1989.88182665091/(10^3)</f>
        <v>1.98988182665091</v>
      </c>
      <c r="AS57" s="11">
        <f>1983.90284503599/(10^3)</f>
        <v>1.9839028450359899</v>
      </c>
      <c r="AT57" s="11">
        <f>2024.91005495767/(10^3)</f>
        <v>2.0249100549576697</v>
      </c>
      <c r="AU57" s="11">
        <v>2.1002635080714809</v>
      </c>
      <c r="AV57" s="11">
        <f>2195.82157027198/(10^3)</f>
        <v>2.1958215702719799</v>
      </c>
      <c r="AW57" s="11">
        <f>2273.62927946569/(10^3)</f>
        <v>2.2736292794656903</v>
      </c>
      <c r="AX57" s="11">
        <f>2219.26708820641/(10^3)</f>
        <v>2.2192670882064101</v>
      </c>
      <c r="AY57" s="11">
        <f>2264.34071648879/(10^3)</f>
        <v>2.2643407164887899</v>
      </c>
      <c r="AZ57" s="11">
        <f>2371.22645302901/(10^3)</f>
        <v>2.3712264530290099</v>
      </c>
      <c r="BA57" s="11">
        <v>2.4723908799504235</v>
      </c>
      <c r="BB57" s="11">
        <f>2527.30472184413/(10^3)</f>
        <v>2.5273047218441302</v>
      </c>
      <c r="BC57" s="11">
        <f>2461.05954104078/(10^3)</f>
        <v>2.4610595410407798</v>
      </c>
      <c r="BD57" s="11">
        <f>2457.53351839774/(10^3)</f>
        <v>2.45753351839774</v>
      </c>
      <c r="BE57" s="11">
        <f>2455.10163656615/(10^3)</f>
        <v>2.45510163656615</v>
      </c>
      <c r="BF57" s="11">
        <f>2385.33029700062/(10^3)</f>
        <v>2.3853302970006198</v>
      </c>
      <c r="BG57" s="11">
        <v>2.4689161413142027</v>
      </c>
      <c r="BH57" s="11">
        <f>2401.84023087682/(10^3)</f>
        <v>2.4018402308768199</v>
      </c>
      <c r="BI57" s="11">
        <f>2340.82955886815/(10^3)</f>
        <v>2.3408295588681498</v>
      </c>
      <c r="BJ57" s="11">
        <f>2383.25353739777/(10^3)</f>
        <v>2.3832535373977697</v>
      </c>
      <c r="BK57" s="11">
        <f>2463.22951869769/(10^3)</f>
        <v>2.4632295186976898</v>
      </c>
      <c r="BL57" s="11">
        <f>2494.08895872757/(10^3)</f>
        <v>2.4940889587275703</v>
      </c>
      <c r="BM57" s="11">
        <v>2.5424326586925154</v>
      </c>
      <c r="BN57" s="11">
        <f>2601.89279011451/(10^3)</f>
        <v>2.6018927901145097</v>
      </c>
      <c r="BO57" s="11">
        <f>2579.08582691684/(10^3)</f>
        <v>2.57908582691684</v>
      </c>
      <c r="BP57" s="11">
        <f>2534.19965599869/(10^3)</f>
        <v>2.5341996559986901</v>
      </c>
      <c r="BQ57" s="11">
        <f>2481.91453767161/(10^3)</f>
        <v>2.4819145376716101</v>
      </c>
      <c r="BR57" s="11">
        <f>2588.89440751928/(10^3)</f>
        <v>2.5888944075192799</v>
      </c>
      <c r="BS57" s="11">
        <v>2.7155912291691666</v>
      </c>
      <c r="BT57" s="11">
        <f>2800.43868153584/(10^3)</f>
        <v>2.80043868153584</v>
      </c>
      <c r="BU57" s="11">
        <f>2786.34996847675/(10^3)</f>
        <v>2.7863499684767499</v>
      </c>
      <c r="BV57" s="11">
        <f>3053.61237530859/(10^3)</f>
        <v>3.0536123753085898</v>
      </c>
      <c r="BW57" s="11">
        <f>3116.09823804558/(10^3)</f>
        <v>3.1160982380455797</v>
      </c>
      <c r="BX57" s="11">
        <f>3244.26162722819/(10^3)</f>
        <v>3.2442616272281897</v>
      </c>
      <c r="BY57" s="11">
        <v>3.3318892817023578</v>
      </c>
      <c r="BZ57" s="11">
        <f>3331.88928170236/(10^3)</f>
        <v>3.3318892817023604</v>
      </c>
      <c r="CA57" s="11">
        <f>3181.57483834771/(10^3)</f>
        <v>3.1815748383477098</v>
      </c>
      <c r="CB57" s="11">
        <f>3049.16725278923/(10^3)</f>
        <v>3.0491672527892302</v>
      </c>
      <c r="CC57" s="12"/>
      <c r="DD57" s="11"/>
      <c r="DE57" s="11"/>
      <c r="DF57" s="11"/>
    </row>
    <row r="58" spans="4:110" x14ac:dyDescent="0.25">
      <c r="D58" s="13" t="s">
        <v>44</v>
      </c>
      <c r="E58" s="13" t="s">
        <v>43</v>
      </c>
      <c r="F58" s="10" t="s">
        <v>150</v>
      </c>
      <c r="G58" s="13"/>
      <c r="H58" s="67" t="str">
        <f t="shared" si="2"/>
        <v xml:space="preserve">Little Rock 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>
        <v>0.60692561412854285</v>
      </c>
      <c r="AP58" s="11">
        <f>595.023717521618/(10^3)</f>
        <v>0.59502371752161798</v>
      </c>
      <c r="AQ58" s="11">
        <f>588.157479126615/(10^3)</f>
        <v>0.58815747912661509</v>
      </c>
      <c r="AR58" s="11">
        <f>582.413926362717/(10^3)</f>
        <v>0.58241392636271705</v>
      </c>
      <c r="AS58" s="11">
        <f>571.365648868333/(10^3)</f>
        <v>0.57136564886833296</v>
      </c>
      <c r="AT58" s="11">
        <f>592.944835011345/(10^3)</f>
        <v>0.59294483501134509</v>
      </c>
      <c r="AU58" s="11">
        <v>0.58830930105629198</v>
      </c>
      <c r="AV58" s="11">
        <f>608.770903326213/(10^3)</f>
        <v>0.60877090332621298</v>
      </c>
      <c r="AW58" s="11">
        <f>631.074307762379/(10^3)</f>
        <v>0.63107430776237905</v>
      </c>
      <c r="AX58" s="11">
        <f>660.993747623399/(10^3)</f>
        <v>0.66099374762339902</v>
      </c>
      <c r="AY58" s="11">
        <f>692.069815796519/(10^3)</f>
        <v>0.69206981579651905</v>
      </c>
      <c r="AZ58" s="11">
        <f>723.3055774514/(10^3)</f>
        <v>0.72330557745140001</v>
      </c>
      <c r="BA58" s="11">
        <v>0.75466637963799743</v>
      </c>
      <c r="BB58" s="11">
        <f>765.021123472797/(10^3)</f>
        <v>0.76502112347279694</v>
      </c>
      <c r="BC58" s="11">
        <f>741.095207443444/(10^3)</f>
        <v>0.74109520744344404</v>
      </c>
      <c r="BD58" s="11">
        <f>729.767648784953/(10^3)</f>
        <v>0.72976764878495304</v>
      </c>
      <c r="BE58" s="11">
        <f>708.104160112155/(10^3)</f>
        <v>0.70810416011215505</v>
      </c>
      <c r="BF58" s="11">
        <f>728.14775061401/(10^3)</f>
        <v>0.72814775061400994</v>
      </c>
      <c r="BG58" s="11">
        <v>0.71955631290929334</v>
      </c>
      <c r="BH58" s="11">
        <f>706.843336571324/(10^3)</f>
        <v>0.70684333657132403</v>
      </c>
      <c r="BI58" s="11">
        <f>722.756057929155/(10^3)</f>
        <v>0.72275605792915498</v>
      </c>
      <c r="BJ58" s="11">
        <f>778.71299604048/(10^3)</f>
        <v>0.77871299604047994</v>
      </c>
      <c r="BK58" s="11">
        <f>793.347714231594/(10^3)</f>
        <v>0.793347714231594</v>
      </c>
      <c r="BL58" s="11">
        <f>824.452557178158/(10^3)</f>
        <v>0.82445255717815802</v>
      </c>
      <c r="BM58" s="11">
        <v>0.86313772121550791</v>
      </c>
      <c r="BN58" s="11">
        <f>860.808410650113/(10^3)</f>
        <v>0.86080841065011304</v>
      </c>
      <c r="BO58" s="11">
        <f>834.078165936406/(10^3)</f>
        <v>0.83407816593640594</v>
      </c>
      <c r="BP58" s="11">
        <f>821.907932667434/(10^3)</f>
        <v>0.821907932667434</v>
      </c>
      <c r="BQ58" s="11">
        <f>817.560589513018/(10^3)</f>
        <v>0.81756058951301802</v>
      </c>
      <c r="BR58" s="11">
        <f>824.612863633688/(10^3)</f>
        <v>0.82461286363368802</v>
      </c>
      <c r="BS58" s="11">
        <v>0.83343328820773055</v>
      </c>
      <c r="BT58" s="11">
        <f>872.423584317973/(10^3)</f>
        <v>0.87242358431797296</v>
      </c>
      <c r="BU58" s="11">
        <f>883.819739395926/(10^3)</f>
        <v>0.88381973939592606</v>
      </c>
      <c r="BV58" s="11">
        <f>892.030423249733/(10^3)</f>
        <v>0.89203042324973292</v>
      </c>
      <c r="BW58" s="11">
        <f>927.610786351593/(10^3)</f>
        <v>0.927610786351593</v>
      </c>
      <c r="BX58" s="11">
        <f>966.500737231453/(10^3)</f>
        <v>0.96650073723145291</v>
      </c>
      <c r="BY58" s="11">
        <v>0.97198271530185287</v>
      </c>
      <c r="BZ58" s="11">
        <f>971.982715301853/(10^3)</f>
        <v>0.97198271530185298</v>
      </c>
      <c r="CA58" s="11">
        <f>932.946949872182/(10^3)</f>
        <v>0.93294694987218196</v>
      </c>
      <c r="CB58" s="11">
        <f>899.474936983496/(10^3)</f>
        <v>0.89947493698349601</v>
      </c>
      <c r="CC58" s="12"/>
      <c r="DD58" s="11"/>
      <c r="DE58" s="11"/>
      <c r="DF58" s="11"/>
    </row>
    <row r="59" spans="4:110" x14ac:dyDescent="0.25">
      <c r="D59" s="13" t="s">
        <v>45</v>
      </c>
      <c r="E59" s="13" t="s">
        <v>29</v>
      </c>
      <c r="F59" s="10" t="s">
        <v>150</v>
      </c>
      <c r="G59" s="13"/>
      <c r="H59" s="67" t="str">
        <f t="shared" si="2"/>
        <v xml:space="preserve">Louisville 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>
        <v>0.34110777546820864</v>
      </c>
      <c r="BN59" s="11">
        <f>350.265662131415/(10^3)</f>
        <v>0.35026566213141502</v>
      </c>
      <c r="BO59" s="11">
        <f>341.091711226821/(10^3)</f>
        <v>0.34109171122682103</v>
      </c>
      <c r="BP59" s="11">
        <f>336.868149890462/(10^3)</f>
        <v>0.33686814989046199</v>
      </c>
      <c r="BQ59" s="11">
        <f>335.440685435904/(10^3)</f>
        <v>0.335440685435904</v>
      </c>
      <c r="BR59" s="11">
        <f>339.849559448996/(10^3)</f>
        <v>0.33984955944899597</v>
      </c>
      <c r="BS59" s="11">
        <v>0.34134004148955188</v>
      </c>
      <c r="BT59" s="11">
        <f>337.88782906651/(10^3)</f>
        <v>0.33788782906650999</v>
      </c>
      <c r="BU59" s="11">
        <f>331.042509103466/(10^3)</f>
        <v>0.331042509103466</v>
      </c>
      <c r="BV59" s="11">
        <f>341.968579416245/(10^3)</f>
        <v>0.34196857941624503</v>
      </c>
      <c r="BW59" s="11">
        <f>344.353062773497/(10^3)</f>
        <v>0.34435306277349703</v>
      </c>
      <c r="BX59" s="11">
        <f>350.819380792163/(10^3)</f>
        <v>0.35081938079216296</v>
      </c>
      <c r="BY59" s="11">
        <v>0.36796259091935074</v>
      </c>
      <c r="BZ59" s="11">
        <f>367.962590919351/(10^3)</f>
        <v>0.36796259091935096</v>
      </c>
      <c r="CA59" s="11">
        <f>337.216223400268/(10^3)</f>
        <v>0.33721622340026802</v>
      </c>
      <c r="CB59" s="11">
        <f>325.395293887091/(10^3)</f>
        <v>0.32539529388709099</v>
      </c>
      <c r="CC59" s="12"/>
      <c r="DD59" s="11"/>
      <c r="DE59" s="11"/>
      <c r="DF59" s="11"/>
    </row>
    <row r="60" spans="4:110" ht="15.6" x14ac:dyDescent="0.25">
      <c r="D60" s="10" t="s">
        <v>122</v>
      </c>
      <c r="E60" s="10" t="s">
        <v>46</v>
      </c>
      <c r="F60" s="10" t="s">
        <v>151</v>
      </c>
      <c r="G60" s="10" t="s">
        <v>182</v>
      </c>
      <c r="H60" s="67" t="str">
        <f t="shared" si="2"/>
        <v>Phoenix (피합병)</v>
      </c>
      <c r="I60" s="11">
        <f>512294.481566779/(10^3)</f>
        <v>512.29448156677904</v>
      </c>
      <c r="J60" s="11">
        <f>525338.779381078/(10^3)</f>
        <v>525.33877938107798</v>
      </c>
      <c r="K60" s="11">
        <v>538.60864618030269</v>
      </c>
      <c r="L60" s="11">
        <f>548840.703029724/(10^3)</f>
        <v>548.84070302972395</v>
      </c>
      <c r="M60" s="11">
        <f>567377.419929799/(10^3)</f>
        <v>567.37741992979909</v>
      </c>
      <c r="N60" s="11">
        <f>575886.879368973/(10^3)</f>
        <v>575.88687936897293</v>
      </c>
      <c r="O60" s="11">
        <f>584786.052118326/(10^3)</f>
        <v>584.78605211832598</v>
      </c>
      <c r="P60" s="11">
        <f>600481.325671142/(10^3)</f>
        <v>600.48132567114192</v>
      </c>
      <c r="Q60" s="11">
        <v>591.53110379889506</v>
      </c>
      <c r="R60" s="11">
        <f>593568.357453959/(10^3)</f>
        <v>593.56835745395892</v>
      </c>
      <c r="S60" s="11">
        <f>605862.899879651/(10^3)</f>
        <v>605.86289987965108</v>
      </c>
      <c r="T60" s="11">
        <f>627748.220376435/(10^3)</f>
        <v>627.74822037643492</v>
      </c>
      <c r="U60" s="11">
        <f>625678.455275359/(10^3)</f>
        <v>625.67845527535894</v>
      </c>
      <c r="V60" s="11">
        <f>634778.722583857/(10^3)</f>
        <v>634.77872258385696</v>
      </c>
      <c r="W60" s="11">
        <v>634.69860705493716</v>
      </c>
      <c r="X60" s="11">
        <f>629442.552713533/(10^3)</f>
        <v>629.44255271353302</v>
      </c>
      <c r="Y60" s="11">
        <f>618424.722008356/(10^3)</f>
        <v>618.42472200835596</v>
      </c>
      <c r="Z60" s="11">
        <f>609186.950551396/(10^3)</f>
        <v>609.18695055139597</v>
      </c>
      <c r="AA60" s="11">
        <f>598057.277759166/(10^3)</f>
        <v>598.05727775916591</v>
      </c>
      <c r="AB60" s="11">
        <f>595575.497376776/(10^3)</f>
        <v>595.57549737677596</v>
      </c>
      <c r="AC60" s="11">
        <v>587.22103434644259</v>
      </c>
      <c r="AD60" s="11">
        <f>582264.259605432/(10^3)</f>
        <v>582.26425960543202</v>
      </c>
      <c r="AE60" s="11">
        <f>579215.651406762/(10^3)</f>
        <v>579.21565140676194</v>
      </c>
      <c r="AF60" s="11">
        <f>580315.777303619/(10^3)</f>
        <v>580.31577730361892</v>
      </c>
      <c r="AG60" s="11">
        <f>593397.204127564/(10^3)</f>
        <v>593.39720412756401</v>
      </c>
      <c r="AH60" s="11">
        <f>610080.265409318/(10^3)</f>
        <v>610.08026540931803</v>
      </c>
      <c r="AI60" s="11">
        <v>601.15056589097412</v>
      </c>
      <c r="AJ60" s="11">
        <f>618069.950158299/(10^3)</f>
        <v>618.06995015829898</v>
      </c>
      <c r="AK60" s="11">
        <f>615458.283695362/(10^3)</f>
        <v>615.45828369536207</v>
      </c>
      <c r="AL60" s="11">
        <f>611898.592573384/(10^3)</f>
        <v>611.89859257338401</v>
      </c>
      <c r="AM60" s="11">
        <f>602837.944185047/(10^3)</f>
        <v>602.83794418504692</v>
      </c>
      <c r="AN60" s="11">
        <f>623618.221741473/(10^3)</f>
        <v>623.61822174147301</v>
      </c>
      <c r="AO60" s="11">
        <v>616.11550708022889</v>
      </c>
      <c r="AP60" s="11">
        <f>606857.941486518/(10^3)</f>
        <v>606.85794148651803</v>
      </c>
      <c r="AQ60" s="11">
        <f>614596.683667922/(10^3)</f>
        <v>614.59668366792209</v>
      </c>
      <c r="AR60" s="11">
        <f>622896.9013813/(10^3)</f>
        <v>622.89690138129993</v>
      </c>
      <c r="AS60" s="11">
        <f>618134.164996131/(10^3)</f>
        <v>618.13416499613095</v>
      </c>
      <c r="AT60" s="11">
        <f>648760.523497411/(10^3)</f>
        <v>648.7605234974111</v>
      </c>
      <c r="AU60" s="11">
        <v>661.52167520974717</v>
      </c>
      <c r="AV60" s="11">
        <f>691687.521502737/(10^3)</f>
        <v>691.6875215027369</v>
      </c>
      <c r="AW60" s="11">
        <f>698177.002006642/(10^3)</f>
        <v>698.17700200664206</v>
      </c>
      <c r="AX60" s="11">
        <f>684330.579307668/(10^3)</f>
        <v>684.33057930766802</v>
      </c>
      <c r="AY60" s="11">
        <f>717035.438750396/(10^3)</f>
        <v>717.035438750396</v>
      </c>
      <c r="AZ60" s="11">
        <f>707972.587665097/(10^3)</f>
        <v>707.97258766509697</v>
      </c>
      <c r="BA60" s="11">
        <v>708.15283747072624</v>
      </c>
      <c r="BB60" s="11">
        <f>729148.394611536/(10^3)</f>
        <v>729.14839461153599</v>
      </c>
      <c r="BC60" s="11">
        <f>726386.480525838/(10^3)</f>
        <v>726.38648052583801</v>
      </c>
      <c r="BD60" s="11">
        <f>748247.534790323/(10^3)</f>
        <v>748.24753479032302</v>
      </c>
      <c r="BE60" s="11">
        <f>739872.129668938/(10^3)</f>
        <v>739.87212966893799</v>
      </c>
      <c r="BF60" s="11">
        <f>759617.487866993/(10^3)</f>
        <v>759.61748786699297</v>
      </c>
      <c r="BG60" s="11">
        <v>752.43173379942766</v>
      </c>
      <c r="BH60" s="11">
        <f>763635.469027227/(10^3)</f>
        <v>763.63546902722703</v>
      </c>
      <c r="BI60" s="11">
        <f>798465.300327952/(10^3)</f>
        <v>798.46530032795204</v>
      </c>
      <c r="BJ60" s="11">
        <f>811139.786171397/(10^3)</f>
        <v>811.13978617139696</v>
      </c>
      <c r="BK60" s="11">
        <f>851546.1587689/(10^3)</f>
        <v>851.5461587689</v>
      </c>
      <c r="BL60" s="11">
        <f>835214.909769836/(10^3)</f>
        <v>835.21490976983603</v>
      </c>
      <c r="BM60" s="11">
        <v>826.93650207239477</v>
      </c>
      <c r="BN60" s="11">
        <f>860092.724853224/(10^3)</f>
        <v>860.09272485322401</v>
      </c>
      <c r="BO60" s="11">
        <f>845990.050796556/(10^3)</f>
        <v>845.99005079655603</v>
      </c>
      <c r="BP60" s="11">
        <f>876767.80950875/(10^3)</f>
        <v>876.76780950875002</v>
      </c>
      <c r="BQ60" s="11">
        <f>878949.060704075/(10^3)</f>
        <v>878.94906070407501</v>
      </c>
      <c r="BR60" s="11">
        <f>877809.802648062/(10^3)</f>
        <v>877.80980264806203</v>
      </c>
      <c r="BS60" s="11">
        <v>885.64586223291496</v>
      </c>
      <c r="BT60" s="11">
        <f>908511.84001855/(10^3)</f>
        <v>908.51184001855006</v>
      </c>
      <c r="BU60" s="11">
        <f>926377.252513846/(10^3)</f>
        <v>926.37725251384609</v>
      </c>
      <c r="BV60" s="11">
        <f>923547.179751369/(10^3)</f>
        <v>923.54717975136907</v>
      </c>
      <c r="BW60" s="11">
        <f>915899.937296633/(10^3)</f>
        <v>915.89993729663297</v>
      </c>
      <c r="BX60" s="11">
        <f>916066.117601541/(10^3)</f>
        <v>916.06611760154101</v>
      </c>
      <c r="BY60" s="11">
        <v>941.11788138633574</v>
      </c>
      <c r="BZ60" s="11">
        <f>941117.881386336/(10^3)</f>
        <v>941.11788138633608</v>
      </c>
      <c r="CA60" s="11">
        <f>980133.965086965/(10^3)</f>
        <v>980.13396508696496</v>
      </c>
      <c r="CB60" s="11">
        <f>967109.802088354/(10^3)</f>
        <v>967.10980208835406</v>
      </c>
      <c r="CC60" s="12"/>
      <c r="DD60" s="11"/>
      <c r="DE60" s="11"/>
      <c r="DF60" s="11"/>
    </row>
    <row r="61" spans="4:110" ht="15.6" x14ac:dyDescent="0.25">
      <c r="D61" s="10" t="s">
        <v>123</v>
      </c>
      <c r="E61" s="10" t="s">
        <v>46</v>
      </c>
      <c r="F61" s="10" t="s">
        <v>151</v>
      </c>
      <c r="G61" s="10" t="s">
        <v>182</v>
      </c>
      <c r="H61" s="67" t="str">
        <f t="shared" si="2"/>
        <v>Tucson (피합병)</v>
      </c>
      <c r="I61" s="11">
        <f>1282073.76042163/(10^3)</f>
        <v>1282.0737604216299</v>
      </c>
      <c r="J61" s="11">
        <f>1265555.06799464/(10^3)</f>
        <v>1265.55506799464</v>
      </c>
      <c r="K61" s="11">
        <v>1247.153256906515</v>
      </c>
      <c r="L61" s="11">
        <f>1284795.75337996/(10^3)</f>
        <v>1284.7957533799602</v>
      </c>
      <c r="M61" s="11">
        <f>1303176.37462802/(10^3)</f>
        <v>1303.1763746280201</v>
      </c>
      <c r="N61" s="11">
        <f>1327059.21641849/(10^3)</f>
        <v>1327.05921641849</v>
      </c>
      <c r="O61" s="11">
        <f>1329183.56208583/(10^3)</f>
        <v>1329.1835620858299</v>
      </c>
      <c r="P61" s="11">
        <f>1313485.52802111/(10^3)</f>
        <v>1313.48552802111</v>
      </c>
      <c r="Q61" s="11">
        <v>1364.3776502483133</v>
      </c>
      <c r="R61" s="11">
        <f>1392105.09876607/(10^3)</f>
        <v>1392.1050987660701</v>
      </c>
      <c r="S61" s="11">
        <f>1380380.36186195/(10^3)</f>
        <v>1380.38036186195</v>
      </c>
      <c r="T61" s="11">
        <f>1414951.15769438/(10^3)</f>
        <v>1414.9511576943801</v>
      </c>
      <c r="U61" s="11">
        <f>1400651.6023745/(10^3)</f>
        <v>1400.6516023744998</v>
      </c>
      <c r="V61" s="11">
        <f>1428469.10445021/(10^3)</f>
        <v>1428.4691044502099</v>
      </c>
      <c r="W61" s="11">
        <v>1445.83051829582</v>
      </c>
      <c r="X61" s="11">
        <f>1430590.41194891/(10^3)</f>
        <v>1430.5904119489101</v>
      </c>
      <c r="Y61" s="11">
        <f>1418869.67490317/(10^3)</f>
        <v>1418.8696749031699</v>
      </c>
      <c r="Z61" s="11">
        <f>1460496.90319333/(10^3)</f>
        <v>1460.4969031933299</v>
      </c>
      <c r="AA61" s="11">
        <f>1439675.0219305/(10^3)</f>
        <v>1439.6750219305</v>
      </c>
      <c r="AB61" s="11">
        <f>1485572.8154535/(10^3)</f>
        <v>1485.5728154535</v>
      </c>
      <c r="AC61" s="11">
        <v>1546.2874128159754</v>
      </c>
      <c r="AD61" s="11">
        <f>1543674.46974292/(10^3)</f>
        <v>1543.6744697429201</v>
      </c>
      <c r="AE61" s="11">
        <f>1570554.88106442/(10^3)</f>
        <v>1570.55488106442</v>
      </c>
      <c r="AF61" s="11">
        <f>1599509.44103012/(10^3)</f>
        <v>1599.5094410301201</v>
      </c>
      <c r="AG61" s="11">
        <f>1601271.50768422/(10^3)</f>
        <v>1601.2715076842201</v>
      </c>
      <c r="AH61" s="11">
        <f>1607990.31872777/(10^3)</f>
        <v>1607.9903187277698</v>
      </c>
      <c r="AI61" s="11">
        <v>1591.4601457423983</v>
      </c>
      <c r="AJ61" s="11">
        <f>1568864.93001894/(10^3)</f>
        <v>1568.86493001894</v>
      </c>
      <c r="AK61" s="11">
        <f>1626466.22270557/(10^3)</f>
        <v>1626.4662227055701</v>
      </c>
      <c r="AL61" s="11">
        <f>1604291.59864114/(10^3)</f>
        <v>1604.2915986411399</v>
      </c>
      <c r="AM61" s="11">
        <f>1585911.72385467/(10^3)</f>
        <v>1585.9117238546701</v>
      </c>
      <c r="AN61" s="11">
        <f>1556816.28494772/(10^3)</f>
        <v>1556.8162849477199</v>
      </c>
      <c r="AO61" s="11">
        <v>1594.1320588929591</v>
      </c>
      <c r="AP61" s="11">
        <f>1564755.76263416/(10^3)</f>
        <v>1564.75576263416</v>
      </c>
      <c r="AQ61" s="11">
        <f>1562578.12037181/(10^3)</f>
        <v>1562.57812037181</v>
      </c>
      <c r="AR61" s="11">
        <f>1545598.13487796/(10^3)</f>
        <v>1545.5981348779599</v>
      </c>
      <c r="AS61" s="11">
        <f>1564472.95657387/(10^3)</f>
        <v>1564.4729565738701</v>
      </c>
      <c r="AT61" s="11">
        <f>1610515.30878514/(10^3)</f>
        <v>1610.51530878514</v>
      </c>
      <c r="AU61" s="11">
        <v>1579.5904288865486</v>
      </c>
      <c r="AV61" s="11">
        <f>1601157.36253207/(10^3)</f>
        <v>1601.15736253207</v>
      </c>
      <c r="AW61" s="11">
        <f>1590332.64064281/(10^3)</f>
        <v>1590.33264064281</v>
      </c>
      <c r="AX61" s="11">
        <f>1564878.15364549/(10^3)</f>
        <v>1564.8781536454901</v>
      </c>
      <c r="AY61" s="11">
        <f>1617611.95309694/(10^3)</f>
        <v>1617.6119530969399</v>
      </c>
      <c r="AZ61" s="11">
        <f>1667539.69210922/(10^3)</f>
        <v>1667.5396921092199</v>
      </c>
      <c r="BA61" s="11">
        <v>1637.0581380011163</v>
      </c>
      <c r="BB61" s="11">
        <f>1706641.64814296/(10^3)</f>
        <v>1706.6416481429599</v>
      </c>
      <c r="BC61" s="11">
        <f>1739114.95968283/(10^3)</f>
        <v>1739.11495968283</v>
      </c>
      <c r="BD61" s="11">
        <f>1705397.92279187/(10^3)</f>
        <v>1705.3979227918701</v>
      </c>
      <c r="BE61" s="11">
        <f>1684852.47771161/(10^3)</f>
        <v>1684.8524777116099</v>
      </c>
      <c r="BF61" s="11">
        <f>1720320.87282334/(10^3)</f>
        <v>1720.3208728233399</v>
      </c>
      <c r="BG61" s="11">
        <v>1735.4704660932293</v>
      </c>
      <c r="BH61" s="11">
        <f>1759610.59057158/(10^3)</f>
        <v>1759.6105905715799</v>
      </c>
      <c r="BI61" s="11">
        <f>1791196.43710504/(10^3)</f>
        <v>1791.1964371050401</v>
      </c>
      <c r="BJ61" s="11">
        <f>1825912.25397648/(10^3)</f>
        <v>1825.9122539764801</v>
      </c>
      <c r="BK61" s="11">
        <f>1829670.45280851/(10^3)</f>
        <v>1829.6704528085099</v>
      </c>
      <c r="BL61" s="11">
        <f>1875384.77057047/(10^3)</f>
        <v>1875.38477057047</v>
      </c>
      <c r="BM61" s="11">
        <v>1918.7085613696361</v>
      </c>
      <c r="BN61" s="11">
        <f>1915197.75029072/(10^3)</f>
        <v>1915.19775029072</v>
      </c>
      <c r="BO61" s="11">
        <f>2001754.95875477/(10^3)</f>
        <v>2001.7549587547701</v>
      </c>
      <c r="BP61" s="11">
        <f>2064560.69870224/(10^3)</f>
        <v>2064.5606987022397</v>
      </c>
      <c r="BQ61" s="11">
        <f>2149009.59959918/(10^3)</f>
        <v>2149.0095995991796</v>
      </c>
      <c r="BR61" s="11">
        <f>2143033.79384983/(10^3)</f>
        <v>2143.0337938498301</v>
      </c>
      <c r="BS61" s="11">
        <v>2142.254388994364</v>
      </c>
      <c r="BT61" s="11">
        <f>2124775.98893335/(10^3)</f>
        <v>2124.7759889333502</v>
      </c>
      <c r="BU61" s="11">
        <f>2151935.35148835/(10^3)</f>
        <v>2151.9353514883501</v>
      </c>
      <c r="BV61" s="11">
        <f>2208147.98304006/(10^3)</f>
        <v>2208.1479830400599</v>
      </c>
      <c r="BW61" s="11">
        <f>2270542.13680092/(10^3)</f>
        <v>2270.5421368009202</v>
      </c>
      <c r="BX61" s="11">
        <f>2346935.14759187/(10^3)</f>
        <v>2346.9351475918697</v>
      </c>
      <c r="BY61" s="11">
        <v>2303.5738107402094</v>
      </c>
      <c r="BZ61" s="11">
        <f>2303573.81074021/(10^3)</f>
        <v>2303.5738107402103</v>
      </c>
      <c r="CA61" s="11">
        <f>2280604.9417104/(10^3)</f>
        <v>2280.6049417104</v>
      </c>
      <c r="CB61" s="11">
        <f>2280470.12643729/(10^3)</f>
        <v>2280.4701264372902</v>
      </c>
      <c r="CC61" s="12"/>
      <c r="DD61" s="11"/>
      <c r="DE61" s="11"/>
      <c r="DF61" s="11"/>
    </row>
    <row r="62" spans="4:110" ht="15.6" x14ac:dyDescent="0.25">
      <c r="D62" s="10" t="s">
        <v>124</v>
      </c>
      <c r="E62" s="10" t="s">
        <v>46</v>
      </c>
      <c r="F62" s="10" t="s">
        <v>151</v>
      </c>
      <c r="G62" s="10" t="s">
        <v>182</v>
      </c>
      <c r="H62" s="67" t="str">
        <f t="shared" si="2"/>
        <v>Mesa (피합병)</v>
      </c>
      <c r="I62" s="11">
        <f>762976.347602988/(10^3)</f>
        <v>762.97634760298797</v>
      </c>
      <c r="J62" s="11">
        <f>788063.813540787/(10^3)</f>
        <v>788.06381354078701</v>
      </c>
      <c r="K62" s="11">
        <v>788.53373350941536</v>
      </c>
      <c r="L62" s="11">
        <f>773329.532273265/(10^3)</f>
        <v>773.32953227326493</v>
      </c>
      <c r="M62" s="11">
        <f>765911.64626058/(10^3)</f>
        <v>765.91164626058003</v>
      </c>
      <c r="N62" s="11">
        <f>795021.576752147/(10^3)</f>
        <v>795.0215767521471</v>
      </c>
      <c r="O62" s="11">
        <f>809901.394556553/(10^3)</f>
        <v>809.90139455655299</v>
      </c>
      <c r="P62" s="11">
        <f>808367.529796255/(10^3)</f>
        <v>808.3675297962551</v>
      </c>
      <c r="Q62" s="11">
        <v>794.16831023586758</v>
      </c>
      <c r="R62" s="11">
        <f>804758.117426339/(10^3)</f>
        <v>804.75811742633891</v>
      </c>
      <c r="S62" s="11">
        <f>796886.104593472/(10^3)</f>
        <v>796.88610459347194</v>
      </c>
      <c r="T62" s="11">
        <f>787642.553333446/(10^3)</f>
        <v>787.64255333344602</v>
      </c>
      <c r="U62" s="11">
        <f>786342.297948041/(10^3)</f>
        <v>786.34229794804105</v>
      </c>
      <c r="V62" s="11">
        <f>775144.768334369/(10^3)</f>
        <v>775.14476833436891</v>
      </c>
      <c r="W62" s="11">
        <v>770.0163167434049</v>
      </c>
      <c r="X62" s="11">
        <f>758981.817351885/(10^3)</f>
        <v>758.98181735188507</v>
      </c>
      <c r="Y62" s="11">
        <f>753348.445458432/(10^3)</f>
        <v>753.34844545843191</v>
      </c>
      <c r="Z62" s="11">
        <f>739504.132907569/(10^3)</f>
        <v>739.50413290756899</v>
      </c>
      <c r="AA62" s="11">
        <f>744058.60111987/(10^3)</f>
        <v>744.05860111986999</v>
      </c>
      <c r="AB62" s="11">
        <f>760221.40490213/(10^3)</f>
        <v>760.22140490212996</v>
      </c>
      <c r="AC62" s="11">
        <v>769.74132252618631</v>
      </c>
      <c r="AD62" s="11">
        <f>796083.290308671/(10^3)</f>
        <v>796.08329030867094</v>
      </c>
      <c r="AE62" s="11">
        <f>787693.756473468/(10^3)</f>
        <v>787.69375647346806</v>
      </c>
      <c r="AF62" s="11">
        <f>783042.05095104/(10^3)</f>
        <v>783.04205095103998</v>
      </c>
      <c r="AG62" s="11">
        <f>778944.796860755/(10^3)</f>
        <v>778.94479686075499</v>
      </c>
      <c r="AH62" s="11">
        <f>802713.161307422/(10^3)</f>
        <v>802.71316130742196</v>
      </c>
      <c r="AI62" s="11">
        <v>841.82282360367981</v>
      </c>
      <c r="AJ62" s="11">
        <f>829347.027876979/(10^3)</f>
        <v>829.34702787697893</v>
      </c>
      <c r="AK62" s="11">
        <f>828822.994381646/(10^3)</f>
        <v>828.82299438164603</v>
      </c>
      <c r="AL62" s="11">
        <f>820733.455445172/(10^3)</f>
        <v>820.73345544517201</v>
      </c>
      <c r="AM62" s="11">
        <f>807039.567069541/(10^3)</f>
        <v>807.03956706954091</v>
      </c>
      <c r="AN62" s="11">
        <f>803887.965947018/(10^3)</f>
        <v>803.88796594701796</v>
      </c>
      <c r="AO62" s="11">
        <v>796.00854309306328</v>
      </c>
      <c r="AP62" s="11">
        <f>817065.849072024/(10^3)</f>
        <v>817.06584907202398</v>
      </c>
      <c r="AQ62" s="11">
        <f>845040.503690693/(10^3)</f>
        <v>845.04050369069296</v>
      </c>
      <c r="AR62" s="11">
        <f>842635.148351489/(10^3)</f>
        <v>842.63514835148897</v>
      </c>
      <c r="AS62" s="11">
        <f>826999.469793111/(10^3)</f>
        <v>826.99946979311096</v>
      </c>
      <c r="AT62" s="11">
        <f>846095.581923483/(10^3)</f>
        <v>846.09558192348311</v>
      </c>
      <c r="AU62" s="11">
        <v>829.59268521320973</v>
      </c>
      <c r="AV62" s="11">
        <f>813414.205003719/(10^3)</f>
        <v>813.41420500371896</v>
      </c>
      <c r="AW62" s="11">
        <f>841246.632542358/(10^3)</f>
        <v>841.24663254235804</v>
      </c>
      <c r="AX62" s="11">
        <f>871317.009080948/(10^3)</f>
        <v>871.31700908094797</v>
      </c>
      <c r="AY62" s="11">
        <f>860093.936028886/(10^3)</f>
        <v>860.09393602888599</v>
      </c>
      <c r="AZ62" s="11">
        <f>852954.376563415/(10^3)</f>
        <v>852.95437656341505</v>
      </c>
      <c r="BA62" s="11">
        <v>895.42956989684399</v>
      </c>
      <c r="BB62" s="11">
        <f>899039.348503199/(10^3)</f>
        <v>899.03934850319911</v>
      </c>
      <c r="BC62" s="11">
        <f>898337.377629147/(10^3)</f>
        <v>898.337377629147</v>
      </c>
      <c r="BD62" s="11">
        <f>900274.524032866/(10^3)</f>
        <v>900.274524032866</v>
      </c>
      <c r="BE62" s="11">
        <f>906047.669572478/(10^3)</f>
        <v>906.04766957247807</v>
      </c>
      <c r="BF62" s="11">
        <f>933416.295618183/(10^3)</f>
        <v>933.41629561818297</v>
      </c>
      <c r="BG62" s="11">
        <v>930.9880527150317</v>
      </c>
      <c r="BH62" s="11">
        <f>960302.595017725/(10^3)</f>
        <v>960.30259501772503</v>
      </c>
      <c r="BI62" s="11">
        <f>969839.517306115/(10^3)</f>
        <v>969.839517306115</v>
      </c>
      <c r="BJ62" s="11">
        <f>987347.845078959/(10^3)</f>
        <v>987.34784507895904</v>
      </c>
      <c r="BK62" s="11">
        <f>1017465.35591688/(10^3)</f>
        <v>1017.46535591688</v>
      </c>
      <c r="BL62" s="11">
        <f>1029591.04117295/(10^3)</f>
        <v>1029.5910411729499</v>
      </c>
      <c r="BM62" s="11">
        <v>1080.9407280613625</v>
      </c>
      <c r="BN62" s="11">
        <f>1079025.99998177/(10^3)</f>
        <v>1079.0259999817702</v>
      </c>
      <c r="BO62" s="11">
        <f>1130340.52715349/(10^3)</f>
        <v>1130.34052715349</v>
      </c>
      <c r="BP62" s="11">
        <f>1130100.43562871/(10^3)</f>
        <v>1130.1004356287101</v>
      </c>
      <c r="BQ62" s="11">
        <f>1174806.10345992/(10^3)</f>
        <v>1174.80610345992</v>
      </c>
      <c r="BR62" s="11">
        <f>1208470.24267444/(10^3)</f>
        <v>1208.47024267444</v>
      </c>
      <c r="BS62" s="11">
        <v>1231.0042210593831</v>
      </c>
      <c r="BT62" s="11">
        <f>1229547.72247243/(10^3)</f>
        <v>1229.54772247243</v>
      </c>
      <c r="BU62" s="11">
        <f>1220162.3128867/(10^3)</f>
        <v>1220.1623128867</v>
      </c>
      <c r="BV62" s="11">
        <f>1251749.39905722/(10^3)</f>
        <v>1251.74939905722</v>
      </c>
      <c r="BW62" s="11">
        <f>1271237.76634707/(10^3)</f>
        <v>1271.23776634707</v>
      </c>
      <c r="BX62" s="11">
        <f>1293291.0337249/(10^3)</f>
        <v>1293.2910337249</v>
      </c>
      <c r="BY62" s="11">
        <v>1264.5404903717945</v>
      </c>
      <c r="BZ62" s="11">
        <f>1264540.49037179/(10^3)</f>
        <v>1264.5404903717899</v>
      </c>
      <c r="CA62" s="11">
        <f>1313514.98185416/(10^3)</f>
        <v>1313.5149818541602</v>
      </c>
      <c r="CB62" s="11">
        <f>1374730.00039388/(10^3)</f>
        <v>1374.7300003938801</v>
      </c>
      <c r="CC62" s="12"/>
      <c r="DD62" s="11"/>
      <c r="DE62" s="11"/>
      <c r="DF62" s="11"/>
    </row>
    <row r="63" spans="4:110" ht="15.6" x14ac:dyDescent="0.25">
      <c r="D63" s="10" t="s">
        <v>125</v>
      </c>
      <c r="E63" s="10" t="s">
        <v>47</v>
      </c>
      <c r="F63" s="10" t="s">
        <v>151</v>
      </c>
      <c r="G63" s="10" t="s">
        <v>182</v>
      </c>
      <c r="H63" s="67" t="str">
        <f t="shared" si="2"/>
        <v>Los Angeles (피합병)</v>
      </c>
      <c r="I63" s="11">
        <f>859797.182577779/(10^3)</f>
        <v>859.79718257777904</v>
      </c>
      <c r="J63" s="11">
        <f>889839.961071624/(10^3)</f>
        <v>889.83996107162397</v>
      </c>
      <c r="K63" s="11">
        <v>923.04848441800539</v>
      </c>
      <c r="L63" s="11">
        <f>908869.60994493/(10^3)</f>
        <v>908.86960994492995</v>
      </c>
      <c r="M63" s="11">
        <f>931260.610004131/(10^3)</f>
        <v>931.26061000413097</v>
      </c>
      <c r="N63" s="11">
        <f>972672.648785339/(10^3)</f>
        <v>972.67264878533899</v>
      </c>
      <c r="O63" s="11">
        <f>978829.36501552/(10^3)</f>
        <v>978.82936501552001</v>
      </c>
      <c r="P63" s="11">
        <f>973388.920040912/(10^3)</f>
        <v>973.38892004091201</v>
      </c>
      <c r="Q63" s="11">
        <v>987.85207438473083</v>
      </c>
      <c r="R63" s="11">
        <f>1005721.76150755/(10^3)</f>
        <v>1005.72176150755</v>
      </c>
      <c r="S63" s="11">
        <f>1013501.00972898/(10^3)</f>
        <v>1013.50100972898</v>
      </c>
      <c r="T63" s="11">
        <f>1062295.50518723/(10^3)</f>
        <v>1062.29550518723</v>
      </c>
      <c r="U63" s="11">
        <f>1045711.10942004/(10^3)</f>
        <v>1045.71110942004</v>
      </c>
      <c r="V63" s="11">
        <f>1045679.19159788/(10^3)</f>
        <v>1045.6791915978799</v>
      </c>
      <c r="W63" s="11">
        <v>1064.7993438791375</v>
      </c>
      <c r="X63" s="11">
        <f>1054422.12653262/(10^3)</f>
        <v>1054.42212653262</v>
      </c>
      <c r="Y63" s="11">
        <f>1079139.03536361/(10^3)</f>
        <v>1079.13903536361</v>
      </c>
      <c r="Z63" s="11">
        <f>1059313.94592994/(10^3)</f>
        <v>1059.31394592994</v>
      </c>
      <c r="AA63" s="11">
        <f>1059452.23951708/(10^3)</f>
        <v>1059.45223951708</v>
      </c>
      <c r="AB63" s="11">
        <f>1085665.92592381/(10^3)</f>
        <v>1085.6659259238102</v>
      </c>
      <c r="AC63" s="11">
        <v>1137.5421595688765</v>
      </c>
      <c r="AD63" s="11">
        <f>1123918.55545681/(10^3)</f>
        <v>1123.9185554568098</v>
      </c>
      <c r="AE63" s="11">
        <f>1179702.18866352/(10^3)</f>
        <v>1179.70218866352</v>
      </c>
      <c r="AF63" s="11">
        <f>1169288.91217041/(10^3)</f>
        <v>1169.28891217041</v>
      </c>
      <c r="AG63" s="11">
        <f>1156954.86945045/(10^3)</f>
        <v>1156.9548694504499</v>
      </c>
      <c r="AH63" s="11">
        <f>1135139.48608858/(10^3)</f>
        <v>1135.13948608858</v>
      </c>
      <c r="AI63" s="11">
        <v>1120.2449777324584</v>
      </c>
      <c r="AJ63" s="11">
        <f>1112446.9428986/(10^3)</f>
        <v>1112.4469428985999</v>
      </c>
      <c r="AK63" s="11">
        <f>1121572.17967993/(10^3)</f>
        <v>1121.5721796799301</v>
      </c>
      <c r="AL63" s="11">
        <f>1111340.19799426/(10^3)</f>
        <v>1111.3401979942598</v>
      </c>
      <c r="AM63" s="11">
        <f>1109896.72482774/(10^3)</f>
        <v>1109.8967248277402</v>
      </c>
      <c r="AN63" s="11">
        <f>1121689.71445324/(10^3)</f>
        <v>1121.68971445324</v>
      </c>
      <c r="AO63" s="11">
        <v>1103.8180357742856</v>
      </c>
      <c r="AP63" s="11">
        <f>1103051.9960358/(10^3)</f>
        <v>1103.0519960358001</v>
      </c>
      <c r="AQ63" s="11">
        <f>1097282.14198776/(10^3)</f>
        <v>1097.28214198776</v>
      </c>
      <c r="AR63" s="11">
        <f>1086642.31418014/(10^3)</f>
        <v>1086.6423141801399</v>
      </c>
      <c r="AS63" s="11">
        <f>1077737.13624995/(10^3)</f>
        <v>1077.73713624995</v>
      </c>
      <c r="AT63" s="11">
        <f>1064834.88538084/(10^3)</f>
        <v>1064.83488538084</v>
      </c>
      <c r="AU63" s="11">
        <v>1070.9669571585803</v>
      </c>
      <c r="AV63" s="11">
        <f>1065734.50562658/(10^3)</f>
        <v>1065.7345056265799</v>
      </c>
      <c r="AW63" s="11">
        <f>1103069.73281247/(10^3)</f>
        <v>1103.06973281247</v>
      </c>
      <c r="AX63" s="11">
        <f>1149232.28172772/(10^3)</f>
        <v>1149.23228172772</v>
      </c>
      <c r="AY63" s="11">
        <f>1133721.5368866/(10^3)</f>
        <v>1133.7215368866</v>
      </c>
      <c r="AZ63" s="11">
        <f>1118302.0010074/(10^3)</f>
        <v>1118.3020010073999</v>
      </c>
      <c r="BA63" s="11">
        <v>1166.9842477988443</v>
      </c>
      <c r="BB63" s="11">
        <f>1188869.21635334/(10^3)</f>
        <v>1188.8692163533401</v>
      </c>
      <c r="BC63" s="11">
        <f>1172288.57140819/(10^3)</f>
        <v>1172.2885714081901</v>
      </c>
      <c r="BD63" s="11">
        <f>1169691.02217309/(10^3)</f>
        <v>1169.69102217309</v>
      </c>
      <c r="BE63" s="11">
        <f>1196012.5739602/(10^3)</f>
        <v>1196.0125739601999</v>
      </c>
      <c r="BF63" s="11">
        <f>1226943.67185161/(10^3)</f>
        <v>1226.9436718516101</v>
      </c>
      <c r="BG63" s="11">
        <v>1206.865013880114</v>
      </c>
      <c r="BH63" s="11">
        <f>1254290.52293493/(10^3)</f>
        <v>1254.2905229349299</v>
      </c>
      <c r="BI63" s="11">
        <f>1282112.92871691/(10^3)</f>
        <v>1282.1129287169101</v>
      </c>
      <c r="BJ63" s="11">
        <f>1337649.47107012/(10^3)</f>
        <v>1337.6494710701202</v>
      </c>
      <c r="BK63" s="11">
        <f>1350011.92707586/(10^3)</f>
        <v>1350.0119270758601</v>
      </c>
      <c r="BL63" s="11">
        <f>1355952.88047476/(10^3)</f>
        <v>1355.9528804747599</v>
      </c>
      <c r="BM63" s="11">
        <v>1337.66260149152</v>
      </c>
      <c r="BN63" s="11">
        <f>1352901.28688731/(10^3)</f>
        <v>1352.9012868873099</v>
      </c>
      <c r="BO63" s="11">
        <f>1407343.86875828/(10^3)</f>
        <v>1407.34386875828</v>
      </c>
      <c r="BP63" s="11">
        <f>1379312.8699941/(10^3)</f>
        <v>1379.3128699940999</v>
      </c>
      <c r="BQ63" s="11">
        <f>1360988.39030438/(10^3)</f>
        <v>1360.9883903043801</v>
      </c>
      <c r="BR63" s="11">
        <f>1422632.18703529/(10^3)</f>
        <v>1422.6321870352901</v>
      </c>
      <c r="BS63" s="11">
        <v>1459.1331362620635</v>
      </c>
      <c r="BT63" s="11">
        <f>1456623.61584625/(10^3)</f>
        <v>1456.62361584625</v>
      </c>
      <c r="BU63" s="11">
        <f>1482223.68482137/(10^3)</f>
        <v>1482.2236848213702</v>
      </c>
      <c r="BV63" s="11">
        <f>1539792.98950251/(10^3)</f>
        <v>1539.79298950251</v>
      </c>
      <c r="BW63" s="11">
        <f>1559819.4865862/(10^3)</f>
        <v>1559.8194865862001</v>
      </c>
      <c r="BX63" s="11">
        <f>1625765.6901533/(10^3)</f>
        <v>1625.7656901533001</v>
      </c>
      <c r="BY63" s="11">
        <v>1605.3308013293963</v>
      </c>
      <c r="BZ63" s="11">
        <f>1605330.8013294/(10^3)</f>
        <v>1605.3308013293999</v>
      </c>
      <c r="CA63" s="11">
        <f>1597702.87949796/(10^3)</f>
        <v>1597.7028794979599</v>
      </c>
      <c r="CB63" s="11">
        <f>1595927.92125757/(10^3)</f>
        <v>1595.92792125757</v>
      </c>
      <c r="CC63" s="12"/>
      <c r="DD63" s="11"/>
      <c r="DE63" s="11"/>
      <c r="DF63" s="11"/>
    </row>
    <row r="64" spans="4:110" ht="15.6" x14ac:dyDescent="0.25">
      <c r="D64" s="10" t="s">
        <v>126</v>
      </c>
      <c r="E64" s="10" t="s">
        <v>47</v>
      </c>
      <c r="F64" s="10" t="s">
        <v>151</v>
      </c>
      <c r="G64" s="10" t="s">
        <v>182</v>
      </c>
      <c r="H64" s="67" t="str">
        <f t="shared" si="2"/>
        <v>Sacramento (피합병)</v>
      </c>
      <c r="I64" s="11">
        <f>352239.50090143/(10^3)</f>
        <v>352.23950090142995</v>
      </c>
      <c r="J64" s="11">
        <f>357114.485145576/(10^3)</f>
        <v>357.114485145576</v>
      </c>
      <c r="K64" s="11">
        <v>369.69088954446016</v>
      </c>
      <c r="L64" s="11">
        <f>385515.904984589/(10^3)</f>
        <v>385.51590498458904</v>
      </c>
      <c r="M64" s="11">
        <f>384431.251557936/(10^3)</f>
        <v>384.43125155793604</v>
      </c>
      <c r="N64" s="11">
        <f>393282.740340618/(10^3)</f>
        <v>393.28274034061803</v>
      </c>
      <c r="O64" s="11">
        <f>390736.21365437/(10^3)</f>
        <v>390.73621365436998</v>
      </c>
      <c r="P64" s="11">
        <f>400284.681407537/(10^3)</f>
        <v>400.28468140753699</v>
      </c>
      <c r="Q64" s="11">
        <v>403.58898179616301</v>
      </c>
      <c r="R64" s="11">
        <f>402493.822644964/(10^3)</f>
        <v>402.49382264496398</v>
      </c>
      <c r="S64" s="11">
        <f>394957.001502856/(10^3)</f>
        <v>394.95700150285597</v>
      </c>
      <c r="T64" s="11">
        <f>392590.345984875/(10^3)</f>
        <v>392.590345984875</v>
      </c>
      <c r="U64" s="11">
        <f>400077.177244826/(10^3)</f>
        <v>400.07717724482598</v>
      </c>
      <c r="V64" s="11">
        <f>399267.329712303/(10^3)</f>
        <v>399.26732971230302</v>
      </c>
      <c r="W64" s="11">
        <v>406.04043493232803</v>
      </c>
      <c r="X64" s="11">
        <f>405050.999531514/(10^3)</f>
        <v>405.05099953151404</v>
      </c>
      <c r="Y64" s="11">
        <f>416305.018515316/(10^3)</f>
        <v>416.30501851531602</v>
      </c>
      <c r="Z64" s="11">
        <f>433364.219501894/(10^3)</f>
        <v>433.36421950189401</v>
      </c>
      <c r="AA64" s="11">
        <f>436837.915359683/(10^3)</f>
        <v>436.837915359683</v>
      </c>
      <c r="AB64" s="11">
        <f>433881.611541811/(10^3)</f>
        <v>433.88161154181103</v>
      </c>
      <c r="AC64" s="11">
        <v>439.74564246485244</v>
      </c>
      <c r="AD64" s="11">
        <f>433836.570427203/(10^3)</f>
        <v>433.83657042720301</v>
      </c>
      <c r="AE64" s="11">
        <f>434491.882417021/(10^3)</f>
        <v>434.49188241702103</v>
      </c>
      <c r="AF64" s="11">
        <f>449032.471739233/(10^3)</f>
        <v>449.03247173923302</v>
      </c>
      <c r="AG64" s="11">
        <f>451452.694757929/(10^3)</f>
        <v>451.45269475792901</v>
      </c>
      <c r="AH64" s="11">
        <f>453409.947753804/(10^3)</f>
        <v>453.40994775380398</v>
      </c>
      <c r="AI64" s="11">
        <v>446.31898729049681</v>
      </c>
      <c r="AJ64" s="11">
        <f>438373.867276691/(10^3)</f>
        <v>438.37386727669104</v>
      </c>
      <c r="AK64" s="11">
        <f>455516.753146802/(10^3)</f>
        <v>455.51675314680199</v>
      </c>
      <c r="AL64" s="11">
        <f>467388.720579179/(10^3)</f>
        <v>467.38872057917899</v>
      </c>
      <c r="AM64" s="11">
        <f>462106.867665914/(10^3)</f>
        <v>462.10686766591402</v>
      </c>
      <c r="AN64" s="11">
        <f>473251.320347291/(10^3)</f>
        <v>473.25132034729103</v>
      </c>
      <c r="AO64" s="11">
        <v>495.85536761017863</v>
      </c>
      <c r="AP64" s="11">
        <f>508330.731011825/(10^3)</f>
        <v>508.33073101182498</v>
      </c>
      <c r="AQ64" s="11">
        <f>531056.997117952/(10^3)</f>
        <v>531.05699711795194</v>
      </c>
      <c r="AR64" s="11">
        <f>525846.20117428/(10^3)</f>
        <v>525.84620117428005</v>
      </c>
      <c r="AS64" s="11">
        <f>519926.540770833/(10^3)</f>
        <v>519.92654077083296</v>
      </c>
      <c r="AT64" s="11">
        <f>523642.916561182/(10^3)</f>
        <v>523.64291656118201</v>
      </c>
      <c r="AU64" s="11">
        <v>517.00091632837405</v>
      </c>
      <c r="AV64" s="11">
        <f>506675.393072315/(10^3)</f>
        <v>506.67539307231505</v>
      </c>
      <c r="AW64" s="11">
        <f>509272.517441375/(10^3)</f>
        <v>509.27251744137499</v>
      </c>
      <c r="AX64" s="11">
        <f>505374.211520521/(10^3)</f>
        <v>505.37421152052104</v>
      </c>
      <c r="AY64" s="11">
        <f>501939.634066815/(10^3)</f>
        <v>501.93963406681502</v>
      </c>
      <c r="AZ64" s="11">
        <f>518249.027765355/(10^3)</f>
        <v>518.24902776535498</v>
      </c>
      <c r="BA64" s="11">
        <v>532.29240705482175</v>
      </c>
      <c r="BB64" s="11">
        <f>527012.404794232/(10^3)</f>
        <v>527.012404794232</v>
      </c>
      <c r="BC64" s="11">
        <f>521243.79329844/(10^3)</f>
        <v>521.24379329843998</v>
      </c>
      <c r="BD64" s="11">
        <f>518583.364950406/(10^3)</f>
        <v>518.58336495040601</v>
      </c>
      <c r="BE64" s="11">
        <f>518814.842240927/(10^3)</f>
        <v>518.81484224092696</v>
      </c>
      <c r="BF64" s="11">
        <f>538707.355280469/(10^3)</f>
        <v>538.70735528046907</v>
      </c>
      <c r="BG64" s="11">
        <v>559.02303274452993</v>
      </c>
      <c r="BH64" s="11">
        <f>570163.357955187/(10^3)</f>
        <v>570.16335795518694</v>
      </c>
      <c r="BI64" s="11">
        <f>591854.814867405/(10^3)</f>
        <v>591.85481486740503</v>
      </c>
      <c r="BJ64" s="11">
        <f>601937.89500304/(10^3)</f>
        <v>601.93789500304001</v>
      </c>
      <c r="BK64" s="11">
        <f>625296.172677616/(10^3)</f>
        <v>625.29617267761603</v>
      </c>
      <c r="BL64" s="11">
        <f>655279.824034703/(10^3)</f>
        <v>655.27982403470298</v>
      </c>
      <c r="BM64" s="11">
        <v>682.45513440608647</v>
      </c>
      <c r="BN64" s="11">
        <f>708607.172227762/(10^3)</f>
        <v>708.60717222776202</v>
      </c>
      <c r="BO64" s="11">
        <f>742810.114044001/(10^3)</f>
        <v>742.81011404400101</v>
      </c>
      <c r="BP64" s="11">
        <f>741014.331303445/(10^3)</f>
        <v>741.01433130344503</v>
      </c>
      <c r="BQ64" s="11">
        <f>749565.059150716/(10^3)</f>
        <v>749.56505915071602</v>
      </c>
      <c r="BR64" s="11">
        <f>768702.308869031/(10^3)</f>
        <v>768.70230886903107</v>
      </c>
      <c r="BS64" s="11">
        <v>800.90637428992682</v>
      </c>
      <c r="BT64" s="11">
        <f>812294.9321198/(10^3)</f>
        <v>812.29493211980002</v>
      </c>
      <c r="BU64" s="11">
        <f>816559.199740509/(10^3)</f>
        <v>816.55919974050903</v>
      </c>
      <c r="BV64" s="11">
        <f>829116.355127486/(10^3)</f>
        <v>829.11635512748603</v>
      </c>
      <c r="BW64" s="11">
        <f>861094.364353749/(10^3)</f>
        <v>861.09436435374892</v>
      </c>
      <c r="BX64" s="11">
        <f>859651.338283753/(10^3)</f>
        <v>859.65133828375303</v>
      </c>
      <c r="BY64" s="11">
        <v>852.07712143494257</v>
      </c>
      <c r="BZ64" s="11">
        <f>852077.121434943/(10^3)</f>
        <v>852.07712143494302</v>
      </c>
      <c r="CA64" s="11">
        <f>873892.192289439/(10^3)</f>
        <v>873.89219228943898</v>
      </c>
      <c r="CB64" s="11">
        <f>883198.120662623/(10^3)</f>
        <v>883.19812066262296</v>
      </c>
      <c r="CC64" s="12"/>
      <c r="DD64" s="11"/>
      <c r="DE64" s="11"/>
      <c r="DF64" s="11"/>
    </row>
    <row r="65" spans="4:110" ht="15.6" x14ac:dyDescent="0.25">
      <c r="D65" s="10" t="s">
        <v>127</v>
      </c>
      <c r="E65" s="10" t="s">
        <v>47</v>
      </c>
      <c r="F65" s="10" t="s">
        <v>151</v>
      </c>
      <c r="G65" s="10" t="s">
        <v>182</v>
      </c>
      <c r="H65" s="67" t="str">
        <f t="shared" si="2"/>
        <v>San Francisco (피합병)</v>
      </c>
      <c r="I65" s="11">
        <f>662778.163281062/(10^3)</f>
        <v>662.77816328106201</v>
      </c>
      <c r="J65" s="11">
        <f>652066.688220789/(10^3)</f>
        <v>652.06668822078893</v>
      </c>
      <c r="K65" s="11">
        <v>639.95535913688354</v>
      </c>
      <c r="L65" s="11">
        <f>670829.546058127/(10^3)</f>
        <v>670.82954605812699</v>
      </c>
      <c r="M65" s="11">
        <f>703898.067564407/(10^3)</f>
        <v>703.89806756440703</v>
      </c>
      <c r="N65" s="11">
        <f>727071.421858912/(10^3)</f>
        <v>727.071421858912</v>
      </c>
      <c r="O65" s="11">
        <f>747153.78415362/(10^3)</f>
        <v>747.15378415361999</v>
      </c>
      <c r="P65" s="11">
        <f>771870.229661889/(10^3)</f>
        <v>771.87022966188897</v>
      </c>
      <c r="Q65" s="11">
        <v>810.19842335490296</v>
      </c>
      <c r="R65" s="11">
        <f>840169.36256483/(10^3)</f>
        <v>840.16936256482995</v>
      </c>
      <c r="S65" s="11">
        <f>831215.437441484/(10^3)</f>
        <v>831.21543744148391</v>
      </c>
      <c r="T65" s="11">
        <f>819812.842176746/(10^3)</f>
        <v>819.81284217674602</v>
      </c>
      <c r="U65" s="11">
        <f>810393.09982978/(10^3)</f>
        <v>810.39309982978</v>
      </c>
      <c r="V65" s="11">
        <f>807948.074799786/(10^3)</f>
        <v>807.94807479978601</v>
      </c>
      <c r="W65" s="11">
        <v>800.85769354773095</v>
      </c>
      <c r="X65" s="11">
        <f>795514.241415691/(10^3)</f>
        <v>795.514241415691</v>
      </c>
      <c r="Y65" s="11">
        <f>797082.402857502/(10^3)</f>
        <v>797.08240285750196</v>
      </c>
      <c r="Z65" s="11">
        <f>801536.899943812/(10^3)</f>
        <v>801.53689994381205</v>
      </c>
      <c r="AA65" s="11">
        <f>788559.419005669/(10^3)</f>
        <v>788.55941900566893</v>
      </c>
      <c r="AB65" s="11">
        <f>780326.58659227/(10^3)</f>
        <v>780.3265865922699</v>
      </c>
      <c r="AC65" s="11">
        <v>799.89664185187496</v>
      </c>
      <c r="AD65" s="11">
        <f>799208.107782592/(10^3)</f>
        <v>799.20810778259192</v>
      </c>
      <c r="AE65" s="11">
        <f>820442.155513287/(10^3)</f>
        <v>820.44215551328705</v>
      </c>
      <c r="AF65" s="11">
        <f>860273.887147356/(10^3)</f>
        <v>860.27388714735605</v>
      </c>
      <c r="AG65" s="11">
        <f>851929.814265796/(10^3)</f>
        <v>851.92981426579604</v>
      </c>
      <c r="AH65" s="11">
        <f>851301.135683916/(10^3)</f>
        <v>851.30113568391607</v>
      </c>
      <c r="AI65" s="11">
        <v>890.74427244107062</v>
      </c>
      <c r="AJ65" s="11">
        <f>874558.759904035/(10^3)</f>
        <v>874.55875990403501</v>
      </c>
      <c r="AK65" s="11">
        <f>864377.182868493/(10^3)</f>
        <v>864.37718286849304</v>
      </c>
      <c r="AL65" s="11">
        <f>853218.106828036/(10^3)</f>
        <v>853.21810682803607</v>
      </c>
      <c r="AM65" s="11">
        <f>848888.975006827/(10^3)</f>
        <v>848.88897500682708</v>
      </c>
      <c r="AN65" s="11">
        <f>839683.964111793/(10^3)</f>
        <v>839.68396411179299</v>
      </c>
      <c r="AO65" s="11">
        <v>825.94663888138575</v>
      </c>
      <c r="AP65" s="11">
        <f>840588.661235711/(10^3)</f>
        <v>840.5886612357109</v>
      </c>
      <c r="AQ65" s="11">
        <f>836978.887934829/(10^3)</f>
        <v>836.978887934829</v>
      </c>
      <c r="AR65" s="11">
        <f>834685.889239073/(10^3)</f>
        <v>834.68588923907305</v>
      </c>
      <c r="AS65" s="11">
        <f>862814.28910019/(10^3)</f>
        <v>862.81428910019008</v>
      </c>
      <c r="AT65" s="11">
        <f>900853.771778658/(10^3)</f>
        <v>900.85377177865803</v>
      </c>
      <c r="AU65" s="11">
        <v>901.51909078356812</v>
      </c>
      <c r="AV65" s="11">
        <f>893130.430409948/(10^3)</f>
        <v>893.13043040994796</v>
      </c>
      <c r="AW65" s="11">
        <f>883962.901979765/(10^3)</f>
        <v>883.96290197976509</v>
      </c>
      <c r="AX65" s="11">
        <f>868736.562113976/(10^3)</f>
        <v>868.73656211397599</v>
      </c>
      <c r="AY65" s="11">
        <f>860627.45545903/(10^3)</f>
        <v>860.62745545902999</v>
      </c>
      <c r="AZ65" s="11">
        <f>879380.925896497/(10^3)</f>
        <v>879.38092589649693</v>
      </c>
      <c r="BA65" s="11">
        <v>884.18212989104825</v>
      </c>
      <c r="BB65" s="11">
        <f>872233.998167832/(10^3)</f>
        <v>872.23399816783206</v>
      </c>
      <c r="BC65" s="11">
        <f>912605.012263015/(10^3)</f>
        <v>912.60501226301506</v>
      </c>
      <c r="BD65" s="11">
        <f>922915.805036262/(10^3)</f>
        <v>922.91580503626199</v>
      </c>
      <c r="BE65" s="11">
        <f>919848.338571785/(10^3)</f>
        <v>919.84833857178501</v>
      </c>
      <c r="BF65" s="11">
        <f>905609.012518849/(10^3)</f>
        <v>905.609012518849</v>
      </c>
      <c r="BG65" s="11">
        <v>941.14180247562456</v>
      </c>
      <c r="BH65" s="11">
        <f>985987.285440775/(10^3)</f>
        <v>985.98728544077494</v>
      </c>
      <c r="BI65" s="11">
        <f>1009026.14074451/(10^3)</f>
        <v>1009.02614074451</v>
      </c>
      <c r="BJ65" s="11">
        <f>996201.112172787/(10^3)</f>
        <v>996.20111217278691</v>
      </c>
      <c r="BK65" s="11">
        <f>992947.738999631/(10^3)</f>
        <v>992.94773899963104</v>
      </c>
      <c r="BL65" s="11">
        <f>1003333.97329238/(10^3)</f>
        <v>1003.3339732923799</v>
      </c>
      <c r="BM65" s="11">
        <v>1015.3787563638324</v>
      </c>
      <c r="BN65" s="11">
        <f>1009533.19170273/(10^3)</f>
        <v>1009.5331917027301</v>
      </c>
      <c r="BO65" s="11">
        <f>990364.568842709/(10^3)</f>
        <v>990.36456884270899</v>
      </c>
      <c r="BP65" s="11">
        <f>1016933.07179234/(10^3)</f>
        <v>1016.93307179234</v>
      </c>
      <c r="BQ65" s="11">
        <f>1045695.12099619/(10^3)</f>
        <v>1045.6951209961901</v>
      </c>
      <c r="BR65" s="11">
        <f>1033374.36986218/(10^3)</f>
        <v>1033.3743698621799</v>
      </c>
      <c r="BS65" s="11">
        <v>1013.1044757276431</v>
      </c>
      <c r="BT65" s="11">
        <f>1002448.13557799/(10^3)</f>
        <v>1002.44813557799</v>
      </c>
      <c r="BU65" s="11">
        <f>1041158.95228475/(10^3)</f>
        <v>1041.1589522847501</v>
      </c>
      <c r="BV65" s="11">
        <f>1074068.04599194/(10^3)</f>
        <v>1074.0680459919399</v>
      </c>
      <c r="BW65" s="11">
        <f>1074949.47262612/(10^3)</f>
        <v>1074.94947262612</v>
      </c>
      <c r="BX65" s="11">
        <f>1106750.44471952/(10^3)</f>
        <v>1106.7504447195199</v>
      </c>
      <c r="BY65" s="11">
        <v>1172.847506010306</v>
      </c>
      <c r="BZ65" s="11">
        <f>1172847.50601031/(10^3)</f>
        <v>1172.8475060103101</v>
      </c>
      <c r="CA65" s="11">
        <f>1228609.11073207/(10^3)</f>
        <v>1228.6091107320699</v>
      </c>
      <c r="CB65" s="11">
        <f>1258608.67623284/(10^3)</f>
        <v>1258.60867623284</v>
      </c>
      <c r="CC65" s="12"/>
      <c r="DD65" s="11"/>
      <c r="DE65" s="11"/>
      <c r="DF65" s="11"/>
    </row>
    <row r="66" spans="4:110" ht="15.6" x14ac:dyDescent="0.25">
      <c r="D66" s="10" t="s">
        <v>128</v>
      </c>
      <c r="E66" s="10" t="s">
        <v>47</v>
      </c>
      <c r="F66" s="10" t="s">
        <v>151</v>
      </c>
      <c r="G66" s="10" t="s">
        <v>182</v>
      </c>
      <c r="H66" s="67" t="str">
        <f t="shared" si="2"/>
        <v>San Diego (피합병)</v>
      </c>
      <c r="I66" s="11">
        <f>1108429.9385482/(10^3)</f>
        <v>1108.4299385482</v>
      </c>
      <c r="J66" s="11">
        <f>1120342.056893/(10^3)</f>
        <v>1120.3420568929998</v>
      </c>
      <c r="K66" s="11">
        <v>1098.2372462591277</v>
      </c>
      <c r="L66" s="11">
        <f>1112222.30118817/(10^3)</f>
        <v>1112.2223011881699</v>
      </c>
      <c r="M66" s="11">
        <f>1140635.34070548/(10^3)</f>
        <v>1140.6353407054798</v>
      </c>
      <c r="N66" s="11">
        <f>1184752.95469601/(10^3)</f>
        <v>1184.7529546960102</v>
      </c>
      <c r="O66" s="11">
        <f>1233091.05882823/(10^3)</f>
        <v>1233.09105882823</v>
      </c>
      <c r="P66" s="11">
        <f>1257188.76867641/(10^3)</f>
        <v>1257.1887686764101</v>
      </c>
      <c r="Q66" s="11">
        <v>1246.8408289031386</v>
      </c>
      <c r="R66" s="11">
        <f>1268552.21853159/(10^3)</f>
        <v>1268.5522185315899</v>
      </c>
      <c r="S66" s="11">
        <f>1307894.3282669/(10^3)</f>
        <v>1307.8943282668999</v>
      </c>
      <c r="T66" s="11">
        <f>1297821.50379009/(10^3)</f>
        <v>1297.82150379009</v>
      </c>
      <c r="U66" s="11">
        <f>1283171.80519257/(10^3)</f>
        <v>1283.17180519257</v>
      </c>
      <c r="V66" s="11">
        <f>1265339.72308609/(10^3)</f>
        <v>1265.3397230860901</v>
      </c>
      <c r="W66" s="11">
        <v>1247.8347095582542</v>
      </c>
      <c r="X66" s="11">
        <f>1246732.15939646/(10^3)</f>
        <v>1246.73215939646</v>
      </c>
      <c r="Y66" s="11">
        <f>1278128.65859215/(10^3)</f>
        <v>1278.12865859215</v>
      </c>
      <c r="Z66" s="11">
        <f>1271385.27179367/(10^3)</f>
        <v>1271.38527179367</v>
      </c>
      <c r="AA66" s="11">
        <f>1300895.10055325/(10^3)</f>
        <v>1300.8951005532499</v>
      </c>
      <c r="AB66" s="11">
        <f>1278832.53544632/(10^3)</f>
        <v>1278.83253544632</v>
      </c>
      <c r="AC66" s="11">
        <v>1256.3660763251034</v>
      </c>
      <c r="AD66" s="11">
        <f>1243611.72442141/(10^3)</f>
        <v>1243.6117244214099</v>
      </c>
      <c r="AE66" s="11">
        <f>1235061.28782889/(10^3)</f>
        <v>1235.0612878288898</v>
      </c>
      <c r="AF66" s="11">
        <f>1233000.93592346/(10^3)</f>
        <v>1233.00093592346</v>
      </c>
      <c r="AG66" s="11">
        <f>1273574.03056354/(10^3)</f>
        <v>1273.57403056354</v>
      </c>
      <c r="AH66" s="11">
        <f>1296307.66031425/(10^3)</f>
        <v>1296.3076603142501</v>
      </c>
      <c r="AI66" s="11">
        <v>1285.5197403358045</v>
      </c>
      <c r="AJ66" s="11">
        <f>1288201.44807111/(10^3)</f>
        <v>1288.20144807111</v>
      </c>
      <c r="AK66" s="11">
        <f>1266312.59887612/(10^3)</f>
        <v>1266.3125988761201</v>
      </c>
      <c r="AL66" s="11">
        <f>1252520.84964938/(10^3)</f>
        <v>1252.5208496493799</v>
      </c>
      <c r="AM66" s="11">
        <f>1295881.17229897/(10^3)</f>
        <v>1295.8811722989699</v>
      </c>
      <c r="AN66" s="11">
        <f>1283039.13901289/(10^3)</f>
        <v>1283.03913901289</v>
      </c>
      <c r="AO66" s="11">
        <v>1268.5724376890764</v>
      </c>
      <c r="AP66" s="11">
        <f>1257185.28140495/(10^3)</f>
        <v>1257.18528140495</v>
      </c>
      <c r="AQ66" s="11">
        <f>1253843.9163119/(10^3)</f>
        <v>1253.8439163118999</v>
      </c>
      <c r="AR66" s="11">
        <f>1259786.11186092/(10^3)</f>
        <v>1259.7861118609201</v>
      </c>
      <c r="AS66" s="11">
        <f>1249958.13624678/(10^3)</f>
        <v>1249.95813624678</v>
      </c>
      <c r="AT66" s="11">
        <f>1234076.39838222/(10^3)</f>
        <v>1234.0763983822198</v>
      </c>
      <c r="AU66" s="11">
        <v>1253.1555924961576</v>
      </c>
      <c r="AV66" s="11">
        <f>1276406.85821753/(10^3)</f>
        <v>1276.40685821753</v>
      </c>
      <c r="AW66" s="11">
        <f>1274490.61620948/(10^3)</f>
        <v>1274.4906162094799</v>
      </c>
      <c r="AX66" s="11">
        <f>1316527.76867415/(10^3)</f>
        <v>1316.5277686741501</v>
      </c>
      <c r="AY66" s="11">
        <f>1343227.9501603/(10^3)</f>
        <v>1343.2279501603</v>
      </c>
      <c r="AZ66" s="11">
        <f>1334792.53676634/(10^3)</f>
        <v>1334.7925367663399</v>
      </c>
      <c r="BA66" s="11">
        <v>1344.6519579295666</v>
      </c>
      <c r="BB66" s="11">
        <f>1325349.78609009/(10^3)</f>
        <v>1325.34978609009</v>
      </c>
      <c r="BC66" s="11">
        <f>1309430.54051328/(10^3)</f>
        <v>1309.43054051328</v>
      </c>
      <c r="BD66" s="11">
        <f>1292377.49875488/(10^3)</f>
        <v>1292.37749875488</v>
      </c>
      <c r="BE66" s="11">
        <f>1328505.19870205/(10^3)</f>
        <v>1328.5051987020499</v>
      </c>
      <c r="BF66" s="11">
        <f>1351495.62329258/(10^3)</f>
        <v>1351.4956232925799</v>
      </c>
      <c r="BG66" s="11">
        <v>1383.6174770980299</v>
      </c>
      <c r="BH66" s="11">
        <f>1366183.2515294/(10^3)</f>
        <v>1366.1832515294</v>
      </c>
      <c r="BI66" s="11">
        <f>1340744.29499016/(10^3)</f>
        <v>1340.7442949901601</v>
      </c>
      <c r="BJ66" s="11">
        <f>1354006.25411863/(10^3)</f>
        <v>1354.0062541186301</v>
      </c>
      <c r="BK66" s="11">
        <f>1406200.30377062/(10^3)</f>
        <v>1406.2003037706199</v>
      </c>
      <c r="BL66" s="11">
        <f>1405425.31675538/(10^3)</f>
        <v>1405.42531675538</v>
      </c>
      <c r="BM66" s="11">
        <v>1433.7634568780024</v>
      </c>
      <c r="BN66" s="11">
        <f>1481590.97120203/(10^3)</f>
        <v>1481.59097120203</v>
      </c>
      <c r="BO66" s="11">
        <f>1463773.9385235/(10^3)</f>
        <v>1463.7739385235</v>
      </c>
      <c r="BP66" s="11">
        <f>1530877.83077781/(10^3)</f>
        <v>1530.87783077781</v>
      </c>
      <c r="BQ66" s="11">
        <f>1554406.12045859/(10^3)</f>
        <v>1554.4061204585901</v>
      </c>
      <c r="BR66" s="11">
        <f>1549607.92979176/(10^3)</f>
        <v>1549.6079297917599</v>
      </c>
      <c r="BS66" s="11">
        <v>1570.3801855289976</v>
      </c>
      <c r="BT66" s="11">
        <f>1563860.67520691/(10^3)</f>
        <v>1563.8606752069099</v>
      </c>
      <c r="BU66" s="11">
        <f>1532683.35346977/(10^3)</f>
        <v>1532.6833534697698</v>
      </c>
      <c r="BV66" s="11">
        <f>1572059.61640923/(10^3)</f>
        <v>1572.0596164092301</v>
      </c>
      <c r="BW66" s="11">
        <f>1620155.35429949/(10^3)</f>
        <v>1620.15535429949</v>
      </c>
      <c r="BX66" s="11">
        <f>1668461.78621706/(10^3)</f>
        <v>1668.4617862170599</v>
      </c>
      <c r="BY66" s="11">
        <v>1732.0549115358347</v>
      </c>
      <c r="BZ66" s="11">
        <f>1732054.91153583/(10^3)</f>
        <v>1732.0549115358301</v>
      </c>
      <c r="CA66" s="11">
        <f>1717528.0046018/(10^3)</f>
        <v>1717.5280046018001</v>
      </c>
      <c r="CB66" s="11">
        <f>1756688.51531864/(10^3)</f>
        <v>1756.6885153186399</v>
      </c>
      <c r="CC66" s="12"/>
      <c r="DD66" s="11"/>
      <c r="DE66" s="11"/>
      <c r="DF66" s="11"/>
    </row>
    <row r="67" spans="4:110" ht="15.6" x14ac:dyDescent="0.25">
      <c r="D67" s="10" t="s">
        <v>129</v>
      </c>
      <c r="E67" s="10" t="s">
        <v>47</v>
      </c>
      <c r="F67" s="10" t="s">
        <v>151</v>
      </c>
      <c r="G67" s="10" t="s">
        <v>182</v>
      </c>
      <c r="H67" s="67" t="str">
        <f t="shared" si="2"/>
        <v>San Jose (피합병)</v>
      </c>
      <c r="I67" s="11">
        <f>496373.431458853/(10^3)</f>
        <v>496.37343145885302</v>
      </c>
      <c r="J67" s="11">
        <f>519887.08655372/(10^3)</f>
        <v>519.88708655372</v>
      </c>
      <c r="K67" s="11">
        <v>530.72916013273618</v>
      </c>
      <c r="L67" s="11">
        <f>536358.001959959/(10^3)</f>
        <v>536.3580019599591</v>
      </c>
      <c r="M67" s="11">
        <f>528486.750578026/(10^3)</f>
        <v>528.48675057802609</v>
      </c>
      <c r="N67" s="11">
        <f>530948.043852455/(10^3)</f>
        <v>530.94804385245493</v>
      </c>
      <c r="O67" s="11">
        <f>536815.24911119/(10^3)</f>
        <v>536.81524911118993</v>
      </c>
      <c r="P67" s="11">
        <f>547908.490360288/(10^3)</f>
        <v>547.90849036028794</v>
      </c>
      <c r="Q67" s="11">
        <v>554.46575285651909</v>
      </c>
      <c r="R67" s="11">
        <f>557460.512035505/(10^3)</f>
        <v>557.46051203550508</v>
      </c>
      <c r="S67" s="11">
        <f>566138.663662481/(10^3)</f>
        <v>566.13866366248101</v>
      </c>
      <c r="T67" s="11">
        <f>583356.104830108/(10^3)</f>
        <v>583.35610483010805</v>
      </c>
      <c r="U67" s="11">
        <f>578063.619554611/(10^3)</f>
        <v>578.06361955461102</v>
      </c>
      <c r="V67" s="11">
        <f>572475.672207748/(10^3)</f>
        <v>572.47567220774806</v>
      </c>
      <c r="W67" s="11">
        <v>563.73847791967762</v>
      </c>
      <c r="X67" s="11">
        <f>572778.285069689/(10^3)</f>
        <v>572.77828506968899</v>
      </c>
      <c r="Y67" s="11">
        <f>596848.772278349/(10^3)</f>
        <v>596.84877227834909</v>
      </c>
      <c r="Z67" s="11">
        <f>625723.050208269/(10^3)</f>
        <v>625.723050208269</v>
      </c>
      <c r="AA67" s="11">
        <f>632795.135037018/(10^3)</f>
        <v>632.79513503701799</v>
      </c>
      <c r="AB67" s="11">
        <f>623717.575537874/(10^3)</f>
        <v>623.71757553787404</v>
      </c>
      <c r="AC67" s="11">
        <v>647.09232386922235</v>
      </c>
      <c r="AD67" s="11">
        <f>662452.554038011/(10^3)</f>
        <v>662.45255403801104</v>
      </c>
      <c r="AE67" s="11">
        <f>652828.925835101/(10^3)</f>
        <v>652.82892583510102</v>
      </c>
      <c r="AF67" s="11">
        <f>680399.796645682/(10^3)</f>
        <v>680.39979664568193</v>
      </c>
      <c r="AG67" s="11">
        <f>679725.169193751/(10^3)</f>
        <v>679.72516919375096</v>
      </c>
      <c r="AH67" s="11">
        <f>677495.897895242/(10^3)</f>
        <v>677.49589789524202</v>
      </c>
      <c r="AI67" s="11">
        <v>674.98443407591492</v>
      </c>
      <c r="AJ67" s="11">
        <f>692503.131118774/(10^3)</f>
        <v>692.50313111877392</v>
      </c>
      <c r="AK67" s="11">
        <f>706123.963270085/(10^3)</f>
        <v>706.12396327008503</v>
      </c>
      <c r="AL67" s="11">
        <f>700752.11410727/(10^3)</f>
        <v>700.75211410727002</v>
      </c>
      <c r="AM67" s="11">
        <f>702753.113854684/(10^3)</f>
        <v>702.7531138546841</v>
      </c>
      <c r="AN67" s="11">
        <f>696927.436844349/(10^3)</f>
        <v>696.92743684434902</v>
      </c>
      <c r="AO67" s="11">
        <v>722.01156891782728</v>
      </c>
      <c r="AP67" s="11">
        <f>713899.348321631/(10^3)</f>
        <v>713.89934832163101</v>
      </c>
      <c r="AQ67" s="11">
        <f>700939.097680046/(10^3)</f>
        <v>700.93909768004596</v>
      </c>
      <c r="AR67" s="11">
        <f>695667.461524377/(10^3)</f>
        <v>695.66746152437702</v>
      </c>
      <c r="AS67" s="11">
        <f>720652.711273314/(10^3)</f>
        <v>720.65271127331391</v>
      </c>
      <c r="AT67" s="11">
        <f>723403.143293269/(10^3)</f>
        <v>723.40314329326895</v>
      </c>
      <c r="AU67" s="11">
        <v>739.59519988181421</v>
      </c>
      <c r="AV67" s="11">
        <f>726217.534044209/(10^3)</f>
        <v>726.21753404420906</v>
      </c>
      <c r="AW67" s="11">
        <f>718389.005210589/(10^3)</f>
        <v>718.38900521058906</v>
      </c>
      <c r="AX67" s="11">
        <f>717819.763609798/(10^3)</f>
        <v>717.81976360979809</v>
      </c>
      <c r="AY67" s="11">
        <f>713463.180140645/(10^3)</f>
        <v>713.46318014064502</v>
      </c>
      <c r="AZ67" s="11">
        <f>738655.98638092/(10^3)</f>
        <v>738.65598638092001</v>
      </c>
      <c r="BA67" s="11">
        <v>773.89007489207984</v>
      </c>
      <c r="BB67" s="11">
        <f>798486.28663238/(10^3)</f>
        <v>798.48628663238003</v>
      </c>
      <c r="BC67" s="11">
        <f>784633.503104466/(10^3)</f>
        <v>784.63350310446606</v>
      </c>
      <c r="BD67" s="11">
        <f>799133.706637053/(10^3)</f>
        <v>799.13370663705302</v>
      </c>
      <c r="BE67" s="11">
        <f>837693.820003035/(10^3)</f>
        <v>837.69382000303506</v>
      </c>
      <c r="BF67" s="11">
        <f>871160.958538003/(10^3)</f>
        <v>871.160958538003</v>
      </c>
      <c r="BG67" s="11">
        <v>910.15411407148667</v>
      </c>
      <c r="BH67" s="11">
        <f>917268.473315315/(10^3)</f>
        <v>917.26847331531496</v>
      </c>
      <c r="BI67" s="11">
        <f>909110.779762412/(10^3)</f>
        <v>909.11077976241199</v>
      </c>
      <c r="BJ67" s="11">
        <f>946819.457260856/(10^3)</f>
        <v>946.8194572608561</v>
      </c>
      <c r="BK67" s="11">
        <f>958532.8403486/(10^3)</f>
        <v>958.53284034859996</v>
      </c>
      <c r="BL67" s="11">
        <f>964894.431620681/(10^3)</f>
        <v>964.89443162068096</v>
      </c>
      <c r="BM67" s="11">
        <v>1009.7247432029196</v>
      </c>
      <c r="BN67" s="11">
        <f>1033941.61472512/(10^3)</f>
        <v>1033.94161472512</v>
      </c>
      <c r="BO67" s="11">
        <f>1079497.56805543/(10^3)</f>
        <v>1079.4975680554301</v>
      </c>
      <c r="BP67" s="11">
        <f>1093497.65734269/(10^3)</f>
        <v>1093.49765734269</v>
      </c>
      <c r="BQ67" s="11">
        <f>1090869.97084814/(10^3)</f>
        <v>1090.8699708481402</v>
      </c>
      <c r="BR67" s="11">
        <f>1132408.96206665/(10^3)</f>
        <v>1132.40896206665</v>
      </c>
      <c r="BS67" s="11">
        <v>1115.1944633967862</v>
      </c>
      <c r="BT67" s="11">
        <f>1124192.35326784/(10^3)</f>
        <v>1124.1923532678402</v>
      </c>
      <c r="BU67" s="11">
        <f>1150162.74029471/(10^3)</f>
        <v>1150.1627402947101</v>
      </c>
      <c r="BV67" s="11">
        <f>1184767.53186351/(10^3)</f>
        <v>1184.7675318635099</v>
      </c>
      <c r="BW67" s="11">
        <f>1235716.24526546/(10^3)</f>
        <v>1235.7162452654602</v>
      </c>
      <c r="BX67" s="11">
        <f>1236526.03435774/(10^3)</f>
        <v>1236.5260343577402</v>
      </c>
      <c r="BY67" s="11">
        <v>1290.5079670789914</v>
      </c>
      <c r="BZ67" s="11">
        <f>1290507.96707899/(10^3)</f>
        <v>1290.5079670789901</v>
      </c>
      <c r="CA67" s="11">
        <f>1297293.85750428/(10^3)</f>
        <v>1297.2938575042801</v>
      </c>
      <c r="CB67" s="11">
        <f>1301651.48118997/(10^3)</f>
        <v>1301.6514811899699</v>
      </c>
      <c r="CC67" s="12"/>
      <c r="DD67" s="11"/>
      <c r="DE67" s="11"/>
      <c r="DF67" s="11"/>
    </row>
    <row r="68" spans="4:110" ht="15.6" x14ac:dyDescent="0.25">
      <c r="D68" s="10" t="s">
        <v>130</v>
      </c>
      <c r="E68" s="10" t="s">
        <v>50</v>
      </c>
      <c r="F68" s="10" t="s">
        <v>151</v>
      </c>
      <c r="G68" s="10" t="s">
        <v>182</v>
      </c>
      <c r="H68" s="67" t="str">
        <f t="shared" si="2"/>
        <v>Boise (피합병)</v>
      </c>
      <c r="I68" s="11">
        <f>377881.854265887/(10^3)</f>
        <v>377.881854265887</v>
      </c>
      <c r="J68" s="11">
        <f>387629.298091571/(10^3)</f>
        <v>387.629298091571</v>
      </c>
      <c r="K68" s="11">
        <v>402.90272619931164</v>
      </c>
      <c r="L68" s="11">
        <f>395978.097474519/(10^3)</f>
        <v>395.97809747451896</v>
      </c>
      <c r="M68" s="11">
        <f>411193.984948918/(10^3)</f>
        <v>411.193984948918</v>
      </c>
      <c r="N68" s="11">
        <f>428341.187073595/(10^3)</f>
        <v>428.34118707359499</v>
      </c>
      <c r="O68" s="11">
        <f>445405.771715163/(10^3)</f>
        <v>445.40577171516304</v>
      </c>
      <c r="P68" s="11">
        <f>466516.062370895/(10^3)</f>
        <v>466.51606237089499</v>
      </c>
      <c r="Q68" s="11">
        <v>472.73127978406444</v>
      </c>
      <c r="R68" s="11">
        <f>487451.314816577/(10^3)</f>
        <v>487.451314816577</v>
      </c>
      <c r="S68" s="11">
        <f>478469.172450545/(10^3)</f>
        <v>478.46917245054499</v>
      </c>
      <c r="T68" s="11">
        <f>469013.939150073/(10^3)</f>
        <v>469.01393915007299</v>
      </c>
      <c r="U68" s="11">
        <f>485928.854909735/(10^3)</f>
        <v>485.92885490973498</v>
      </c>
      <c r="V68" s="11">
        <f>489519.924900658/(10^3)</f>
        <v>489.519924900658</v>
      </c>
      <c r="W68" s="11">
        <v>482.71773759300783</v>
      </c>
      <c r="X68" s="11">
        <f>498606.271925874/(10^3)</f>
        <v>498.60627192587401</v>
      </c>
      <c r="Y68" s="11">
        <f>509177.393890717/(10^3)</f>
        <v>509.17739389071698</v>
      </c>
      <c r="Z68" s="11">
        <f>502536.256635913/(10^3)</f>
        <v>502.53625663591299</v>
      </c>
      <c r="AA68" s="11">
        <f>506798.609636417/(10^3)</f>
        <v>506.79860963641698</v>
      </c>
      <c r="AB68" s="11">
        <f>506218.094508154/(10^3)</f>
        <v>506.21809450815402</v>
      </c>
      <c r="AC68" s="11">
        <v>526.6610203437084</v>
      </c>
      <c r="AD68" s="11">
        <f>516839.732596002/(10^3)</f>
        <v>516.83973259600202</v>
      </c>
      <c r="AE68" s="11">
        <f>527729.085771487/(10^3)</f>
        <v>527.72908577148701</v>
      </c>
      <c r="AF68" s="11">
        <f>533882.803813664/(10^3)</f>
        <v>533.88280381366405</v>
      </c>
      <c r="AG68" s="11">
        <f>523372.758074562/(10^3)</f>
        <v>523.37275807456206</v>
      </c>
      <c r="AH68" s="11">
        <f>522881.416564196/(10^3)</f>
        <v>522.881416564196</v>
      </c>
      <c r="AI68" s="11">
        <v>534.53261046682837</v>
      </c>
      <c r="AJ68" s="11">
        <f>533469.542638523/(10^3)</f>
        <v>533.46954263852308</v>
      </c>
      <c r="AK68" s="11">
        <f>529583.02503873/(10^3)</f>
        <v>529.58302503873006</v>
      </c>
      <c r="AL68" s="11">
        <f>521176.132357633/(10^3)</f>
        <v>521.17613235763292</v>
      </c>
      <c r="AM68" s="11">
        <f>514305.086172653/(10^3)</f>
        <v>514.30508617265298</v>
      </c>
      <c r="AN68" s="11">
        <f>504191.848583005/(10^3)</f>
        <v>504.19184858300503</v>
      </c>
      <c r="AO68" s="11">
        <v>517.20590914015816</v>
      </c>
      <c r="AP68" s="11">
        <f>527936.18562063/(10^3)</f>
        <v>527.93618562063</v>
      </c>
      <c r="AQ68" s="11">
        <f>552543.101117766/(10^3)</f>
        <v>552.54310111776601</v>
      </c>
      <c r="AR68" s="11">
        <f>563036.090046027/(10^3)</f>
        <v>563.03609004602697</v>
      </c>
      <c r="AS68" s="11">
        <f>582660.383882184/(10^3)</f>
        <v>582.66038388218408</v>
      </c>
      <c r="AT68" s="11">
        <f>577474.966988985/(10^3)</f>
        <v>577.47496698898499</v>
      </c>
      <c r="AU68" s="11">
        <v>576.25818497606474</v>
      </c>
      <c r="AV68" s="11">
        <f>567214.478423407/(10^3)</f>
        <v>567.21447842340694</v>
      </c>
      <c r="AW68" s="11">
        <f>589657.701249709/(10^3)</f>
        <v>589.65770124970902</v>
      </c>
      <c r="AX68" s="11">
        <f>597592.660262128/(10^3)</f>
        <v>597.59266026212799</v>
      </c>
      <c r="AY68" s="11">
        <f>586140.531812581/(10^3)</f>
        <v>586.140531812581</v>
      </c>
      <c r="AZ68" s="11">
        <f>603008.215481621/(10^3)</f>
        <v>603.00821548162094</v>
      </c>
      <c r="BA68" s="11">
        <v>618.21768823451271</v>
      </c>
      <c r="BB68" s="11">
        <f>634142.54771549/(10^3)</f>
        <v>634.14254771548997</v>
      </c>
      <c r="BC68" s="11">
        <f>636773.722402039/(10^3)</f>
        <v>636.77372240203897</v>
      </c>
      <c r="BD68" s="11">
        <f>624079.366574081/(10^3)</f>
        <v>624.07936657408106</v>
      </c>
      <c r="BE68" s="11">
        <f>631664.537489388/(10^3)</f>
        <v>631.66453748938807</v>
      </c>
      <c r="BF68" s="11">
        <f>649984.086641632/(10^3)</f>
        <v>649.98408664163208</v>
      </c>
      <c r="BG68" s="11">
        <v>644.2832615158037</v>
      </c>
      <c r="BH68" s="11">
        <f>661489.655638785/(10^3)</f>
        <v>661.48965563878494</v>
      </c>
      <c r="BI68" s="11">
        <f>689403.171834938/(10^3)</f>
        <v>689.40317183493801</v>
      </c>
      <c r="BJ68" s="11">
        <f>716692.604038212/(10^3)</f>
        <v>716.69260403821204</v>
      </c>
      <c r="BK68" s="11">
        <f>732297.246491617/(10^3)</f>
        <v>732.2972464916171</v>
      </c>
      <c r="BL68" s="11">
        <f>753706.517817544/(10^3)</f>
        <v>753.70651781754407</v>
      </c>
      <c r="BM68" s="11">
        <v>740.564429777599</v>
      </c>
      <c r="BN68" s="11">
        <f>740936.550915981/(10^3)</f>
        <v>740.93655091598089</v>
      </c>
      <c r="BO68" s="11">
        <f>760860.721037196/(10^3)</f>
        <v>760.86072103719596</v>
      </c>
      <c r="BP68" s="11">
        <f>754031.569221855/(10^3)</f>
        <v>754.03156922185508</v>
      </c>
      <c r="BQ68" s="11">
        <f>761836.03921594/(10^3)</f>
        <v>761.8360392159401</v>
      </c>
      <c r="BR68" s="11">
        <f>753601.769269868/(10^3)</f>
        <v>753.60176926986799</v>
      </c>
      <c r="BS68" s="11">
        <v>773.91073925207331</v>
      </c>
      <c r="BT68" s="11">
        <f>760638.625709072/(10^3)</f>
        <v>760.63862570907202</v>
      </c>
      <c r="BU68" s="11">
        <f>789067.244234696/(10^3)</f>
        <v>789.06724423469598</v>
      </c>
      <c r="BV68" s="11">
        <f>783861.644901277/(10^3)</f>
        <v>783.86164490127703</v>
      </c>
      <c r="BW68" s="11">
        <f>775432.345774845/(10^3)</f>
        <v>775.43234577484498</v>
      </c>
      <c r="BX68" s="11">
        <f>805455.984095317/(10^3)</f>
        <v>805.45598409531692</v>
      </c>
      <c r="BY68" s="11">
        <v>827.45664955777931</v>
      </c>
      <c r="BZ68" s="11">
        <f>827456.649557779/(10^3)</f>
        <v>827.45664955777897</v>
      </c>
      <c r="CA68" s="11">
        <f>828148.816983339/(10^3)</f>
        <v>828.14881698333897</v>
      </c>
      <c r="CB68" s="11">
        <f>830391.777658393/(10^3)</f>
        <v>830.39177765839304</v>
      </c>
      <c r="CC68" s="12"/>
      <c r="DD68" s="11"/>
      <c r="DE68" s="11"/>
      <c r="DF68" s="11"/>
    </row>
    <row r="69" spans="4:110" ht="15.6" x14ac:dyDescent="0.25">
      <c r="D69" s="10" t="s">
        <v>131</v>
      </c>
      <c r="E69" s="10" t="s">
        <v>91</v>
      </c>
      <c r="F69" s="10" t="s">
        <v>151</v>
      </c>
      <c r="G69" s="10" t="s">
        <v>182</v>
      </c>
      <c r="H69" s="67" t="str">
        <f t="shared" si="2"/>
        <v>Carson City (피합병)</v>
      </c>
      <c r="I69" s="11">
        <f>570065.080866076/(10^3)</f>
        <v>570.06508086607607</v>
      </c>
      <c r="J69" s="11">
        <f>590885.58922162/(10^3)</f>
        <v>590.88558922161997</v>
      </c>
      <c r="K69" s="11">
        <v>606.33941930473623</v>
      </c>
      <c r="L69" s="11">
        <f>599978.766282806/(10^3)</f>
        <v>599.97876628280608</v>
      </c>
      <c r="M69" s="11">
        <f>626885.138911295/(10^3)</f>
        <v>626.88513891129503</v>
      </c>
      <c r="N69" s="11">
        <f>623441.159001677/(10^3)</f>
        <v>623.44115900167697</v>
      </c>
      <c r="O69" s="11">
        <f>615031.171298167/(10^3)</f>
        <v>615.03117129816701</v>
      </c>
      <c r="P69" s="11">
        <f>617959.367514299/(10^3)</f>
        <v>617.95936751429895</v>
      </c>
      <c r="Q69" s="11">
        <v>614.66544888923556</v>
      </c>
      <c r="R69" s="11">
        <f>605230.280234669/(10^3)</f>
        <v>605.23028023466895</v>
      </c>
      <c r="S69" s="11">
        <f>617301.496025712/(10^3)</f>
        <v>617.30149602571203</v>
      </c>
      <c r="T69" s="11">
        <f>608422.0469008/(10^3)</f>
        <v>608.42204690079996</v>
      </c>
      <c r="U69" s="11">
        <f>600416.105455839/(10^3)</f>
        <v>600.41610545583899</v>
      </c>
      <c r="V69" s="11">
        <f>589216.32977537/(10^3)</f>
        <v>589.21632977537001</v>
      </c>
      <c r="W69" s="11">
        <v>585.72948719595081</v>
      </c>
      <c r="X69" s="11">
        <f>581517.399820402/(10^3)</f>
        <v>581.51739982040203</v>
      </c>
      <c r="Y69" s="11">
        <f>574352.820077753/(10^3)</f>
        <v>574.35282007775299</v>
      </c>
      <c r="Z69" s="11">
        <f>587371.556964183/(10^3)</f>
        <v>587.37155696418301</v>
      </c>
      <c r="AA69" s="11">
        <f>578125.781068474/(10^3)</f>
        <v>578.125781068474</v>
      </c>
      <c r="AB69" s="11">
        <f>574896.420660425/(10^3)</f>
        <v>574.89642066042495</v>
      </c>
      <c r="AC69" s="11">
        <v>575.82050234593351</v>
      </c>
      <c r="AD69" s="11">
        <f>572550.144714235/(10^3)</f>
        <v>572.55014471423499</v>
      </c>
      <c r="AE69" s="11">
        <f>573955.67030387/(10^3)</f>
        <v>573.95567030386997</v>
      </c>
      <c r="AF69" s="11">
        <f>577820.134606055/(10^3)</f>
        <v>577.82013460605503</v>
      </c>
      <c r="AG69" s="11">
        <f>579347.810023657/(10^3)</f>
        <v>579.34781002365708</v>
      </c>
      <c r="AH69" s="11">
        <f>586349.657775622/(10^3)</f>
        <v>586.34965777562195</v>
      </c>
      <c r="AI69" s="11">
        <v>593.53695521786949</v>
      </c>
      <c r="AJ69" s="11">
        <f>587523.038773194/(10^3)</f>
        <v>587.523038773194</v>
      </c>
      <c r="AK69" s="11">
        <f>577328.629840678/(10^3)</f>
        <v>577.32862984067799</v>
      </c>
      <c r="AL69" s="11">
        <f>583712.613178819/(10^3)</f>
        <v>583.71261317881897</v>
      </c>
      <c r="AM69" s="11">
        <f>610876.434499159/(10^3)</f>
        <v>610.87643449915902</v>
      </c>
      <c r="AN69" s="11">
        <f>615209.697560623/(10^3)</f>
        <v>615.209697560623</v>
      </c>
      <c r="AO69" s="11">
        <v>640.2272111555194</v>
      </c>
      <c r="AP69" s="11">
        <f>638101.726837835/(10^3)</f>
        <v>638.10172683783503</v>
      </c>
      <c r="AQ69" s="11">
        <f>626052.542141894/(10^3)</f>
        <v>626.05254214189404</v>
      </c>
      <c r="AR69" s="11">
        <f>640106.802642924/(10^3)</f>
        <v>640.10680264292398</v>
      </c>
      <c r="AS69" s="11">
        <f>632954.150260983/(10^3)</f>
        <v>632.95415026098306</v>
      </c>
      <c r="AT69" s="11">
        <f>652507.451124289/(10^3)</f>
        <v>652.50745112428899</v>
      </c>
      <c r="AU69" s="11">
        <v>644.8255000371995</v>
      </c>
      <c r="AV69" s="11">
        <f>652656.506733574/(10^3)</f>
        <v>652.65650673357402</v>
      </c>
      <c r="AW69" s="11">
        <f>640693.345714623/(10^3)</f>
        <v>640.69334571462298</v>
      </c>
      <c r="AX69" s="11">
        <f>633619.065128207/(10^3)</f>
        <v>633.61906512820701</v>
      </c>
      <c r="AY69" s="11">
        <f>631835.147684241/(10^3)</f>
        <v>631.83514768424095</v>
      </c>
      <c r="AZ69" s="11">
        <f>642990.465146096/(10^3)</f>
        <v>642.99046514609597</v>
      </c>
      <c r="BA69" s="11">
        <v>632.21521202330666</v>
      </c>
      <c r="BB69" s="11">
        <f>632780.252204114/(10^3)</f>
        <v>632.78025220411394</v>
      </c>
      <c r="BC69" s="11">
        <f>637640.452917839/(10^3)</f>
        <v>637.64045291783907</v>
      </c>
      <c r="BD69" s="11">
        <f>629866.471955281/(10^3)</f>
        <v>629.86647195528099</v>
      </c>
      <c r="BE69" s="11">
        <f>644782.02996332/(10^3)</f>
        <v>644.78202996332004</v>
      </c>
      <c r="BF69" s="11">
        <f>651021.041609634/(10^3)</f>
        <v>651.02104160963393</v>
      </c>
      <c r="BG69" s="11">
        <v>667.96890063196292</v>
      </c>
      <c r="BH69" s="11">
        <f>666928.46798895/(10^3)</f>
        <v>666.92846798894993</v>
      </c>
      <c r="BI69" s="11">
        <f>700060.615027343/(10^3)</f>
        <v>700.06061502734303</v>
      </c>
      <c r="BJ69" s="11">
        <f>715832.807943285/(10^3)</f>
        <v>715.83280794328493</v>
      </c>
      <c r="BK69" s="11">
        <f>719553.531960675/(10^3)</f>
        <v>719.55353196067506</v>
      </c>
      <c r="BL69" s="11">
        <f>725275.481022521/(10^3)</f>
        <v>725.27548102252103</v>
      </c>
      <c r="BM69" s="11">
        <v>715.41882363633067</v>
      </c>
      <c r="BN69" s="11">
        <f>738717.097533684/(10^3)</f>
        <v>738.71709753368395</v>
      </c>
      <c r="BO69" s="11">
        <f>752694.539611756/(10^3)</f>
        <v>752.694539611756</v>
      </c>
      <c r="BP69" s="11">
        <f>783173.939368653/(10^3)</f>
        <v>783.17393936865301</v>
      </c>
      <c r="BQ69" s="11">
        <f>788168.951713738/(10^3)</f>
        <v>788.16895171373801</v>
      </c>
      <c r="BR69" s="11">
        <f>825397.478416009/(10^3)</f>
        <v>825.39747841600899</v>
      </c>
      <c r="BS69" s="11">
        <v>811.33835523084042</v>
      </c>
      <c r="BT69" s="11">
        <f>809527.923669642/(10^3)</f>
        <v>809.52792366964195</v>
      </c>
      <c r="BU69" s="11">
        <f>824931.477177527/(10^3)</f>
        <v>824.93147717752709</v>
      </c>
      <c r="BV69" s="11">
        <f>832564.324243452/(10^3)</f>
        <v>832.56432424345201</v>
      </c>
      <c r="BW69" s="11">
        <f>855896.522609978/(10^3)</f>
        <v>855.89652260997798</v>
      </c>
      <c r="BX69" s="11">
        <f>847895.175896729/(10^3)</f>
        <v>847.89517589672903</v>
      </c>
      <c r="BY69" s="11">
        <v>834.75838528389204</v>
      </c>
      <c r="BZ69" s="11">
        <f>834758.385283892/(10^3)</f>
        <v>834.75838528389204</v>
      </c>
      <c r="CA69" s="11">
        <f>867065.132352844/(10^3)</f>
        <v>867.06513235284399</v>
      </c>
      <c r="CB69" s="11">
        <f>854261.104311113/(10^3)</f>
        <v>854.26110431111306</v>
      </c>
      <c r="CC69" s="12"/>
      <c r="DD69" s="11"/>
      <c r="DE69" s="11"/>
      <c r="DF69" s="11"/>
    </row>
    <row r="70" spans="4:110" ht="15.6" x14ac:dyDescent="0.25">
      <c r="D70" s="10" t="s">
        <v>132</v>
      </c>
      <c r="E70" s="10" t="s">
        <v>91</v>
      </c>
      <c r="F70" s="10" t="s">
        <v>151</v>
      </c>
      <c r="G70" s="10" t="s">
        <v>182</v>
      </c>
      <c r="H70" s="67" t="str">
        <f t="shared" si="2"/>
        <v>Las Vegas (피합병)</v>
      </c>
      <c r="I70" s="11">
        <f>725847.783419435/(10^3)</f>
        <v>725.84778341943502</v>
      </c>
      <c r="J70" s="11">
        <f>721501.404357639/(10^3)</f>
        <v>721.50140435763899</v>
      </c>
      <c r="K70" s="11">
        <v>752.8387026787567</v>
      </c>
      <c r="L70" s="11">
        <f>747241.769683516/(10^3)</f>
        <v>747.24176968351605</v>
      </c>
      <c r="M70" s="11">
        <f>736121.109455741/(10^3)</f>
        <v>736.12110945574102</v>
      </c>
      <c r="N70" s="11">
        <f>757419.539284649/(10^3)</f>
        <v>757.41953928464898</v>
      </c>
      <c r="O70" s="11">
        <f>764291.737885081/(10^3)</f>
        <v>764.29173788508092</v>
      </c>
      <c r="P70" s="11">
        <f>790257.016762639/(10^3)</f>
        <v>790.25701676263907</v>
      </c>
      <c r="Q70" s="11">
        <v>813.19037112773117</v>
      </c>
      <c r="R70" s="11">
        <f>816277.018337396/(10^3)</f>
        <v>816.27701833739593</v>
      </c>
      <c r="S70" s="11">
        <f>840736.672934799/(10^3)</f>
        <v>840.736672934799</v>
      </c>
      <c r="T70" s="11">
        <f>880965.601082579/(10^3)</f>
        <v>880.96560108257904</v>
      </c>
      <c r="U70" s="11">
        <f>877018.770334778/(10^3)</f>
        <v>877.01877033477797</v>
      </c>
      <c r="V70" s="11">
        <f>873256.859722462/(10^3)</f>
        <v>873.25685972246197</v>
      </c>
      <c r="W70" s="11">
        <v>870.76061466560054</v>
      </c>
      <c r="X70" s="11">
        <f>858977.643368907/(10^3)</f>
        <v>858.97764336890702</v>
      </c>
      <c r="Y70" s="11">
        <f>854630.082943835/(10^3)</f>
        <v>854.63008294383496</v>
      </c>
      <c r="Z70" s="11">
        <f>845053.944402725/(10^3)</f>
        <v>845.05394440272494</v>
      </c>
      <c r="AA70" s="11">
        <f>841849.97081789/(10^3)</f>
        <v>841.84997081789004</v>
      </c>
      <c r="AB70" s="11">
        <f>844415.90979581/(10^3)</f>
        <v>844.41590979580997</v>
      </c>
      <c r="AC70" s="11">
        <v>839.46268904198962</v>
      </c>
      <c r="AD70" s="11">
        <f>830638.03713635/(10^3)</f>
        <v>830.63803713634991</v>
      </c>
      <c r="AE70" s="11">
        <f>816017.280898722/(10^3)</f>
        <v>816.01728089872199</v>
      </c>
      <c r="AF70" s="11">
        <f>805529.131488502/(10^3)</f>
        <v>805.529131488502</v>
      </c>
      <c r="AG70" s="11">
        <f>802453.244224742/(10^3)</f>
        <v>802.45324422474209</v>
      </c>
      <c r="AH70" s="11">
        <f>809760.420938857/(10^3)</f>
        <v>809.76042093885701</v>
      </c>
      <c r="AI70" s="11">
        <v>799.5058290569026</v>
      </c>
      <c r="AJ70" s="11">
        <f>788202.667883344/(10^3)</f>
        <v>788.20266788334402</v>
      </c>
      <c r="AK70" s="11">
        <f>789263.302727234/(10^3)</f>
        <v>789.26330272723396</v>
      </c>
      <c r="AL70" s="11">
        <f>792646.978964474/(10^3)</f>
        <v>792.6469789644741</v>
      </c>
      <c r="AM70" s="11">
        <f>803040.501543578/(10^3)</f>
        <v>803.04050154357799</v>
      </c>
      <c r="AN70" s="11">
        <f>804799.550220232/(10^3)</f>
        <v>804.79955022023194</v>
      </c>
      <c r="AO70" s="11">
        <v>791.98055657463476</v>
      </c>
      <c r="AP70" s="11">
        <f>788741.154527852/(10^3)</f>
        <v>788.74115452785202</v>
      </c>
      <c r="AQ70" s="11">
        <f>814152.304387668/(10^3)</f>
        <v>814.15230438766798</v>
      </c>
      <c r="AR70" s="11">
        <f>845276.694505396/(10^3)</f>
        <v>845.27669450539599</v>
      </c>
      <c r="AS70" s="11">
        <f>843375.359192266/(10^3)</f>
        <v>843.37535919226605</v>
      </c>
      <c r="AT70" s="11">
        <f>833930.183656025/(10^3)</f>
        <v>833.93018365602495</v>
      </c>
      <c r="AU70" s="11">
        <v>828.07888337835163</v>
      </c>
      <c r="AV70" s="11">
        <f>821157.218104839/(10^3)</f>
        <v>821.15721810483899</v>
      </c>
      <c r="AW70" s="11">
        <f>814340.936379369/(10^3)</f>
        <v>814.34093637936905</v>
      </c>
      <c r="AX70" s="11">
        <f>822950.416818818/(10^3)</f>
        <v>822.95041681881798</v>
      </c>
      <c r="AY70" s="11">
        <f>830083.050922268/(10^3)</f>
        <v>830.08305092226794</v>
      </c>
      <c r="AZ70" s="11">
        <f>833967.723587687/(10^3)</f>
        <v>833.96772358768703</v>
      </c>
      <c r="BA70" s="11">
        <v>856.16334805759766</v>
      </c>
      <c r="BB70" s="11">
        <f>864531.520755946/(10^3)</f>
        <v>864.53152075594608</v>
      </c>
      <c r="BC70" s="11">
        <f>864454.136968584/(10^3)</f>
        <v>864.45413696858407</v>
      </c>
      <c r="BD70" s="11">
        <f>867018.090180991/(10^3)</f>
        <v>867.01809018099095</v>
      </c>
      <c r="BE70" s="11">
        <f>909760.31582432/(10^3)</f>
        <v>909.76031582431995</v>
      </c>
      <c r="BF70" s="11">
        <f>935319.659668639/(10^3)</f>
        <v>935.31965966863891</v>
      </c>
      <c r="BG70" s="11">
        <v>966.98849151216689</v>
      </c>
      <c r="BH70" s="11">
        <f>983623.6393408/(10^3)</f>
        <v>983.62363934079997</v>
      </c>
      <c r="BI70" s="11">
        <f>1017879.46836546/(10^3)</f>
        <v>1017.8794683654601</v>
      </c>
      <c r="BJ70" s="11">
        <f>1042221.35830204/(10^3)</f>
        <v>1042.22135830204</v>
      </c>
      <c r="BK70" s="11">
        <f>1044669.41717865/(10^3)</f>
        <v>1044.6694171786501</v>
      </c>
      <c r="BL70" s="11">
        <f>1034530.97035752/(10^3)</f>
        <v>1034.5309703575201</v>
      </c>
      <c r="BM70" s="11">
        <v>1051.0405490453193</v>
      </c>
      <c r="BN70" s="11">
        <f>1031792.74524162/(10^3)</f>
        <v>1031.79274524162</v>
      </c>
      <c r="BO70" s="11">
        <f>1024630.66144026/(10^3)</f>
        <v>1024.6306614402599</v>
      </c>
      <c r="BP70" s="11">
        <f>1047403.62217406/(10^3)</f>
        <v>1047.40362217406</v>
      </c>
      <c r="BQ70" s="11">
        <f>1099207.09400494/(10^3)</f>
        <v>1099.20709400494</v>
      </c>
      <c r="BR70" s="11">
        <f>1139451.87137986/(10^3)</f>
        <v>1139.45187137986</v>
      </c>
      <c r="BS70" s="11">
        <v>1151.6106998164173</v>
      </c>
      <c r="BT70" s="11">
        <f>1142867.27695927/(10^3)</f>
        <v>1142.8672769592699</v>
      </c>
      <c r="BU70" s="11">
        <f>1123460.62243741/(10^3)</f>
        <v>1123.4606224374102</v>
      </c>
      <c r="BV70" s="11">
        <f>1158147.3293668/(10^3)</f>
        <v>1158.1473293668</v>
      </c>
      <c r="BW70" s="11">
        <f>1171441.33000463/(10^3)</f>
        <v>1171.4413300046299</v>
      </c>
      <c r="BX70" s="11">
        <f>1149354.94290215/(10^3)</f>
        <v>1149.35494290215</v>
      </c>
      <c r="BY70" s="11">
        <v>1180.6176499666697</v>
      </c>
      <c r="BZ70" s="11">
        <f>1180617.64996667/(10^3)</f>
        <v>1180.6176499666699</v>
      </c>
      <c r="CA70" s="11">
        <f>1212220.49828373/(10^3)</f>
        <v>1212.22049828373</v>
      </c>
      <c r="CB70" s="11">
        <f>1249906.29282681/(10^3)</f>
        <v>1249.9062928268099</v>
      </c>
      <c r="CC70" s="12"/>
      <c r="DD70" s="11"/>
      <c r="DE70" s="11"/>
      <c r="DF70" s="11"/>
    </row>
    <row r="71" spans="4:110" ht="15.6" x14ac:dyDescent="0.25">
      <c r="D71" s="10" t="s">
        <v>133</v>
      </c>
      <c r="E71" s="10" t="s">
        <v>98</v>
      </c>
      <c r="F71" s="10" t="s">
        <v>151</v>
      </c>
      <c r="G71" s="10" t="s">
        <v>182</v>
      </c>
      <c r="H71" s="67" t="str">
        <f t="shared" ref="H71:H100" si="3">CONCATENATE(D71," ",G71)</f>
        <v>Salem (피합병)</v>
      </c>
      <c r="I71" s="11">
        <f>216851.007217541/(10^3)</f>
        <v>216.851007217541</v>
      </c>
      <c r="J71" s="11">
        <f>212985.896399913/(10^3)</f>
        <v>212.985896399913</v>
      </c>
      <c r="K71" s="11">
        <v>213.9467635635564</v>
      </c>
      <c r="L71" s="11">
        <f>214928.299346521/(10^3)</f>
        <v>214.92829934652102</v>
      </c>
      <c r="M71" s="11">
        <f>217099.776711347/(10^3)</f>
        <v>217.09977671134698</v>
      </c>
      <c r="N71" s="11">
        <f>212951.043223254/(10^3)</f>
        <v>212.951043223254</v>
      </c>
      <c r="O71" s="11">
        <f>219376.255276805/(10^3)</f>
        <v>219.37625527680498</v>
      </c>
      <c r="P71" s="11">
        <f>216674.558043177/(10^3)</f>
        <v>216.674558043177</v>
      </c>
      <c r="Q71" s="11">
        <v>223.25508943094434</v>
      </c>
      <c r="R71" s="11">
        <f>226161.873199901/(10^3)</f>
        <v>226.16187319990098</v>
      </c>
      <c r="S71" s="11">
        <f>236718.939059325/(10^3)</f>
        <v>236.71893905932501</v>
      </c>
      <c r="T71" s="11">
        <f>241128.102229245/(10^3)</f>
        <v>241.128102229245</v>
      </c>
      <c r="U71" s="11">
        <f>236391.122100954/(10^3)</f>
        <v>236.39112210095399</v>
      </c>
      <c r="V71" s="11">
        <f>244739.080343695/(10^3)</f>
        <v>244.73908034369501</v>
      </c>
      <c r="W71" s="11">
        <v>245.90132608014798</v>
      </c>
      <c r="X71" s="11">
        <f>244270.044802391/(10^3)</f>
        <v>244.270044802391</v>
      </c>
      <c r="Y71" s="11">
        <f>243475.528558611/(10^3)</f>
        <v>243.47552855861099</v>
      </c>
      <c r="Z71" s="11">
        <f>240555.8678598/(10^3)</f>
        <v>240.5558678598</v>
      </c>
      <c r="AA71" s="11">
        <f>245151.001576503/(10^3)</f>
        <v>245.15100157650301</v>
      </c>
      <c r="AB71" s="11">
        <f>254385.425870736/(10^3)</f>
        <v>254.38542587073601</v>
      </c>
      <c r="AC71" s="11">
        <v>255.13525865567223</v>
      </c>
      <c r="AD71" s="11">
        <f>252133.633355887/(10^3)</f>
        <v>252.13363335588699</v>
      </c>
      <c r="AE71" s="11">
        <f>261904.750740347/(10^3)</f>
        <v>261.90475074034697</v>
      </c>
      <c r="AF71" s="11">
        <f>264492.980081928/(10^3)</f>
        <v>264.49298008192801</v>
      </c>
      <c r="AG71" s="11">
        <f>259373.39328365/(10^3)</f>
        <v>259.37339328364999</v>
      </c>
      <c r="AH71" s="11">
        <f>266706.066168737/(10^3)</f>
        <v>266.70606616873704</v>
      </c>
      <c r="AI71" s="11">
        <v>273.72467362749273</v>
      </c>
      <c r="AJ71" s="11">
        <f>270840.501628507/(10^3)</f>
        <v>270.84050162850701</v>
      </c>
      <c r="AK71" s="11">
        <f>274842.637490403/(10^3)</f>
        <v>274.84263749040304</v>
      </c>
      <c r="AL71" s="11">
        <f>280214.181725997/(10^3)</f>
        <v>280.21418172599704</v>
      </c>
      <c r="AM71" s="11">
        <f>284378.186918074/(10^3)</f>
        <v>284.37818691807399</v>
      </c>
      <c r="AN71" s="11">
        <f>293050.240984453/(10^3)</f>
        <v>293.05024098445301</v>
      </c>
      <c r="AO71" s="11">
        <v>293.03002154351617</v>
      </c>
      <c r="AP71" s="11">
        <f>292426.765448339/(10^3)</f>
        <v>292.42676544833898</v>
      </c>
      <c r="AQ71" s="11">
        <f>306745.771187153/(10^3)</f>
        <v>306.74577118715303</v>
      </c>
      <c r="AR71" s="11">
        <f>316274.119298571/(10^3)</f>
        <v>316.27411929857101</v>
      </c>
      <c r="AS71" s="11">
        <f>311253.927390151/(10^3)</f>
        <v>311.25392739015103</v>
      </c>
      <c r="AT71" s="11">
        <f>307841.214383493/(10^3)</f>
        <v>307.84121438349302</v>
      </c>
      <c r="AU71" s="11">
        <v>304.43989559800127</v>
      </c>
      <c r="AV71" s="11">
        <f>303455.464283252/(10^3)</f>
        <v>303.45546428325201</v>
      </c>
      <c r="AW71" s="11">
        <f>300470.27802342/(10^3)</f>
        <v>300.47027802342001</v>
      </c>
      <c r="AX71" s="11">
        <f>306888.956224054/(10^3)</f>
        <v>306.88895622405397</v>
      </c>
      <c r="AY71" s="11">
        <f>302585.258600958/(10^3)</f>
        <v>302.58525860095796</v>
      </c>
      <c r="AZ71" s="11">
        <f>312221.254262612/(10^3)</f>
        <v>312.22125426261204</v>
      </c>
      <c r="BA71" s="11">
        <v>319.12077013108558</v>
      </c>
      <c r="BB71" s="11">
        <f>331554.786128292/(10^3)</f>
        <v>331.55478612829199</v>
      </c>
      <c r="BC71" s="11">
        <f>347666.629250908/(10^3)</f>
        <v>347.66662925090799</v>
      </c>
      <c r="BD71" s="11">
        <f>347853.561596131/(10^3)</f>
        <v>347.85356159613099</v>
      </c>
      <c r="BE71" s="11">
        <f>345756.983024091/(10^3)</f>
        <v>345.75698302409097</v>
      </c>
      <c r="BF71" s="11">
        <f>341148.937338762/(10^3)</f>
        <v>341.14893733876198</v>
      </c>
      <c r="BG71" s="11">
        <v>357.81850849295034</v>
      </c>
      <c r="BH71" s="11">
        <f>362657.104099002/(10^3)</f>
        <v>362.65710409900203</v>
      </c>
      <c r="BI71" s="11">
        <f>374465.781557239/(10^3)</f>
        <v>374.46578155723898</v>
      </c>
      <c r="BJ71" s="11">
        <f>374954.867951865/(10^3)</f>
        <v>374.95486795186503</v>
      </c>
      <c r="BK71" s="11">
        <f>376581.911964567/(10^3)</f>
        <v>376.58191196456704</v>
      </c>
      <c r="BL71" s="11">
        <f>385340.793891554/(10^3)</f>
        <v>385.34079389155397</v>
      </c>
      <c r="BM71" s="11">
        <v>403.22138690805474</v>
      </c>
      <c r="BN71" s="11">
        <f>409119.630056424/(10^3)</f>
        <v>409.119630056424</v>
      </c>
      <c r="BO71" s="11">
        <f>417819.934406041/(10^3)</f>
        <v>417.819934406041</v>
      </c>
      <c r="BP71" s="11">
        <f>409601.469803017/(10^3)</f>
        <v>409.60146980301698</v>
      </c>
      <c r="BQ71" s="11">
        <f>413965.701032786/(10^3)</f>
        <v>413.965701032786</v>
      </c>
      <c r="BR71" s="11">
        <f>422811.984866876/(10^3)</f>
        <v>422.811984866876</v>
      </c>
      <c r="BS71" s="11">
        <v>414.88778019968652</v>
      </c>
      <c r="BT71" s="11">
        <f>423561.616625814/(10^3)</f>
        <v>423.561616625814</v>
      </c>
      <c r="BU71" s="11">
        <f>439483.728379936/(10^3)</f>
        <v>439.483728379936</v>
      </c>
      <c r="BV71" s="11">
        <f>456598.770491913/(10^3)</f>
        <v>456.598770491913</v>
      </c>
      <c r="BW71" s="11">
        <f>466712.694460813/(10^3)</f>
        <v>466.712694460813</v>
      </c>
      <c r="BX71" s="11">
        <f>458636.075679695/(10^3)</f>
        <v>458.63607567969501</v>
      </c>
      <c r="BY71" s="11">
        <v>464.49089983029432</v>
      </c>
      <c r="BZ71" s="11">
        <f>464490.899830294/(10^3)</f>
        <v>464.49089983029404</v>
      </c>
      <c r="CA71" s="11">
        <f>460559.856689708/(10^3)</f>
        <v>460.559856689708</v>
      </c>
      <c r="CB71" s="11">
        <f>477070.699746465/(10^3)</f>
        <v>477.07069974646504</v>
      </c>
      <c r="CC71" s="12"/>
      <c r="DD71" s="11"/>
      <c r="DE71" s="11"/>
      <c r="DF71" s="11"/>
    </row>
    <row r="72" spans="4:110" ht="15.6" x14ac:dyDescent="0.25">
      <c r="D72" s="10" t="s">
        <v>89</v>
      </c>
      <c r="E72" s="10" t="s">
        <v>98</v>
      </c>
      <c r="F72" s="10" t="s">
        <v>151</v>
      </c>
      <c r="G72" s="10" t="s">
        <v>182</v>
      </c>
      <c r="H72" s="67" t="str">
        <f t="shared" si="3"/>
        <v>Portland (피합병)</v>
      </c>
      <c r="I72" s="11">
        <f>349627.030117465/(10^3)</f>
        <v>349.62703011746498</v>
      </c>
      <c r="J72" s="11">
        <f>361120.948995871/(10^3)</f>
        <v>361.120948995871</v>
      </c>
      <c r="K72" s="11">
        <v>364.55618564417688</v>
      </c>
      <c r="L72" s="11">
        <f>380778.021299192/(10^3)</f>
        <v>380.77802129919201</v>
      </c>
      <c r="M72" s="11">
        <f>390664.989324141/(10^3)</f>
        <v>390.664989324141</v>
      </c>
      <c r="N72" s="11">
        <f>393211.413223708/(10^3)</f>
        <v>393.21141322370801</v>
      </c>
      <c r="O72" s="11">
        <f>389652.358407022/(10^3)</f>
        <v>389.65235840702201</v>
      </c>
      <c r="P72" s="11">
        <f>390242.028702163/(10^3)</f>
        <v>390.242028702163</v>
      </c>
      <c r="Q72" s="11">
        <v>405.47744681469192</v>
      </c>
      <c r="R72" s="11">
        <f>401484.939432661/(10^3)</f>
        <v>401.48493943266101</v>
      </c>
      <c r="S72" s="11">
        <f>413654.982322098/(10^3)</f>
        <v>413.65498232209796</v>
      </c>
      <c r="T72" s="11">
        <f>405621.11593843/(10^3)</f>
        <v>405.62111593843002</v>
      </c>
      <c r="U72" s="11">
        <f>398058.705968366/(10^3)</f>
        <v>398.05870596836598</v>
      </c>
      <c r="V72" s="11">
        <f>394346.068271269/(10^3)</f>
        <v>394.34606827126896</v>
      </c>
      <c r="W72" s="11">
        <v>394.25407594683031</v>
      </c>
      <c r="X72" s="11">
        <f>389023.239454505/(10^3)</f>
        <v>389.02323945450496</v>
      </c>
      <c r="Y72" s="11">
        <f>398153.551559665/(10^3)</f>
        <v>398.153551559665</v>
      </c>
      <c r="Z72" s="11">
        <f>402324.512161694/(10^3)</f>
        <v>402.32451216169397</v>
      </c>
      <c r="AA72" s="11">
        <f>401673.844637318/(10^3)</f>
        <v>401.67384463731798</v>
      </c>
      <c r="AB72" s="11">
        <f>404478.40449539/(10^3)</f>
        <v>404.47840449539001</v>
      </c>
      <c r="AC72" s="11">
        <v>401.25075712123095</v>
      </c>
      <c r="AD72" s="11">
        <f>408933.149740626/(10^3)</f>
        <v>408.93314974062599</v>
      </c>
      <c r="AE72" s="11">
        <f>408355.337814573/(10^3)</f>
        <v>408.35533781457303</v>
      </c>
      <c r="AF72" s="11">
        <f>407212.920312006/(10^3)</f>
        <v>407.21292031200602</v>
      </c>
      <c r="AG72" s="11">
        <f>402348.764934616/(10^3)</f>
        <v>402.34876493461599</v>
      </c>
      <c r="AH72" s="11">
        <f>410136.807180814/(10^3)</f>
        <v>410.136807180814</v>
      </c>
      <c r="AI72" s="11">
        <v>425.32248366155494</v>
      </c>
      <c r="AJ72" s="11">
        <f>424882.617180661/(10^3)</f>
        <v>424.88261718066099</v>
      </c>
      <c r="AK72" s="11">
        <f>419245.105366194/(10^3)</f>
        <v>419.24510536619397</v>
      </c>
      <c r="AL72" s="11">
        <f>423058.167942014/(10^3)</f>
        <v>423.05816794201399</v>
      </c>
      <c r="AM72" s="11">
        <f>423980.168978113/(10^3)</f>
        <v>423.980168978113</v>
      </c>
      <c r="AN72" s="11">
        <f>430774.438004689/(10^3)</f>
        <v>430.77443800468899</v>
      </c>
      <c r="AO72" s="11">
        <v>422.65672025804378</v>
      </c>
      <c r="AP72" s="11">
        <f>420106.342477091/(10^3)</f>
        <v>420.106342477091</v>
      </c>
      <c r="AQ72" s="11">
        <f>415475.620643986/(10^3)</f>
        <v>415.47562064398596</v>
      </c>
      <c r="AR72" s="11">
        <f>411620.205440448/(10^3)</f>
        <v>411.62020544044799</v>
      </c>
      <c r="AS72" s="11">
        <f>416861.980768827/(10^3)</f>
        <v>416.86198076882704</v>
      </c>
      <c r="AT72" s="11">
        <f>423402.738808422/(10^3)</f>
        <v>423.40273880842199</v>
      </c>
      <c r="AU72" s="11">
        <v>423.90515373391196</v>
      </c>
      <c r="AV72" s="11">
        <f>438543.892175928/(10^3)</f>
        <v>438.54389217592797</v>
      </c>
      <c r="AW72" s="11">
        <f>431005.328048298/(10^3)</f>
        <v>431.005328048298</v>
      </c>
      <c r="AX72" s="11">
        <f>422809.500096934/(10^3)</f>
        <v>422.80950009693396</v>
      </c>
      <c r="AY72" s="11">
        <f>415248.165482429/(10^3)</f>
        <v>415.24816548242899</v>
      </c>
      <c r="AZ72" s="11">
        <f>433933.22603785/(10^3)</f>
        <v>433.93322603785003</v>
      </c>
      <c r="BA72" s="11">
        <v>441.27420823854561</v>
      </c>
      <c r="BB72" s="11">
        <f>459137.737033919/(10^3)</f>
        <v>459.13773703391905</v>
      </c>
      <c r="BC72" s="11">
        <f>450709.632156221/(10^3)</f>
        <v>450.70963215622101</v>
      </c>
      <c r="BD72" s="11">
        <f>461390.905757903/(10^3)</f>
        <v>461.390905757903</v>
      </c>
      <c r="BE72" s="11">
        <f>483759.973143125/(10^3)</f>
        <v>483.75997314312502</v>
      </c>
      <c r="BF72" s="11">
        <f>495151.567703107/(10^3)</f>
        <v>495.15156770310705</v>
      </c>
      <c r="BG72" s="11">
        <v>493.22459807077473</v>
      </c>
      <c r="BH72" s="11">
        <f>510087.22586088/(10^3)</f>
        <v>510.08722586087998</v>
      </c>
      <c r="BI72" s="11">
        <f>522472.586337657/(10^3)</f>
        <v>522.47258633765705</v>
      </c>
      <c r="BJ72" s="11">
        <f>542288.86603868/(10^3)</f>
        <v>542.28886603868</v>
      </c>
      <c r="BK72" s="11">
        <f>539720.442189168/(10^3)</f>
        <v>539.7204421891679</v>
      </c>
      <c r="BL72" s="11">
        <f>552058.543417683/(10^3)</f>
        <v>552.05854341768304</v>
      </c>
      <c r="BM72" s="11">
        <v>565.42979134655207</v>
      </c>
      <c r="BN72" s="11">
        <f>582653.684939717/(10^3)</f>
        <v>582.65368493971698</v>
      </c>
      <c r="BO72" s="11">
        <f>599388.518073601/(10^3)</f>
        <v>599.38851807360095</v>
      </c>
      <c r="BP72" s="11">
        <f>603291.463884374/(10^3)</f>
        <v>603.29146388437402</v>
      </c>
      <c r="BQ72" s="11">
        <f>614543.28504706/(10^3)</f>
        <v>614.54328504705995</v>
      </c>
      <c r="BR72" s="11">
        <f>644027.776816085/(10^3)</f>
        <v>644.02777681608495</v>
      </c>
      <c r="BS72" s="11">
        <v>650.2236338459162</v>
      </c>
      <c r="BT72" s="11">
        <f>639219.700020208/(10^3)</f>
        <v>639.21970002020805</v>
      </c>
      <c r="BU72" s="11">
        <f>659980.384299694/(10^3)</f>
        <v>659.98038429969392</v>
      </c>
      <c r="BV72" s="11">
        <f>678362.239631119/(10^3)</f>
        <v>678.362239631119</v>
      </c>
      <c r="BW72" s="11">
        <f>697970.535497234/(10^3)</f>
        <v>697.97053549723398</v>
      </c>
      <c r="BX72" s="11">
        <f>714410.096213114/(10^3)</f>
        <v>714.410096213114</v>
      </c>
      <c r="BY72" s="11">
        <v>739.57047048518007</v>
      </c>
      <c r="BZ72" s="11">
        <f>739570.47048518/(10^3)</f>
        <v>739.57047048518007</v>
      </c>
      <c r="CA72" s="11">
        <f>758644.549817691/(10^3)</f>
        <v>758.64454981769097</v>
      </c>
      <c r="CB72" s="11">
        <f>777553.437799999/(10^3)</f>
        <v>777.55343779999907</v>
      </c>
      <c r="CC72" s="12"/>
      <c r="DD72" s="11"/>
      <c r="DE72" s="11"/>
      <c r="DF72" s="11"/>
    </row>
    <row r="73" spans="4:110" ht="15.6" x14ac:dyDescent="0.25">
      <c r="D73" s="10" t="s">
        <v>134</v>
      </c>
      <c r="E73" s="10" t="s">
        <v>109</v>
      </c>
      <c r="F73" s="10" t="s">
        <v>151</v>
      </c>
      <c r="G73" s="10" t="s">
        <v>182</v>
      </c>
      <c r="H73" s="67" t="str">
        <f t="shared" si="3"/>
        <v>Salt Lake City (피합병)</v>
      </c>
      <c r="I73" s="11">
        <f>1074605.69795899/(10^3)</f>
        <v>1074.60569795899</v>
      </c>
      <c r="J73" s="11">
        <f>1118042.30357489/(10^3)</f>
        <v>1118.04230357489</v>
      </c>
      <c r="K73" s="11">
        <v>1149.7683611285388</v>
      </c>
      <c r="L73" s="11">
        <f>1196523.8775435/(10^3)</f>
        <v>1196.5238775435</v>
      </c>
      <c r="M73" s="11">
        <f>1243266.99660848/(10^3)</f>
        <v>1243.2669966084802</v>
      </c>
      <c r="N73" s="11">
        <f>1289464.62312136/(10^3)</f>
        <v>1289.4646231213601</v>
      </c>
      <c r="O73" s="11">
        <f>1349971.62834622/(10^3)</f>
        <v>1349.9716283462199</v>
      </c>
      <c r="P73" s="11">
        <f>1375671.9137872/(10^3)</f>
        <v>1375.6719137872001</v>
      </c>
      <c r="Q73" s="11">
        <v>1371.9975271353544</v>
      </c>
      <c r="R73" s="11">
        <f>1417201.68449066/(10^3)</f>
        <v>1417.20168449066</v>
      </c>
      <c r="S73" s="11">
        <f>1447087.10470323/(10^3)</f>
        <v>1447.0871047032301</v>
      </c>
      <c r="T73" s="11">
        <f>1477237.67930254/(10^3)</f>
        <v>1477.2376793025398</v>
      </c>
      <c r="U73" s="11">
        <f>1492334.64277442/(10^3)</f>
        <v>1492.33464277442</v>
      </c>
      <c r="V73" s="11">
        <f>1477076.95011789/(10^3)</f>
        <v>1477.07695011789</v>
      </c>
      <c r="W73" s="11">
        <v>1450.2975258481831</v>
      </c>
      <c r="X73" s="11">
        <f>1494150.0295319/(10^3)</f>
        <v>1494.1500295319001</v>
      </c>
      <c r="Y73" s="11">
        <f>1470771.26271425/(10^3)</f>
        <v>1470.77126271425</v>
      </c>
      <c r="Z73" s="11">
        <f>1454846.47056809/(10^3)</f>
        <v>1454.8464705680899</v>
      </c>
      <c r="AA73" s="11">
        <f>1526741.31326861/(10^3)</f>
        <v>1526.7413132686102</v>
      </c>
      <c r="AB73" s="11">
        <f>1507152.6261166/(10^3)</f>
        <v>1507.1526261165998</v>
      </c>
      <c r="AC73" s="11">
        <v>1502.1060421403415</v>
      </c>
      <c r="AD73" s="11">
        <f>1497347.92245389/(10^3)</f>
        <v>1497.3479224538901</v>
      </c>
      <c r="AE73" s="11">
        <f>1486098.71575152/(10^3)</f>
        <v>1486.0987157515199</v>
      </c>
      <c r="AF73" s="11">
        <f>1464546.35827388/(10^3)</f>
        <v>1464.5463582738801</v>
      </c>
      <c r="AG73" s="11">
        <f>1465217.05898665/(10^3)</f>
        <v>1465.21705898665</v>
      </c>
      <c r="AH73" s="11">
        <f>1510801.98949477/(10^3)</f>
        <v>1510.8019894947702</v>
      </c>
      <c r="AI73" s="11">
        <v>1501.2535790796219</v>
      </c>
      <c r="AJ73" s="11">
        <f>1494219.0439692/(10^3)</f>
        <v>1494.2190439691999</v>
      </c>
      <c r="AK73" s="11">
        <f>1485116.38715051/(10^3)</f>
        <v>1485.11638715051</v>
      </c>
      <c r="AL73" s="11">
        <f>1484055.84531443/(10^3)</f>
        <v>1484.0558453144301</v>
      </c>
      <c r="AM73" s="11">
        <f>1521366.68549757/(10^3)</f>
        <v>1521.3666854975702</v>
      </c>
      <c r="AN73" s="11">
        <f>1508119.80881616/(10^3)</f>
        <v>1508.11980881616</v>
      </c>
      <c r="AO73" s="11">
        <v>1482.5792049717388</v>
      </c>
      <c r="AP73" s="11">
        <f>1465290.33080047/(10^3)</f>
        <v>1465.29033080047</v>
      </c>
      <c r="AQ73" s="11">
        <f>1436784.66354094/(10^3)</f>
        <v>1436.7846635409401</v>
      </c>
      <c r="AR73" s="11">
        <f>1433998.53160753/(10^3)</f>
        <v>1433.9985316075301</v>
      </c>
      <c r="AS73" s="11">
        <f>1410069.28465549/(10^3)</f>
        <v>1410.06928465549</v>
      </c>
      <c r="AT73" s="11">
        <f>1460500.70612086/(10^3)</f>
        <v>1460.5007061208601</v>
      </c>
      <c r="AU73" s="11">
        <v>1519.5567450446858</v>
      </c>
      <c r="AV73" s="11">
        <f>1500121.73456393/(10^3)</f>
        <v>1500.12173456393</v>
      </c>
      <c r="AW73" s="11">
        <f>1563947.16681982/(10^3)</f>
        <v>1563.94716681982</v>
      </c>
      <c r="AX73" s="11">
        <f>1623341.8753929/(10^3)</f>
        <v>1623.3418753929002</v>
      </c>
      <c r="AY73" s="11">
        <f>1658858.48330901/(10^3)</f>
        <v>1658.8584833090101</v>
      </c>
      <c r="AZ73" s="11">
        <f>1627021.16605402/(10^3)</f>
        <v>1627.0211660540199</v>
      </c>
      <c r="BA73" s="11">
        <v>1613.4506748776005</v>
      </c>
      <c r="BB73" s="11">
        <f>1675996.77045351/(10^3)</f>
        <v>1675.9967704535102</v>
      </c>
      <c r="BC73" s="11">
        <f>1724122.65917765/(10^3)</f>
        <v>1724.1226591776499</v>
      </c>
      <c r="BD73" s="11">
        <f>1726954.80173339/(10^3)</f>
        <v>1726.95480173339</v>
      </c>
      <c r="BE73" s="11">
        <f>1736707.06304423/(10^3)</f>
        <v>1736.7070630442299</v>
      </c>
      <c r="BF73" s="11">
        <f>1771218.30434266/(10^3)</f>
        <v>1771.2183043426598</v>
      </c>
      <c r="BG73" s="11">
        <v>1758.4781410273999</v>
      </c>
      <c r="BH73" s="11">
        <f>1762961.46900978/(10^3)</f>
        <v>1762.9614690097801</v>
      </c>
      <c r="BI73" s="11">
        <f>1793763.36609607/(10^3)</f>
        <v>1793.7633660960701</v>
      </c>
      <c r="BJ73" s="11">
        <f>1797468.51421028/(10^3)</f>
        <v>1797.4685142102801</v>
      </c>
      <c r="BK73" s="11">
        <f>1829894.77378807/(10^3)</f>
        <v>1829.8947737880701</v>
      </c>
      <c r="BL73" s="11">
        <f>1879744.39905208/(10^3)</f>
        <v>1879.7443990520801</v>
      </c>
      <c r="BM73" s="11">
        <v>1853.6744623768686</v>
      </c>
      <c r="BN73" s="11">
        <f>1821018.6354273/(10^3)</f>
        <v>1821.0186354272998</v>
      </c>
      <c r="BO73" s="11">
        <f>1860946.85643851/(10^3)</f>
        <v>1860.9468564385099</v>
      </c>
      <c r="BP73" s="11">
        <f>1949780.92624324/(10^3)</f>
        <v>1949.7809262432399</v>
      </c>
      <c r="BQ73" s="11">
        <f>2033281.04719648/(10^3)</f>
        <v>2033.2810471964799</v>
      </c>
      <c r="BR73" s="11">
        <f>2128742.8473356/(10^3)</f>
        <v>2128.7428473355999</v>
      </c>
      <c r="BS73" s="11">
        <v>2109.0527803390601</v>
      </c>
      <c r="BT73" s="11">
        <f>2137726.9033876/(10^3)</f>
        <v>2137.7269033876</v>
      </c>
      <c r="BU73" s="11">
        <f>2217751.05163406/(10^3)</f>
        <v>2217.7510516340603</v>
      </c>
      <c r="BV73" s="11">
        <f>2220111.65518196/(10^3)</f>
        <v>2220.11165518196</v>
      </c>
      <c r="BW73" s="11">
        <f>2323118.92342899/(10^3)</f>
        <v>2323.11892342899</v>
      </c>
      <c r="BX73" s="11">
        <f>2282015.18935429/(10^3)</f>
        <v>2282.0151893542898</v>
      </c>
      <c r="BY73" s="11">
        <v>2301.6088058974133</v>
      </c>
      <c r="BZ73" s="11">
        <f>2301608.80589741/(10^3)</f>
        <v>2301.6088058974101</v>
      </c>
      <c r="CA73" s="11">
        <f>2274236.3506701/(10^3)</f>
        <v>2274.2363506701004</v>
      </c>
      <c r="CB73" s="11">
        <f>2343546.26221863/(10^3)</f>
        <v>2343.5462622186301</v>
      </c>
      <c r="CC73" s="12"/>
      <c r="DD73" s="11"/>
      <c r="DE73" s="11"/>
      <c r="DF73" s="11"/>
    </row>
    <row r="74" spans="4:110" ht="15.6" x14ac:dyDescent="0.25">
      <c r="D74" s="10" t="s">
        <v>135</v>
      </c>
      <c r="E74" s="10" t="s">
        <v>115</v>
      </c>
      <c r="F74" s="10" t="s">
        <v>151</v>
      </c>
      <c r="G74" s="10" t="s">
        <v>182</v>
      </c>
      <c r="H74" s="67" t="str">
        <f t="shared" si="3"/>
        <v>Olympia (피합병)</v>
      </c>
      <c r="I74" s="11">
        <f>76259.945519757/(10^3)</f>
        <v>76.259945519757011</v>
      </c>
      <c r="J74" s="11">
        <f>79360.9333025102/(10^3)</f>
        <v>79.36093330251019</v>
      </c>
      <c r="K74" s="11">
        <v>79.843869297705737</v>
      </c>
      <c r="L74" s="11">
        <f>79919.5773176923/(10^3)</f>
        <v>79.919577317692301</v>
      </c>
      <c r="M74" s="11">
        <f>78703.1467358984/(10^3)</f>
        <v>78.7031467358984</v>
      </c>
      <c r="N74" s="11">
        <f>81684.653325252/(10^3)</f>
        <v>81.684653325252</v>
      </c>
      <c r="O74" s="11">
        <f>84189.7563637018/(10^3)</f>
        <v>84.189756363701804</v>
      </c>
      <c r="P74" s="11">
        <f>85654.7079701202/(10^3)</f>
        <v>85.654707970120199</v>
      </c>
      <c r="Q74" s="11">
        <v>88.102666459602474</v>
      </c>
      <c r="R74" s="11">
        <f>89491.5852679946/(10^3)</f>
        <v>89.491585267994594</v>
      </c>
      <c r="S74" s="11">
        <f>90710.0889970225/(10^3)</f>
        <v>90.710088997022496</v>
      </c>
      <c r="T74" s="11">
        <f>90774.5007677884/(10^3)</f>
        <v>90.774500767788396</v>
      </c>
      <c r="U74" s="11">
        <f>89771.5242767641/(10^3)</f>
        <v>89.771524276764097</v>
      </c>
      <c r="V74" s="11">
        <f>88107.3519033291/(10^3)</f>
        <v>88.107351903329089</v>
      </c>
      <c r="W74" s="11">
        <v>87.637506355343064</v>
      </c>
      <c r="X74" s="11">
        <f>89671.81311227/(10^3)</f>
        <v>89.671813112270002</v>
      </c>
      <c r="Y74" s="11">
        <f>89277.3352854808/(10^3)</f>
        <v>89.277335285480802</v>
      </c>
      <c r="Z74" s="11">
        <f>92359.3725414476/(10^3)</f>
        <v>92.359372541447613</v>
      </c>
      <c r="AA74" s="11">
        <f>92143.3931495577/(10^3)</f>
        <v>92.143393149557696</v>
      </c>
      <c r="AB74" s="11">
        <f>91770.4941750673/(10^3)</f>
        <v>91.770494175067299</v>
      </c>
      <c r="AC74" s="11">
        <v>90.344910176110275</v>
      </c>
      <c r="AD74" s="11">
        <f>88605.73570468/(10^3)</f>
        <v>88.605735704680001</v>
      </c>
      <c r="AE74" s="11">
        <f>88640.5820561229/(10^3)</f>
        <v>88.640582056122909</v>
      </c>
      <c r="AF74" s="11">
        <f>91076.0175305885/(10^3)</f>
        <v>91.076017530588501</v>
      </c>
      <c r="AG74" s="11">
        <f>90542.8802493077/(10^3)</f>
        <v>90.5428802493077</v>
      </c>
      <c r="AH74" s="11">
        <f>90016.2601651653/(10^3)</f>
        <v>90.016260165165292</v>
      </c>
      <c r="AI74" s="11">
        <v>89.414697117389153</v>
      </c>
      <c r="AJ74" s="11">
        <f>87651.770379425/(10^3)</f>
        <v>87.651770379425002</v>
      </c>
      <c r="AK74" s="11">
        <f>85993.6218339904/(10^3)</f>
        <v>85.993621833990403</v>
      </c>
      <c r="AL74" s="11">
        <f>85348.6878082955/(10^3)</f>
        <v>85.348687808295495</v>
      </c>
      <c r="AM74" s="11">
        <f>83716.305691182/(10^3)</f>
        <v>83.716305691182001</v>
      </c>
      <c r="AN74" s="11">
        <f>83711.9610262307/(10^3)</f>
        <v>83.711961026230696</v>
      </c>
      <c r="AO74" s="11">
        <v>83.523554235209943</v>
      </c>
      <c r="AP74" s="11">
        <f>82986.7355726266/(10^3)</f>
        <v>82.9867355726266</v>
      </c>
      <c r="AQ74" s="11">
        <f>82928.8484009307/(10^3)</f>
        <v>82.928848400930704</v>
      </c>
      <c r="AR74" s="11">
        <f>81477.2222215025/(10^3)</f>
        <v>81.477222221502501</v>
      </c>
      <c r="AS74" s="11">
        <f>80534.1538187132/(10^3)</f>
        <v>80.534153818713193</v>
      </c>
      <c r="AT74" s="11">
        <f>79434.7043756627/(10^3)</f>
        <v>79.43470437566269</v>
      </c>
      <c r="AU74" s="11">
        <v>79.168367885477622</v>
      </c>
      <c r="AV74" s="11">
        <f>79032.4065425528/(10^3)</f>
        <v>79.032406542552792</v>
      </c>
      <c r="AW74" s="11">
        <f>78088.3046274609/(10^3)</f>
        <v>78.0883046274609</v>
      </c>
      <c r="AX74" s="11">
        <f>80979.9541356666/(10^3)</f>
        <v>80.979954135666603</v>
      </c>
      <c r="AY74" s="11">
        <f>80218.3188970243/(10^3)</f>
        <v>80.218318897024304</v>
      </c>
      <c r="AZ74" s="11">
        <f>79303.5696998805/(10^3)</f>
        <v>79.303569699880512</v>
      </c>
      <c r="BA74" s="11">
        <v>80.34822943298424</v>
      </c>
      <c r="BB74" s="11">
        <f>80041.2401506867/(10^3)</f>
        <v>80.041240150686704</v>
      </c>
      <c r="BC74" s="11">
        <f>79583.8128145425/(10^3)</f>
        <v>79.583812814542497</v>
      </c>
      <c r="BD74" s="11">
        <f>80126.6539032881/(10^3)</f>
        <v>80.126653903288101</v>
      </c>
      <c r="BE74" s="11">
        <f>80223.1606474332/(10^3)</f>
        <v>80.22316064743319</v>
      </c>
      <c r="BF74" s="11">
        <f>82345.5071389871/(10^3)</f>
        <v>82.345507138987102</v>
      </c>
      <c r="BG74" s="11">
        <v>86.302261137748786</v>
      </c>
      <c r="BH74" s="11">
        <f>88234.4121179843/(10^3)</f>
        <v>88.234412117984306</v>
      </c>
      <c r="BI74" s="11">
        <f>90277.9287863653/(10^3)</f>
        <v>90.277928786365294</v>
      </c>
      <c r="BJ74" s="11">
        <f>88988.2824404149/(10^3)</f>
        <v>88.988282440414906</v>
      </c>
      <c r="BK74" s="11">
        <f>88067.202719587/(10^3)</f>
        <v>88.067202719587002</v>
      </c>
      <c r="BL74" s="11">
        <f>89625.7168832263/(10^3)</f>
        <v>89.625716883226303</v>
      </c>
      <c r="BM74" s="11">
        <v>90.966727807885604</v>
      </c>
      <c r="BN74" s="11">
        <f>93123.3032020714/(10^3)</f>
        <v>93.123303202071398</v>
      </c>
      <c r="BO74" s="11">
        <f>97015.4552138384/(10^3)</f>
        <v>97.015455213838408</v>
      </c>
      <c r="BP74" s="11">
        <f>100113.270099786/(10^3)</f>
        <v>100.11327009978599</v>
      </c>
      <c r="BQ74" s="11">
        <f>100592.932956775/(10^3)</f>
        <v>100.592932956775</v>
      </c>
      <c r="BR74" s="11">
        <f>104582.385186769/(10^3)</f>
        <v>104.582385186769</v>
      </c>
      <c r="BS74" s="11">
        <v>106.23547317312784</v>
      </c>
      <c r="BT74" s="11">
        <f>108418.285307994/(10^3)</f>
        <v>108.418285307994</v>
      </c>
      <c r="BU74" s="11">
        <f>111194.065358305/(10^3)</f>
        <v>111.194065358305</v>
      </c>
      <c r="BV74" s="11">
        <f>112925.095067392/(10^3)</f>
        <v>112.92509506739201</v>
      </c>
      <c r="BW74" s="11">
        <f>117776.885943696/(10^3)</f>
        <v>117.776885943696</v>
      </c>
      <c r="BX74" s="11">
        <f>122958.179742856/(10^3)</f>
        <v>122.95817974285599</v>
      </c>
      <c r="BY74" s="11">
        <v>121.0749938843402</v>
      </c>
      <c r="BZ74" s="11">
        <f>121074.99388434/(10^3)</f>
        <v>121.07499388434</v>
      </c>
      <c r="CA74" s="11">
        <f>126277.683384516/(10^3)</f>
        <v>126.277683384516</v>
      </c>
      <c r="CB74" s="11">
        <f>128282.139617521/(10^3)</f>
        <v>128.28213961752098</v>
      </c>
      <c r="CC74" s="12"/>
      <c r="DD74" s="11"/>
      <c r="DE74" s="11"/>
      <c r="DF74" s="11"/>
    </row>
    <row r="75" spans="4:110" ht="15.6" x14ac:dyDescent="0.25">
      <c r="D75" s="10" t="s">
        <v>136</v>
      </c>
      <c r="E75" s="10" t="s">
        <v>115</v>
      </c>
      <c r="F75" s="10" t="s">
        <v>151</v>
      </c>
      <c r="G75" s="10" t="s">
        <v>182</v>
      </c>
      <c r="H75" s="67" t="str">
        <f t="shared" si="3"/>
        <v>Seattle (피합병)</v>
      </c>
      <c r="I75" s="11">
        <f>59947.8212184555/(10^3)</f>
        <v>59.947821218455502</v>
      </c>
      <c r="J75" s="11">
        <f>59071.5781084033/(10^3)</f>
        <v>59.071578108403301</v>
      </c>
      <c r="K75" s="11">
        <v>60.466405514595138</v>
      </c>
      <c r="L75" s="11">
        <f>61275.1724758865/(10^3)</f>
        <v>61.2751724758865</v>
      </c>
      <c r="M75" s="11">
        <f>60185.0577995936/(10^3)</f>
        <v>60.185057799593594</v>
      </c>
      <c r="N75" s="11">
        <f>63057.4135904125/(10^3)</f>
        <v>63.057413590412501</v>
      </c>
      <c r="O75" s="11">
        <f>65480.6755493476/(10^3)</f>
        <v>65.480675549347595</v>
      </c>
      <c r="P75" s="11">
        <f>67375.2103819953/(10^3)</f>
        <v>67.375210381995302</v>
      </c>
      <c r="Q75" s="11">
        <v>69.94821099849419</v>
      </c>
      <c r="R75" s="11">
        <f>68880.1524346275/(10^3)</f>
        <v>68.88015243462749</v>
      </c>
      <c r="S75" s="11">
        <f>67684.4176328737/(10^3)</f>
        <v>67.684417632873689</v>
      </c>
      <c r="T75" s="11">
        <f>66707.4865627755/(10^3)</f>
        <v>66.7074865627755</v>
      </c>
      <c r="U75" s="11">
        <f>65795.1784094747/(10^3)</f>
        <v>65.795178409474701</v>
      </c>
      <c r="V75" s="11">
        <f>65005.845289099/(10^3)</f>
        <v>65.005845289099</v>
      </c>
      <c r="W75" s="11">
        <v>67.761976988035997</v>
      </c>
      <c r="X75" s="11">
        <f>66746.2583012197/(10^3)</f>
        <v>66.746258301219697</v>
      </c>
      <c r="Y75" s="11">
        <f>66055.7803632752/(10^3)</f>
        <v>66.055780363275204</v>
      </c>
      <c r="Z75" s="11">
        <f>68155.8131189764/(10^3)</f>
        <v>68.155813118976397</v>
      </c>
      <c r="AA75" s="11">
        <f>68895.8233242461/(10^3)</f>
        <v>68.895823324246095</v>
      </c>
      <c r="AB75" s="11">
        <f>68264.7207620355/(10^3)</f>
        <v>68.264720762035509</v>
      </c>
      <c r="AC75" s="11">
        <v>67.87636755883581</v>
      </c>
      <c r="AD75" s="11">
        <f>67851.9905784084/(10^3)</f>
        <v>67.85199057840839</v>
      </c>
      <c r="AE75" s="11">
        <f>69119.2896550747/(10^3)</f>
        <v>69.119289655074695</v>
      </c>
      <c r="AF75" s="11">
        <f>70463.6070780957/(10^3)</f>
        <v>70.463607078095691</v>
      </c>
      <c r="AG75" s="11">
        <f>69083.2374785785/(10^3)</f>
        <v>69.083237478578511</v>
      </c>
      <c r="AH75" s="11">
        <f>68030.3816176191/(10^3)</f>
        <v>68.030381617619099</v>
      </c>
      <c r="AI75" s="11">
        <v>67.724649775118266</v>
      </c>
      <c r="AJ75" s="11">
        <f>70664.872683449/(10^3)</f>
        <v>70.664872683448991</v>
      </c>
      <c r="AK75" s="11">
        <f>69399.5146057022/(10^3)</f>
        <v>69.399514605702208</v>
      </c>
      <c r="AL75" s="11">
        <f>69307.1446236073/(10^3)</f>
        <v>69.3071446236073</v>
      </c>
      <c r="AM75" s="11">
        <f>69116.5372811867/(10^3)</f>
        <v>69.116537281186694</v>
      </c>
      <c r="AN75" s="11">
        <f>70337.7060731305/(10^3)</f>
        <v>70.337706073130491</v>
      </c>
      <c r="AO75" s="11">
        <v>69.363457553316366</v>
      </c>
      <c r="AP75" s="11">
        <f>71228.4510352643/(10^3)</f>
        <v>71.2284510352643</v>
      </c>
      <c r="AQ75" s="11">
        <f>74605.5410741218/(10^3)</f>
        <v>74.605541074121788</v>
      </c>
      <c r="AR75" s="11">
        <f>74310.6480228808/(10^3)</f>
        <v>74.310648022880812</v>
      </c>
      <c r="AS75" s="11">
        <f>77220.2862576085/(10^3)</f>
        <v>77.220286257608507</v>
      </c>
      <c r="AT75" s="11">
        <f>79948.1781666538/(10^3)</f>
        <v>79.948178166653804</v>
      </c>
      <c r="AU75" s="11">
        <v>78.558847908688719</v>
      </c>
      <c r="AV75" s="11">
        <f>77713.3087560902/(10^3)</f>
        <v>77.7133087560902</v>
      </c>
      <c r="AW75" s="11">
        <f>76660.8283330214/(10^3)</f>
        <v>76.660828333021399</v>
      </c>
      <c r="AX75" s="11">
        <f>75367.7893700664/(10^3)</f>
        <v>75.367789370066404</v>
      </c>
      <c r="AY75" s="11">
        <f>74790.40259918/(10^3)</f>
        <v>74.790402599179998</v>
      </c>
      <c r="AZ75" s="11">
        <f>77391.3507621815/(10^3)</f>
        <v>77.391350762181489</v>
      </c>
      <c r="BA75" s="11">
        <v>78.356756321740662</v>
      </c>
      <c r="BB75" s="11">
        <f>78552.1904779589/(10^3)</f>
        <v>78.552190477958888</v>
      </c>
      <c r="BC75" s="11">
        <f>78283.3228232569/(10^3)</f>
        <v>78.283322823256896</v>
      </c>
      <c r="BD75" s="11">
        <f>79673.9375959709/(10^3)</f>
        <v>79.673937595970898</v>
      </c>
      <c r="BE75" s="11">
        <f>79224.075759637/(10^3)</f>
        <v>79.224075759636989</v>
      </c>
      <c r="BF75" s="11">
        <f>80131.9484777233/(10^3)</f>
        <v>80.131948477723299</v>
      </c>
      <c r="BG75" s="11">
        <v>82.05473920837413</v>
      </c>
      <c r="BH75" s="11">
        <f>80777.4982436271/(10^3)</f>
        <v>80.777498243627093</v>
      </c>
      <c r="BI75" s="11">
        <f>83970.0658983566/(10^3)</f>
        <v>83.970065898356594</v>
      </c>
      <c r="BJ75" s="11">
        <f>84987.0177550235/(10^3)</f>
        <v>84.987017755023501</v>
      </c>
      <c r="BK75" s="11">
        <f>86811.9054206651/(10^3)</f>
        <v>86.811905420665099</v>
      </c>
      <c r="BL75" s="11">
        <f>91081.9395952147/(10^3)</f>
        <v>91.081939595214706</v>
      </c>
      <c r="BM75" s="11">
        <v>94.999087877339974</v>
      </c>
      <c r="BN75" s="11">
        <f>97992.2509048348/(10^3)</f>
        <v>97.992250904834805</v>
      </c>
      <c r="BO75" s="11">
        <f>99528.4836884341/(10^3)</f>
        <v>99.528483688434108</v>
      </c>
      <c r="BP75" s="11">
        <f>101977.825500781/(10^3)</f>
        <v>101.97782550078099</v>
      </c>
      <c r="BQ75" s="11">
        <f>102099.418696161/(10^3)</f>
        <v>102.099418696161</v>
      </c>
      <c r="BR75" s="11">
        <f>100522.356910936/(10^3)</f>
        <v>100.522356910936</v>
      </c>
      <c r="BS75" s="11">
        <v>103.72472564729647</v>
      </c>
      <c r="BT75" s="11">
        <f>102929.992799827/(10^3)</f>
        <v>102.92999279982701</v>
      </c>
      <c r="BU75" s="11">
        <f>104598.804904097/(10^3)</f>
        <v>104.59880490409701</v>
      </c>
      <c r="BV75" s="11">
        <f>108486.608332172/(10^3)</f>
        <v>108.48660833217201</v>
      </c>
      <c r="BW75" s="11">
        <f>108863.534224652/(10^3)</f>
        <v>108.863534224652</v>
      </c>
      <c r="BX75" s="11">
        <f>109814.248732557/(10^3)</f>
        <v>109.81424873255699</v>
      </c>
      <c r="BY75" s="11">
        <v>112.2343581682854</v>
      </c>
      <c r="BZ75" s="11">
        <f>112234.358168285/(10^3)</f>
        <v>112.234358168285</v>
      </c>
      <c r="CA75" s="11">
        <f>111196.981436724/(10^3)</f>
        <v>111.196981436724</v>
      </c>
      <c r="CB75" s="11">
        <f>113685.971503066/(10^3)</f>
        <v>113.685971503066</v>
      </c>
      <c r="CC75" s="12"/>
      <c r="DD75" s="11"/>
      <c r="DE75" s="11"/>
      <c r="DF75" s="11"/>
    </row>
    <row r="76" spans="4:110" ht="15.6" x14ac:dyDescent="0.25">
      <c r="D76" s="10" t="s">
        <v>36</v>
      </c>
      <c r="E76" s="10" t="s">
        <v>35</v>
      </c>
      <c r="F76" s="10" t="s">
        <v>150</v>
      </c>
      <c r="G76" s="10" t="s">
        <v>182</v>
      </c>
      <c r="H76" s="67" t="str">
        <f t="shared" si="3"/>
        <v>Jacksonville (피합병)</v>
      </c>
      <c r="I76" s="11">
        <f>27822.4382673376/(10^3)</f>
        <v>27.822438267337599</v>
      </c>
      <c r="J76" s="11">
        <f>29052.985766459/(10^3)</f>
        <v>29.052985766459003</v>
      </c>
      <c r="K76" s="11">
        <v>28.549713881285687</v>
      </c>
      <c r="L76" s="11">
        <f>28862.8892019859/(10^3)</f>
        <v>28.862889201985901</v>
      </c>
      <c r="M76" s="11">
        <f>28687.8797844462/(10^3)</f>
        <v>28.687879784446199</v>
      </c>
      <c r="N76" s="11">
        <f>28919.4793193046/(10^3)</f>
        <v>28.9194793193046</v>
      </c>
      <c r="O76" s="11">
        <f>29669.710949139/(10^3)</f>
        <v>29.669710949138999</v>
      </c>
      <c r="P76" s="11">
        <f>29105.0936545362/(10^3)</f>
        <v>29.105093654536198</v>
      </c>
      <c r="Q76" s="11">
        <v>29.207930657799441</v>
      </c>
      <c r="R76" s="11">
        <f>29807.2691803215/(10^3)</f>
        <v>29.807269180321498</v>
      </c>
      <c r="S76" s="11">
        <f>30917.397780355/(10^3)</f>
        <v>30.917397780355</v>
      </c>
      <c r="T76" s="11">
        <f>31319.0238982345/(10^3)</f>
        <v>31.319023898234502</v>
      </c>
      <c r="U76" s="11">
        <f>31908.4820640972/(10^3)</f>
        <v>31.9084820640972</v>
      </c>
      <c r="V76" s="11">
        <f>31363.1140227538/(10^3)</f>
        <v>31.363114022753802</v>
      </c>
      <c r="W76" s="11">
        <v>32.379781719235368</v>
      </c>
      <c r="X76" s="11">
        <f>32470.9853130936/(10^3)</f>
        <v>32.4709853130936</v>
      </c>
      <c r="Y76" s="11">
        <f>32434.9819840294/(10^3)</f>
        <v>32.434981984029399</v>
      </c>
      <c r="Z76" s="11">
        <f>31915.0637893392/(10^3)</f>
        <v>31.9150637893392</v>
      </c>
      <c r="AA76" s="11">
        <f>32590.0406020835/(10^3)</f>
        <v>32.590040602083498</v>
      </c>
      <c r="AB76" s="11">
        <f>32465.1467655529/(10^3)</f>
        <v>32.465146765552902</v>
      </c>
      <c r="AC76" s="11">
        <v>32.104432900464055</v>
      </c>
      <c r="AD76" s="11">
        <f>31476.8323248311/(10^3)</f>
        <v>31.476832324831101</v>
      </c>
      <c r="AE76" s="11">
        <f>32582.6551972782/(10^3)</f>
        <v>32.5826551972782</v>
      </c>
      <c r="AF76" s="11">
        <f>32483.6632017379/(10^3)</f>
        <v>32.483663201737905</v>
      </c>
      <c r="AG76" s="11">
        <f>32370.3487356028/(10^3)</f>
        <v>32.370348735602803</v>
      </c>
      <c r="AH76" s="11">
        <f>33923.6288293312/(10^3)</f>
        <v>33.9236288293312</v>
      </c>
      <c r="AI76" s="11">
        <v>33.513509015134147</v>
      </c>
      <c r="AJ76" s="11">
        <f>33143.6331599827/(10^3)</f>
        <v>33.143633159982706</v>
      </c>
      <c r="AK76" s="11">
        <f>32532.894956443/(10^3)</f>
        <v>32.532894956443002</v>
      </c>
      <c r="AL76" s="11">
        <f>34011.571925409/(10^3)</f>
        <v>34.011571925409001</v>
      </c>
      <c r="AM76" s="11">
        <f>34948.0041922638/(10^3)</f>
        <v>34.948004192263795</v>
      </c>
      <c r="AN76" s="11">
        <f>34911.346052347/(10^3)</f>
        <v>34.911346052347</v>
      </c>
      <c r="AO76" s="11">
        <v>36.119708840542607</v>
      </c>
      <c r="AP76" s="11">
        <f>37358.8371102128/(10^3)</f>
        <v>37.358837110212804</v>
      </c>
      <c r="AQ76" s="11">
        <f>36621.4650265943/(10^3)</f>
        <v>36.621465026594301</v>
      </c>
      <c r="AR76" s="11">
        <f>38409.7735237922/(10^3)</f>
        <v>38.409773523792204</v>
      </c>
      <c r="AS76" s="11">
        <f>40263.4450606433/(10^3)</f>
        <v>40.263445060643299</v>
      </c>
      <c r="AT76" s="11">
        <f>39697.4116820606/(10^3)</f>
        <v>39.697411682060597</v>
      </c>
      <c r="AU76" s="11">
        <v>41.568956386705864</v>
      </c>
      <c r="AV76" s="11">
        <f>42350.7945980012/(10^3)</f>
        <v>42.350794598001201</v>
      </c>
      <c r="AW76" s="11">
        <f>42241.7012670395/(10^3)</f>
        <v>42.241701267039495</v>
      </c>
      <c r="AX76" s="11">
        <f>41951.4146177815/(10^3)</f>
        <v>41.951414617781495</v>
      </c>
      <c r="AY76" s="11">
        <f>43967.7613678505/(10^3)</f>
        <v>43.9677613678505</v>
      </c>
      <c r="AZ76" s="11">
        <f>43350.8568970776/(10^3)</f>
        <v>43.350856897077605</v>
      </c>
      <c r="BA76" s="11">
        <v>44.547574772081049</v>
      </c>
      <c r="BB76" s="11">
        <f>44197.7393046677/(10^3)</f>
        <v>44.197739304667699</v>
      </c>
      <c r="BC76" s="11">
        <f>43367.4830662578/(10^3)</f>
        <v>43.367483066257805</v>
      </c>
      <c r="BD76" s="11">
        <f>45389.898604996/(10^3)</f>
        <v>45.389898604995999</v>
      </c>
      <c r="BE76" s="11">
        <f>46686.6265983206/(10^3)</f>
        <v>46.686626598320601</v>
      </c>
      <c r="BF76" s="11">
        <f>46568.3926963619/(10^3)</f>
        <v>46.568392696361904</v>
      </c>
      <c r="BG76" s="11">
        <v>46.738074852713837</v>
      </c>
      <c r="BH76" s="11">
        <f>47488.9702160161/(10^3)</f>
        <v>47.488970216016106</v>
      </c>
      <c r="BI76" s="11">
        <f>47378.4748772593/(10^3)</f>
        <v>47.378474877259301</v>
      </c>
      <c r="BJ76" s="11">
        <f>49012.8349418487/(10^3)</f>
        <v>49.012834941848695</v>
      </c>
      <c r="BK76" s="11">
        <f>49411.5777225504/(10^3)</f>
        <v>49.411577722550398</v>
      </c>
      <c r="BL76" s="11">
        <f>51484.9473349647/(10^3)</f>
        <v>51.484947334964701</v>
      </c>
      <c r="BM76" s="11">
        <v>53.63681264191797</v>
      </c>
      <c r="BN76" s="11">
        <f>54418.8817987928/(10^3)</f>
        <v>54.418881798792796</v>
      </c>
      <c r="BO76" s="11">
        <f>55213.7586145225/(10^3)</f>
        <v>55.213758614522497</v>
      </c>
      <c r="BP76" s="11">
        <f>56365.7632105184/(10^3)</f>
        <v>56.365763210518402</v>
      </c>
      <c r="BQ76" s="11">
        <f>56132.6395058889/(10^3)</f>
        <v>56.132639505888903</v>
      </c>
      <c r="BR76" s="11">
        <f>57910.0128099912/(10^3)</f>
        <v>57.910012809991201</v>
      </c>
      <c r="BS76" s="11">
        <v>59.433031501467738</v>
      </c>
      <c r="BT76" s="11">
        <f>59778.4056729022/(10^3)</f>
        <v>59.778405672902196</v>
      </c>
      <c r="BU76" s="11">
        <f>59867.4666825278/(10^3)</f>
        <v>59.867466682527798</v>
      </c>
      <c r="BV76" s="11">
        <f>59698.3618993576/(10^3)</f>
        <v>59.6983618993576</v>
      </c>
      <c r="BW76" s="11">
        <f>62309.5153449564/(10^3)</f>
        <v>62.309515344956402</v>
      </c>
      <c r="BX76" s="11">
        <f>61514.6821581454/(10^3)</f>
        <v>61.514682158145398</v>
      </c>
      <c r="BY76" s="11">
        <v>64.030913064433321</v>
      </c>
      <c r="BZ76" s="11">
        <f>64030.9130644333/(10^3)</f>
        <v>64.030913064433292</v>
      </c>
      <c r="CA76" s="11">
        <f>65342.4169275391/(10^3)</f>
        <v>65.342416927539105</v>
      </c>
      <c r="CB76" s="11">
        <f>68385.1135014378/(10^3)</f>
        <v>68.3851135014378</v>
      </c>
      <c r="CC76" s="12"/>
      <c r="DD76" s="11"/>
      <c r="DE76" s="11"/>
      <c r="DF76" s="11"/>
    </row>
    <row r="77" spans="4:110" ht="15.6" x14ac:dyDescent="0.25">
      <c r="D77" s="10" t="s">
        <v>38</v>
      </c>
      <c r="E77" s="10" t="s">
        <v>37</v>
      </c>
      <c r="F77" s="10" t="s">
        <v>149</v>
      </c>
      <c r="G77" s="10" t="s">
        <v>182</v>
      </c>
      <c r="H77" s="67" t="str">
        <f t="shared" si="3"/>
        <v>Jefferson City (피합병)</v>
      </c>
      <c r="I77" s="11">
        <f>42307.9681581058/(10^3)</f>
        <v>42.307968158105801</v>
      </c>
      <c r="J77" s="11">
        <f>42002.0361662022/(10^3)</f>
        <v>42.002036166202195</v>
      </c>
      <c r="K77" s="11">
        <v>41.726793994817598</v>
      </c>
      <c r="L77" s="11">
        <f>40947.2832239404/(10^3)</f>
        <v>40.947283223940403</v>
      </c>
      <c r="M77" s="11">
        <f>41663.660876781/(10^3)</f>
        <v>41.663660876781002</v>
      </c>
      <c r="N77" s="11">
        <f>42146.247247535/(10^3)</f>
        <v>42.146247247535001</v>
      </c>
      <c r="O77" s="11">
        <f>42755.2700122363/(10^3)</f>
        <v>42.755270012236302</v>
      </c>
      <c r="P77" s="11">
        <f>42336.9137230425/(10^3)</f>
        <v>42.3369137230425</v>
      </c>
      <c r="Q77" s="11">
        <v>42.679341275532281</v>
      </c>
      <c r="R77" s="11">
        <f>43887.9617376627/(10^3)</f>
        <v>43.8879617376627</v>
      </c>
      <c r="S77" s="11">
        <f>45181.8217333122/(10^3)</f>
        <v>45.181821733312198</v>
      </c>
      <c r="T77" s="11">
        <f>44776.1166920501/(10^3)</f>
        <v>44.776116692050095</v>
      </c>
      <c r="U77" s="11">
        <f>44170.5302234877/(10^3)</f>
        <v>44.170530223487702</v>
      </c>
      <c r="V77" s="11">
        <f>44066.4879064946/(10^3)</f>
        <v>44.066487906494601</v>
      </c>
      <c r="W77" s="11">
        <v>45.918857817190869</v>
      </c>
      <c r="X77" s="11">
        <f>46643.3855753117/(10^3)</f>
        <v>46.643385575311704</v>
      </c>
      <c r="Y77" s="11">
        <f>46335.3593782159/(10^3)</f>
        <v>46.335359378215898</v>
      </c>
      <c r="Z77" s="11">
        <f>46245.5771092424/(10^3)</f>
        <v>46.245577109242397</v>
      </c>
      <c r="AA77" s="11">
        <f>46960.6820618995/(10^3)</f>
        <v>46.960682061899497</v>
      </c>
      <c r="AB77" s="11">
        <f>48457.296924452/(10^3)</f>
        <v>48.457296924452002</v>
      </c>
      <c r="AC77" s="11">
        <v>49.903468086747495</v>
      </c>
      <c r="AD77" s="11">
        <f>49362.9026798871/(10^3)</f>
        <v>49.3629026798871</v>
      </c>
      <c r="AE77" s="11">
        <f>49559.0896950292/(10^3)</f>
        <v>49.559089695029201</v>
      </c>
      <c r="AF77" s="11">
        <f>51451.0574258673/(10^3)</f>
        <v>51.451057425867297</v>
      </c>
      <c r="AG77" s="11">
        <f>51964.4771451048/(10^3)</f>
        <v>51.964477145104802</v>
      </c>
      <c r="AH77" s="11">
        <f>50941.5936064711/(10^3)</f>
        <v>50.941593606471102</v>
      </c>
      <c r="AI77" s="11">
        <v>52.244567520219405</v>
      </c>
      <c r="AJ77" s="11">
        <f>52958.6345001228/(10^3)</f>
        <v>52.958634500122798</v>
      </c>
      <c r="AK77" s="11">
        <f>52746.9530774357/(10^3)</f>
        <v>52.746953077435698</v>
      </c>
      <c r="AL77" s="11">
        <f>51993.5773787526/(10^3)</f>
        <v>51.993577378752597</v>
      </c>
      <c r="AM77" s="11">
        <f>51957.4798034434/(10^3)</f>
        <v>51.957479803443398</v>
      </c>
      <c r="AN77" s="11">
        <f>54069.8993707777/(10^3)</f>
        <v>54.069899370777698</v>
      </c>
      <c r="AO77" s="11">
        <v>54.279923469099437</v>
      </c>
      <c r="AP77" s="11">
        <f>56838.8201840243/(10^3)</f>
        <v>56.8388201840243</v>
      </c>
      <c r="AQ77" s="11">
        <f>57943.9105337203/(10^3)</f>
        <v>57.943910533720299</v>
      </c>
      <c r="AR77" s="11">
        <f>58662.8883667232/(10^3)</f>
        <v>58.662888366723202</v>
      </c>
      <c r="AS77" s="11">
        <f>59389.3078147102/(10^3)</f>
        <v>59.3893078147102</v>
      </c>
      <c r="AT77" s="11">
        <f>58312.4900819976/(10^3)</f>
        <v>58.312490081997602</v>
      </c>
      <c r="AU77" s="11">
        <v>59.857721216178739</v>
      </c>
      <c r="AV77" s="11">
        <f>58765.3946907436/(10^3)</f>
        <v>58.765394690743598</v>
      </c>
      <c r="AW77" s="11">
        <f>58536.34934927/(10^3)</f>
        <v>58.536349349269997</v>
      </c>
      <c r="AX77" s="11">
        <f>60104.5486352345/(10^3)</f>
        <v>60.104548635234501</v>
      </c>
      <c r="AY77" s="11">
        <f>61819.5366524164/(10^3)</f>
        <v>61.819536652416396</v>
      </c>
      <c r="AZ77" s="11">
        <f>62176.5000395373/(10^3)</f>
        <v>62.176500039537302</v>
      </c>
      <c r="BA77" s="11">
        <v>61.652895363506261</v>
      </c>
      <c r="BB77" s="11">
        <f>62712.6119304955/(10^3)</f>
        <v>62.712611930495498</v>
      </c>
      <c r="BC77" s="11">
        <f>63514.4421447111/(10^3)</f>
        <v>63.514442144711104</v>
      </c>
      <c r="BD77" s="11">
        <f>65506.6106214254/(10^3)</f>
        <v>65.506610621425409</v>
      </c>
      <c r="BE77" s="11">
        <f>64813.4206460541/(10^3)</f>
        <v>64.813420646054098</v>
      </c>
      <c r="BF77" s="11">
        <f>67457.0282315532/(10^3)</f>
        <v>67.457028231553195</v>
      </c>
      <c r="BG77" s="11">
        <v>69.332667835593796</v>
      </c>
      <c r="BH77" s="11">
        <f>71161.9722411909/(10^3)</f>
        <v>71.161972241190909</v>
      </c>
      <c r="BI77" s="11">
        <f>73081.1235034623/(10^3)</f>
        <v>73.081123503462294</v>
      </c>
      <c r="BJ77" s="11">
        <f>71679.1308576759/(10^3)</f>
        <v>71.679130857675901</v>
      </c>
      <c r="BK77" s="11">
        <f>71809.4331805421/(10^3)</f>
        <v>71.809433180542101</v>
      </c>
      <c r="BL77" s="11">
        <f>72155.0551530552/(10^3)</f>
        <v>72.155055153055201</v>
      </c>
      <c r="BM77" s="11">
        <v>74.857536893687495</v>
      </c>
      <c r="BN77" s="11">
        <f>74788.1917292872/(10^3)</f>
        <v>74.788191729287192</v>
      </c>
      <c r="BO77" s="11">
        <f>77687.3850109328/(10^3)</f>
        <v>77.6873850109328</v>
      </c>
      <c r="BP77" s="11">
        <f>76540.9436123405/(10^3)</f>
        <v>76.540943612340499</v>
      </c>
      <c r="BQ77" s="11">
        <f>76753.7573759734/(10^3)</f>
        <v>76.753757375973393</v>
      </c>
      <c r="BR77" s="11">
        <f>78330.300357284/(10^3)</f>
        <v>78.330300357283988</v>
      </c>
      <c r="BS77" s="11">
        <v>79.780768442395356</v>
      </c>
      <c r="BT77" s="11">
        <f>81300.2191488517/(10^3)</f>
        <v>81.300219148851696</v>
      </c>
      <c r="BU77" s="11">
        <f>80792.7300165986/(10^3)</f>
        <v>80.792730016598597</v>
      </c>
      <c r="BV77" s="11">
        <f>82047.8411825962/(10^3)</f>
        <v>82.047841182596201</v>
      </c>
      <c r="BW77" s="11">
        <f>84686.9736130575/(10^3)</f>
        <v>84.686973613057503</v>
      </c>
      <c r="BX77" s="11">
        <f>85003.8663031284/(10^3)</f>
        <v>85.00386630312839</v>
      </c>
      <c r="BY77" s="11">
        <v>88.837039362288408</v>
      </c>
      <c r="BZ77" s="11">
        <f>88837.0393622884/(10^3)</f>
        <v>88.837039362288394</v>
      </c>
      <c r="CA77" s="11">
        <f>90544.9804154621/(10^3)</f>
        <v>90.544980415462092</v>
      </c>
      <c r="CB77" s="11">
        <f>92354.755561363/(10^3)</f>
        <v>92.354755561362992</v>
      </c>
      <c r="CC77" s="12"/>
      <c r="DD77" s="11"/>
      <c r="DE77" s="11"/>
      <c r="DF77" s="11"/>
    </row>
    <row r="78" spans="4:110" ht="15.6" x14ac:dyDescent="0.25">
      <c r="D78" s="10" t="s">
        <v>39</v>
      </c>
      <c r="E78" s="10" t="s">
        <v>37</v>
      </c>
      <c r="F78" s="10" t="s">
        <v>149</v>
      </c>
      <c r="G78" s="10" t="s">
        <v>182</v>
      </c>
      <c r="H78" s="67" t="str">
        <f t="shared" si="3"/>
        <v>Kansas City (피합병)</v>
      </c>
      <c r="I78" s="11">
        <f>88923.1449128844/(10^3)</f>
        <v>88.923144912884396</v>
      </c>
      <c r="J78" s="11">
        <f>89151.4042532849/(10^3)</f>
        <v>89.151404253284895</v>
      </c>
      <c r="K78" s="11">
        <v>89.692420488485013</v>
      </c>
      <c r="L78" s="11">
        <f>91959.6570884942/(10^3)</f>
        <v>91.959657088494211</v>
      </c>
      <c r="M78" s="11">
        <f>92447.4782413775/(10^3)</f>
        <v>92.447478241377496</v>
      </c>
      <c r="N78" s="11">
        <f>94222.3234719972/(10^3)</f>
        <v>94.2223234719972</v>
      </c>
      <c r="O78" s="11">
        <f>97311.8351424236/(10^3)</f>
        <v>97.311835142423604</v>
      </c>
      <c r="P78" s="11">
        <f>95767.6740796955/(10^3)</f>
        <v>95.767674079695496</v>
      </c>
      <c r="Q78" s="11">
        <v>94.995714682152467</v>
      </c>
      <c r="R78" s="11">
        <f>98719.4366686579/(10^3)</f>
        <v>98.719436668657906</v>
      </c>
      <c r="S78" s="11">
        <f>102765.344787133/(10^3)</f>
        <v>102.765344787133</v>
      </c>
      <c r="T78" s="11">
        <f>101523.752755401/(10^3)</f>
        <v>101.52375275540101</v>
      </c>
      <c r="U78" s="11">
        <f>103990.489076879/(10^3)</f>
        <v>103.990489076879</v>
      </c>
      <c r="V78" s="11">
        <f>106151.460536337/(10^3)</f>
        <v>106.15146053633701</v>
      </c>
      <c r="W78" s="11">
        <v>108.75191378772698</v>
      </c>
      <c r="X78" s="11">
        <f>109132.565963836/(10^3)</f>
        <v>109.132565963836</v>
      </c>
      <c r="Y78" s="11">
        <f>114129.803851794/(10^3)</f>
        <v>114.12980385179399</v>
      </c>
      <c r="Z78" s="11">
        <f>119795.411273374/(10^3)</f>
        <v>119.795411273374</v>
      </c>
      <c r="AA78" s="11">
        <f>125666.930717968/(10^3)</f>
        <v>125.666930717968</v>
      </c>
      <c r="AB78" s="11">
        <f>125438.821401734/(10^3)</f>
        <v>125.438821401734</v>
      </c>
      <c r="AC78" s="11">
        <v>124.58973817180234</v>
      </c>
      <c r="AD78" s="11">
        <f>123202.357208121/(10^3)</f>
        <v>123.202357208121</v>
      </c>
      <c r="AE78" s="11">
        <f>125772.818218812/(10^3)</f>
        <v>125.77281821881199</v>
      </c>
      <c r="AF78" s="11">
        <f>129651.086529007/(10^3)</f>
        <v>129.65108652900702</v>
      </c>
      <c r="AG78" s="11">
        <f>129123.149958039/(10^3)</f>
        <v>129.12314995803899</v>
      </c>
      <c r="AH78" s="11">
        <f>134041.269170418/(10^3)</f>
        <v>134.04126917041799</v>
      </c>
      <c r="AI78" s="11">
        <v>131.37214980350518</v>
      </c>
      <c r="AJ78" s="11">
        <f>134352.659043452/(10^3)</f>
        <v>134.35265904345201</v>
      </c>
      <c r="AK78" s="11">
        <f>135356.763311191/(10^3)</f>
        <v>135.356763311191</v>
      </c>
      <c r="AL78" s="11">
        <f>133530.577678784/(10^3)</f>
        <v>133.530577678784</v>
      </c>
      <c r="AM78" s="11">
        <f>132842.171602405/(10^3)</f>
        <v>132.84217160240499</v>
      </c>
      <c r="AN78" s="11">
        <f>131243.289906136/(10^3)</f>
        <v>131.243289906136</v>
      </c>
      <c r="AO78" s="11">
        <v>130.66269231473913</v>
      </c>
      <c r="AP78" s="11">
        <f>135284.952948261/(10^3)</f>
        <v>135.28495294826101</v>
      </c>
      <c r="AQ78" s="11">
        <f>133550.578105258/(10^3)</f>
        <v>133.55057810525801</v>
      </c>
      <c r="AR78" s="11">
        <f>132543.725871699/(10^3)</f>
        <v>132.543725871699</v>
      </c>
      <c r="AS78" s="11">
        <f>130761.372472654/(10^3)</f>
        <v>130.76137247265399</v>
      </c>
      <c r="AT78" s="11">
        <f>131843.07643453/(10^3)</f>
        <v>131.84307643452999</v>
      </c>
      <c r="AU78" s="11">
        <v>131.41328819826421</v>
      </c>
      <c r="AV78" s="11">
        <f>135648.88714012/(10^3)</f>
        <v>135.64888714012</v>
      </c>
      <c r="AW78" s="11">
        <f>139600.703997278/(10^3)</f>
        <v>139.600703997278</v>
      </c>
      <c r="AX78" s="11">
        <f>140681.635808962/(10^3)</f>
        <v>140.681635808962</v>
      </c>
      <c r="AY78" s="11">
        <f>138399.404617069/(10^3)</f>
        <v>138.399404617069</v>
      </c>
      <c r="AZ78" s="11">
        <f>139690.199133202/(10^3)</f>
        <v>139.69019913320199</v>
      </c>
      <c r="BA78" s="11">
        <v>140.4600854147757</v>
      </c>
      <c r="BB78" s="11">
        <f>143693.522025799/(10^3)</f>
        <v>143.69352202579901</v>
      </c>
      <c r="BC78" s="11">
        <f>142166.889935153/(10^3)</f>
        <v>142.16688993515302</v>
      </c>
      <c r="BD78" s="11">
        <f>147440.551863854/(10^3)</f>
        <v>147.44055186385398</v>
      </c>
      <c r="BE78" s="11">
        <f>146223.137033108/(10^3)</f>
        <v>146.223137033108</v>
      </c>
      <c r="BF78" s="11">
        <f>148865.868701352/(10^3)</f>
        <v>148.86586870135201</v>
      </c>
      <c r="BG78" s="11">
        <v>154.35687458932441</v>
      </c>
      <c r="BH78" s="11">
        <f>154597.004716991/(10^3)</f>
        <v>154.59700471699102</v>
      </c>
      <c r="BI78" s="11">
        <f>156224.174379094/(10^3)</f>
        <v>156.22417437909399</v>
      </c>
      <c r="BJ78" s="11">
        <f>153761.682421582/(10^3)</f>
        <v>153.76168242158198</v>
      </c>
      <c r="BK78" s="11">
        <f>156308.259251965/(10^3)</f>
        <v>156.30825925196501</v>
      </c>
      <c r="BL78" s="11">
        <f>155302.146715872/(10^3)</f>
        <v>155.302146715872</v>
      </c>
      <c r="BM78" s="11">
        <v>153.8112567133708</v>
      </c>
      <c r="BN78" s="11">
        <f>159760.454335934/(10^3)</f>
        <v>159.76045433593399</v>
      </c>
      <c r="BO78" s="11">
        <f>165646.508735321/(10^3)</f>
        <v>165.64650873532099</v>
      </c>
      <c r="BP78" s="11">
        <f>168103.516673319/(10^3)</f>
        <v>168.10351667331901</v>
      </c>
      <c r="BQ78" s="11">
        <f>165209.276671377/(10^3)</f>
        <v>165.20927667137701</v>
      </c>
      <c r="BR78" s="11">
        <f>162281.907171139/(10^3)</f>
        <v>162.28190717113901</v>
      </c>
      <c r="BS78" s="11">
        <v>168.81577951567294</v>
      </c>
      <c r="BT78" s="11">
        <f>170445.962360651/(10^3)</f>
        <v>170.44596236065101</v>
      </c>
      <c r="BU78" s="11">
        <f>170306.974477383/(10^3)</f>
        <v>170.30697447738299</v>
      </c>
      <c r="BV78" s="11">
        <f>175492.063947426/(10^3)</f>
        <v>175.492063947426</v>
      </c>
      <c r="BW78" s="11">
        <f>176855.485432149/(10^3)</f>
        <v>176.85548543214901</v>
      </c>
      <c r="BX78" s="11">
        <f>174403.313925016/(10^3)</f>
        <v>174.40331392501599</v>
      </c>
      <c r="BY78" s="11">
        <v>169.46781881580876</v>
      </c>
      <c r="BZ78" s="11">
        <f>169467.818815809/(10^3)</f>
        <v>169.46781881580901</v>
      </c>
      <c r="CA78" s="11">
        <f>175938.474012264/(10^3)</f>
        <v>175.93847401226398</v>
      </c>
      <c r="CB78" s="11">
        <f>177969.911004386/(10^3)</f>
        <v>177.96991100438601</v>
      </c>
      <c r="CC78" s="12"/>
      <c r="DD78" s="11"/>
      <c r="DE78" s="11"/>
      <c r="DF78" s="11"/>
    </row>
    <row r="79" spans="4:110" ht="15.6" x14ac:dyDescent="0.25">
      <c r="D79" s="10" t="s">
        <v>40</v>
      </c>
      <c r="E79" s="10" t="s">
        <v>25</v>
      </c>
      <c r="F79" s="10" t="s">
        <v>149</v>
      </c>
      <c r="G79" s="10" t="s">
        <v>182</v>
      </c>
      <c r="H79" s="67" t="str">
        <f t="shared" si="3"/>
        <v>Lansing (피합병)</v>
      </c>
      <c r="I79" s="11">
        <f>81931.7188285175/(10^3)</f>
        <v>81.931718828517504</v>
      </c>
      <c r="J79" s="11">
        <f>84586.8498762539/(10^3)</f>
        <v>84.586849876253893</v>
      </c>
      <c r="K79" s="11">
        <v>84.404459146295281</v>
      </c>
      <c r="L79" s="11">
        <f>86274.1006346862/(10^3)</f>
        <v>86.274100634686192</v>
      </c>
      <c r="M79" s="11">
        <f>90235.2336045863/(10^3)</f>
        <v>90.235233604586298</v>
      </c>
      <c r="N79" s="11">
        <f>93796.0665321939/(10^3)</f>
        <v>93.796066532193905</v>
      </c>
      <c r="O79" s="11">
        <f>92273.3545562106/(10^3)</f>
        <v>92.273354556210606</v>
      </c>
      <c r="P79" s="11">
        <f>93747.3570573341/(10^3)</f>
        <v>93.747357057334099</v>
      </c>
      <c r="Q79" s="11">
        <v>94.797155574370578</v>
      </c>
      <c r="R79" s="11">
        <f>98357.0821059094/(10^3)</f>
        <v>98.357082105909399</v>
      </c>
      <c r="S79" s="11">
        <f>101462.071092758/(10^3)</f>
        <v>101.46207109275799</v>
      </c>
      <c r="T79" s="11">
        <f>100404.142901499/(10^3)</f>
        <v>100.404142901499</v>
      </c>
      <c r="U79" s="11">
        <f>99366.5352035747/(10^3)</f>
        <v>99.366535203574699</v>
      </c>
      <c r="V79" s="11">
        <f>99510.9579272405/(10^3)</f>
        <v>99.510957927240497</v>
      </c>
      <c r="W79" s="11">
        <v>98.519849238592045</v>
      </c>
      <c r="X79" s="11">
        <f>98825.0537608485/(10^3)</f>
        <v>98.825053760848505</v>
      </c>
      <c r="Y79" s="11">
        <f>99695.247760203/(10^3)</f>
        <v>99.695247760203003</v>
      </c>
      <c r="Z79" s="11">
        <f>99801.8970429706/(10^3)</f>
        <v>99.801897042970594</v>
      </c>
      <c r="AA79" s="11">
        <f>98600.2292143065/(10^3)</f>
        <v>98.600229214306495</v>
      </c>
      <c r="AB79" s="11">
        <f>100564.044890864/(10^3)</f>
        <v>100.564044890864</v>
      </c>
      <c r="AC79" s="11">
        <v>100.11362430070776</v>
      </c>
      <c r="AD79" s="11">
        <f>102524.612424862/(10^3)</f>
        <v>102.524612424862</v>
      </c>
      <c r="AE79" s="11">
        <f>106139.818097442/(10^3)</f>
        <v>106.13981809744199</v>
      </c>
      <c r="AF79" s="11">
        <f>105627.11081211/(10^3)</f>
        <v>105.62711081210999</v>
      </c>
      <c r="AG79" s="11">
        <f>105142.722607435/(10^3)</f>
        <v>105.142722607435</v>
      </c>
      <c r="AH79" s="11">
        <f>104164.57123644/(10^3)</f>
        <v>104.16457123644</v>
      </c>
      <c r="AI79" s="11">
        <v>103.53688236386638</v>
      </c>
      <c r="AJ79" s="11">
        <f>102862.589589089/(10^3)</f>
        <v>102.862589589089</v>
      </c>
      <c r="AK79" s="11">
        <f>100830.137936841/(10^3)</f>
        <v>100.830137936841</v>
      </c>
      <c r="AL79" s="11">
        <f>99986.9809686516/(10^3)</f>
        <v>99.986980968651594</v>
      </c>
      <c r="AM79" s="11">
        <f>104179.160985723/(10^3)</f>
        <v>104.179160985723</v>
      </c>
      <c r="AN79" s="11">
        <f>102102.622464074/(10^3)</f>
        <v>102.102622464074</v>
      </c>
      <c r="AO79" s="11">
        <v>104.39083156544292</v>
      </c>
      <c r="AP79" s="11">
        <f>108562.544475457/(10^3)</f>
        <v>108.562544475457</v>
      </c>
      <c r="AQ79" s="11">
        <f>108028.014992838/(10^3)</f>
        <v>108.028014992838</v>
      </c>
      <c r="AR79" s="11">
        <f>106428.773582857/(10^3)</f>
        <v>106.428773582857</v>
      </c>
      <c r="AS79" s="11">
        <f>105885.991181005/(10^3)</f>
        <v>105.885991181005</v>
      </c>
      <c r="AT79" s="11">
        <f>105719.207503445/(10^3)</f>
        <v>105.71920750344499</v>
      </c>
      <c r="AU79" s="11">
        <v>109.1088031684901</v>
      </c>
      <c r="AV79" s="11">
        <f>107405.035602886/(10^3)</f>
        <v>107.405035602886</v>
      </c>
      <c r="AW79" s="11">
        <f>108247.000457088/(10^3)</f>
        <v>108.24700045708799</v>
      </c>
      <c r="AX79" s="11">
        <f>107151.372183925/(10^3)</f>
        <v>107.15137218392501</v>
      </c>
      <c r="AY79" s="11">
        <f>105835.545970189/(10^3)</f>
        <v>105.835545970189</v>
      </c>
      <c r="AZ79" s="11">
        <f>108146.567063383/(10^3)</f>
        <v>108.146567063383</v>
      </c>
      <c r="BA79" s="11">
        <v>108.13651633992198</v>
      </c>
      <c r="BB79" s="11">
        <f>110374.207235749/(10^3)</f>
        <v>110.374207235749</v>
      </c>
      <c r="BC79" s="11">
        <f>111766.735102422/(10^3)</f>
        <v>111.766735102422</v>
      </c>
      <c r="BD79" s="11">
        <f>116269.061584938/(10^3)</f>
        <v>116.269061584938</v>
      </c>
      <c r="BE79" s="11">
        <f>115060.699608659/(10^3)</f>
        <v>115.06069960865899</v>
      </c>
      <c r="BF79" s="11">
        <f>113252.778023794/(10^3)</f>
        <v>113.25277802379401</v>
      </c>
      <c r="BG79" s="11">
        <v>116.13198538433231</v>
      </c>
      <c r="BH79" s="11">
        <f>114906.418318839/(10^3)</f>
        <v>114.906418318839</v>
      </c>
      <c r="BI79" s="11">
        <f>116514.069434367/(10^3)</f>
        <v>116.514069434367</v>
      </c>
      <c r="BJ79" s="11">
        <f>121591.872967368/(10^3)</f>
        <v>121.591872967368</v>
      </c>
      <c r="BK79" s="11">
        <f>124570.635627353/(10^3)</f>
        <v>124.570635627353</v>
      </c>
      <c r="BL79" s="11">
        <f>128346.092017772/(10^3)</f>
        <v>128.34609201777201</v>
      </c>
      <c r="BM79" s="11">
        <v>128.39918009938327</v>
      </c>
      <c r="BN79" s="11">
        <f>131177.01246646/(10^3)</f>
        <v>131.17701246646001</v>
      </c>
      <c r="BO79" s="11">
        <f>129510.682199089/(10^3)</f>
        <v>129.51068219908899</v>
      </c>
      <c r="BP79" s="11">
        <f>131483.006143801/(10^3)</f>
        <v>131.48300614380099</v>
      </c>
      <c r="BQ79" s="11">
        <f>131584.178415852/(10^3)</f>
        <v>131.58417841585199</v>
      </c>
      <c r="BR79" s="11">
        <f>135422.837040738/(10^3)</f>
        <v>135.42283704073799</v>
      </c>
      <c r="BS79" s="11">
        <v>141.04425157685722</v>
      </c>
      <c r="BT79" s="11">
        <f>144012.877876857/(10^3)</f>
        <v>144.012877876857</v>
      </c>
      <c r="BU79" s="11">
        <f>146915.752394811/(10^3)</f>
        <v>146.91575239481099</v>
      </c>
      <c r="BV79" s="11">
        <f>146488.847647124/(10^3)</f>
        <v>146.488847647124</v>
      </c>
      <c r="BW79" s="11">
        <f>146132.776031896/(10^3)</f>
        <v>146.13277603189601</v>
      </c>
      <c r="BX79" s="11">
        <f>146780.571091692/(10^3)</f>
        <v>146.780571091692</v>
      </c>
      <c r="BY79" s="11">
        <v>151.68418106055969</v>
      </c>
      <c r="BZ79" s="11">
        <f>151684.18106056/(10^3)</f>
        <v>151.68418106055998</v>
      </c>
      <c r="CA79" s="11">
        <f>149626.403199847/(10^3)</f>
        <v>149.626403199847</v>
      </c>
      <c r="CB79" s="11">
        <f>156042.429197623/(10^3)</f>
        <v>156.04242919762299</v>
      </c>
      <c r="CC79" s="12"/>
      <c r="DD79" s="11"/>
      <c r="DE79" s="11"/>
      <c r="DF79" s="11"/>
    </row>
    <row r="80" spans="4:110" ht="15.6" x14ac:dyDescent="0.25">
      <c r="D80" s="10" t="s">
        <v>42</v>
      </c>
      <c r="E80" s="10" t="s">
        <v>41</v>
      </c>
      <c r="F80" s="10" t="s">
        <v>149</v>
      </c>
      <c r="G80" s="10" t="s">
        <v>182</v>
      </c>
      <c r="H80" s="67" t="str">
        <f t="shared" si="3"/>
        <v>Lincoln (피합병)</v>
      </c>
      <c r="I80" s="11">
        <f>38324.8107758515/(10^3)</f>
        <v>38.324810775851503</v>
      </c>
      <c r="J80" s="11">
        <f>38391.0272814847/(10^3)</f>
        <v>38.391027281484696</v>
      </c>
      <c r="K80" s="11">
        <v>40.091444257181138</v>
      </c>
      <c r="L80" s="11">
        <f>41751.6312662651/(10^3)</f>
        <v>41.7516312662651</v>
      </c>
      <c r="M80" s="11">
        <f>41133.5340546668/(10^3)</f>
        <v>41.133534054666804</v>
      </c>
      <c r="N80" s="11">
        <f>40987.7467161601/(10^3)</f>
        <v>40.987746716160103</v>
      </c>
      <c r="O80" s="11">
        <f>40405.6576846206/(10^3)</f>
        <v>40.4056576846206</v>
      </c>
      <c r="P80" s="11">
        <f>40620.8286541671/(10^3)</f>
        <v>40.620828654167099</v>
      </c>
      <c r="Q80" s="11">
        <v>40.923875111073009</v>
      </c>
      <c r="R80" s="11">
        <f>41966.1482936086/(10^3)</f>
        <v>41.966148293608605</v>
      </c>
      <c r="S80" s="11">
        <f>43628.672658068/(10^3)</f>
        <v>43.628672658067998</v>
      </c>
      <c r="T80" s="11">
        <f>43434.9788735633/(10^3)</f>
        <v>43.434978873563296</v>
      </c>
      <c r="U80" s="11">
        <f>43053.4144842405/(10^3)</f>
        <v>43.053414484240498</v>
      </c>
      <c r="V80" s="11">
        <f>43923.8122658624/(10^3)</f>
        <v>43.923812265862395</v>
      </c>
      <c r="W80" s="11">
        <v>43.121103414908269</v>
      </c>
      <c r="X80" s="11">
        <f>44380.8262598799/(10^3)</f>
        <v>44.380826259879896</v>
      </c>
      <c r="Y80" s="11">
        <f>43879.9946031118/(10^3)</f>
        <v>43.879994603111804</v>
      </c>
      <c r="Z80" s="11">
        <f>45190.2241575347/(10^3)</f>
        <v>45.190224157534701</v>
      </c>
      <c r="AA80" s="11">
        <f>44857.142369882/(10^3)</f>
        <v>44.857142369881998</v>
      </c>
      <c r="AB80" s="11">
        <f>44014.0672705078/(10^3)</f>
        <v>44.014067270507802</v>
      </c>
      <c r="AC80" s="11">
        <v>43.14036873949204</v>
      </c>
      <c r="AD80" s="11">
        <f>42299.2268273678/(10^3)</f>
        <v>42.299226827367796</v>
      </c>
      <c r="AE80" s="11">
        <f>43190.5014595755/(10^3)</f>
        <v>43.190501459575501</v>
      </c>
      <c r="AF80" s="11">
        <f>43336.3033804189/(10^3)</f>
        <v>43.336303380418904</v>
      </c>
      <c r="AG80" s="11">
        <f>43052.3497817428/(10^3)</f>
        <v>43.052349781742798</v>
      </c>
      <c r="AH80" s="11">
        <f>44762.1395591233/(10^3)</f>
        <v>44.762139559123298</v>
      </c>
      <c r="AI80" s="11">
        <v>43.965467026517352</v>
      </c>
      <c r="AJ80" s="11">
        <f>45600.5080941261/(10^3)</f>
        <v>45.600508094126099</v>
      </c>
      <c r="AK80" s="11">
        <f>45082.6528623531/(10^3)</f>
        <v>45.0826528623531</v>
      </c>
      <c r="AL80" s="11">
        <f>44200.7448801429/(10^3)</f>
        <v>44.200744880142899</v>
      </c>
      <c r="AM80" s="11">
        <f>44435.4715187967/(10^3)</f>
        <v>44.435471518796703</v>
      </c>
      <c r="AN80" s="11">
        <f>44249.1120763545/(10^3)</f>
        <v>44.2491120763545</v>
      </c>
      <c r="AO80" s="11">
        <v>44.326906664604394</v>
      </c>
      <c r="AP80" s="11">
        <f>43891.8231602055/(10^3)</f>
        <v>43.891823160205504</v>
      </c>
      <c r="AQ80" s="11">
        <f>45359.8326072182/(10^3)</f>
        <v>45.359832607218202</v>
      </c>
      <c r="AR80" s="11">
        <f>46163.7350798689/(10^3)</f>
        <v>46.1637350798689</v>
      </c>
      <c r="AS80" s="11">
        <f>45428.7698279777/(10^3)</f>
        <v>45.428769827977703</v>
      </c>
      <c r="AT80" s="11">
        <f>45997.9156966617/(10^3)</f>
        <v>45.9979156966617</v>
      </c>
      <c r="AU80" s="11">
        <v>45.995188447033719</v>
      </c>
      <c r="AV80" s="11">
        <f>45115.1629311827/(10^3)</f>
        <v>45.115162931182695</v>
      </c>
      <c r="AW80" s="11">
        <f>44921.2372300932/(10^3)</f>
        <v>44.921237230093197</v>
      </c>
      <c r="AX80" s="11">
        <f>46306.9074673033/(10^3)</f>
        <v>46.306907467303304</v>
      </c>
      <c r="AY80" s="11">
        <f>48214.8613189126/(10^3)</f>
        <v>48.214861318912597</v>
      </c>
      <c r="AZ80" s="11">
        <f>48247.7616577743/(10^3)</f>
        <v>48.247761657774305</v>
      </c>
      <c r="BA80" s="11">
        <v>48.395970622075922</v>
      </c>
      <c r="BB80" s="11">
        <f>47581.8595201777/(10^3)</f>
        <v>47.581859520177701</v>
      </c>
      <c r="BC80" s="11">
        <f>47907.4448995846/(10^3)</f>
        <v>47.907444899584604</v>
      </c>
      <c r="BD80" s="11">
        <f>46984.0301528383/(10^3)</f>
        <v>46.984030152838301</v>
      </c>
      <c r="BE80" s="11">
        <f>48214.3897160467/(10^3)</f>
        <v>48.214389716046703</v>
      </c>
      <c r="BF80" s="11">
        <f>50585.8730128346/(10^3)</f>
        <v>50.585873012834597</v>
      </c>
      <c r="BG80" s="11">
        <v>51.204874923587084</v>
      </c>
      <c r="BH80" s="11">
        <f>53321.8244715813/(10^3)</f>
        <v>53.321824471581301</v>
      </c>
      <c r="BI80" s="11">
        <f>53426.9872519131/(10^3)</f>
        <v>53.426987251913104</v>
      </c>
      <c r="BJ80" s="11">
        <f>52616.0281570743/(10^3)</f>
        <v>52.616028157074304</v>
      </c>
      <c r="BK80" s="11">
        <f>54424.8916227586/(10^3)</f>
        <v>54.424891622758601</v>
      </c>
      <c r="BL80" s="11">
        <f>53685.4277697262/(10^3)</f>
        <v>53.685427769726203</v>
      </c>
      <c r="BM80" s="11">
        <v>53.929407441428467</v>
      </c>
      <c r="BN80" s="11">
        <f>56242.7069002885/(10^3)</f>
        <v>56.242706900288496</v>
      </c>
      <c r="BO80" s="11">
        <f>56549.7681990504/(10^3)</f>
        <v>56.549768199050398</v>
      </c>
      <c r="BP80" s="11">
        <f>57950.0037356615/(10^3)</f>
        <v>57.950003735661497</v>
      </c>
      <c r="BQ80" s="11">
        <f>57707.0553310254/(10^3)</f>
        <v>57.707055331025401</v>
      </c>
      <c r="BR80" s="11">
        <f>58121.2066977728/(10^3)</f>
        <v>58.121206697772806</v>
      </c>
      <c r="BS80" s="11">
        <v>60.318230704938081</v>
      </c>
      <c r="BT80" s="11">
        <f>61955.9941769326/(10^3)</f>
        <v>61.955994176932606</v>
      </c>
      <c r="BU80" s="11">
        <f>64541.4205453903/(10^3)</f>
        <v>64.541420545390295</v>
      </c>
      <c r="BV80" s="11">
        <f>65133.5323048169/(10^3)</f>
        <v>65.133532304816896</v>
      </c>
      <c r="BW80" s="11">
        <f>64770.4169170754/(10^3)</f>
        <v>64.770416917075408</v>
      </c>
      <c r="BX80" s="11">
        <f>67675.389277587/(10^3)</f>
        <v>67.675389277587001</v>
      </c>
      <c r="BY80" s="11">
        <v>71.07386654889828</v>
      </c>
      <c r="BZ80" s="11">
        <f>71073.8665488983/(10^3)</f>
        <v>71.073866548898295</v>
      </c>
      <c r="CA80" s="11">
        <f>72115.7306944119/(10^3)</f>
        <v>72.115730694411909</v>
      </c>
      <c r="CB80" s="11">
        <f>74464.9391240163/(10^3)</f>
        <v>74.464939124016297</v>
      </c>
      <c r="CC80" s="12"/>
      <c r="DD80" s="11"/>
      <c r="DE80" s="11"/>
      <c r="DF80" s="11"/>
    </row>
    <row r="81" spans="4:110" ht="15.6" x14ac:dyDescent="0.25">
      <c r="D81" s="10" t="s">
        <v>44</v>
      </c>
      <c r="E81" s="10" t="s">
        <v>43</v>
      </c>
      <c r="F81" s="10" t="s">
        <v>150</v>
      </c>
      <c r="G81" s="10" t="s">
        <v>182</v>
      </c>
      <c r="H81" s="67" t="str">
        <f t="shared" si="3"/>
        <v>Little Rock (피합병)</v>
      </c>
      <c r="I81" s="11">
        <f>57297.034965035/(10^3)</f>
        <v>57.297034965035003</v>
      </c>
      <c r="J81" s="11">
        <f>59809.5729976603/(10^3)</f>
        <v>59.809572997660304</v>
      </c>
      <c r="K81" s="11">
        <v>60.710447338433426</v>
      </c>
      <c r="L81" s="11">
        <f>60466.0638359707/(10^3)</f>
        <v>60.466063835970701</v>
      </c>
      <c r="M81" s="11">
        <f>60236.9569714568/(10^3)</f>
        <v>60.236956971456799</v>
      </c>
      <c r="N81" s="11">
        <f>60796.2775562819/(10^3)</f>
        <v>60.7962775562819</v>
      </c>
      <c r="O81" s="11">
        <f>61133.7870040218/(10^3)</f>
        <v>61.133787004021798</v>
      </c>
      <c r="P81" s="11">
        <f>63051.2067503427/(10^3)</f>
        <v>63.051206750342701</v>
      </c>
      <c r="Q81" s="11">
        <v>65.371313256489614</v>
      </c>
      <c r="R81" s="11">
        <f>67397.1625066892/(10^3)</f>
        <v>67.397162506689199</v>
      </c>
      <c r="S81" s="11">
        <f>68243.5406252613/(10^3)</f>
        <v>68.243540625261303</v>
      </c>
      <c r="T81" s="11">
        <f>68564.8683757999/(10^3)</f>
        <v>68.56486837579989</v>
      </c>
      <c r="U81" s="11">
        <f>68996.033583226/(10^3)</f>
        <v>68.996033583226009</v>
      </c>
      <c r="V81" s="11">
        <f>67617.1486403459/(10^3)</f>
        <v>67.617148640345903</v>
      </c>
      <c r="W81" s="11">
        <v>67.185116973279406</v>
      </c>
      <c r="X81" s="11">
        <f>66747.6543433695/(10^3)</f>
        <v>66.747654343369504</v>
      </c>
      <c r="Y81" s="11">
        <f>68118.6423839125/(10^3)</f>
        <v>68.118642383912501</v>
      </c>
      <c r="Z81" s="11">
        <f>67855.2038928096/(10^3)</f>
        <v>67.855203892809598</v>
      </c>
      <c r="AA81" s="11">
        <f>70753.8620103722/(10^3)</f>
        <v>70.753862010372202</v>
      </c>
      <c r="AB81" s="11">
        <f>69990.676593679/(10^3)</f>
        <v>69.990676593678998</v>
      </c>
      <c r="AC81" s="11">
        <v>73.454152572334209</v>
      </c>
      <c r="AD81" s="11">
        <f>73453.6036417972/(10^3)</f>
        <v>73.453603641797201</v>
      </c>
      <c r="AE81" s="11">
        <f>74242.0564802389/(10^3)</f>
        <v>74.242056480238901</v>
      </c>
      <c r="AF81" s="11">
        <f>73218.9034017998/(10^3)</f>
        <v>73.218903401799807</v>
      </c>
      <c r="AG81" s="11">
        <f>73036.8138490534/(10^3)</f>
        <v>73.036813849053402</v>
      </c>
      <c r="AH81" s="11">
        <f>74122.4241108713/(10^3)</f>
        <v>74.122424110871307</v>
      </c>
      <c r="AI81" s="11">
        <v>77.541898348393005</v>
      </c>
      <c r="AJ81" s="11">
        <f>76924.6174258929/(10^3)</f>
        <v>76.92461742589289</v>
      </c>
      <c r="AK81" s="11">
        <f>75991.0137845106/(10^3)</f>
        <v>75.991013784510599</v>
      </c>
      <c r="AL81" s="11">
        <f>74892.9065349984/(10^3)</f>
        <v>74.892906534998403</v>
      </c>
      <c r="AM81" s="11">
        <f>77972.3806816701/(10^3)</f>
        <v>77.972380681670103</v>
      </c>
      <c r="AN81" s="11">
        <f>78641.0696810455/(10^3)</f>
        <v>78.641069681045494</v>
      </c>
      <c r="AO81" s="11">
        <v>78.808272883013231</v>
      </c>
      <c r="AP81" s="11">
        <f>78208.2141269251/(10^3)</f>
        <v>78.2082141269251</v>
      </c>
      <c r="AQ81" s="11">
        <f>77928.7955661253/(10^3)</f>
        <v>77.928795566125302</v>
      </c>
      <c r="AR81" s="11">
        <f>77660.7647016869/(10^3)</f>
        <v>77.660764701686901</v>
      </c>
      <c r="AS81" s="11">
        <f>76985.162265238/(10^3)</f>
        <v>76.985162265238003</v>
      </c>
      <c r="AT81" s="11">
        <f>76231.7669232099/(10^3)</f>
        <v>76.231766923209904</v>
      </c>
      <c r="AU81" s="11">
        <v>77.601008402177257</v>
      </c>
      <c r="AV81" s="11">
        <f>77281.4525599845/(10^3)</f>
        <v>77.281452559984487</v>
      </c>
      <c r="AW81" s="11">
        <f>75964.2780113327/(10^3)</f>
        <v>75.964278011332709</v>
      </c>
      <c r="AX81" s="11">
        <f>76477.9312112716/(10^3)</f>
        <v>76.477931211271596</v>
      </c>
      <c r="AY81" s="11">
        <f>75426.1416900446/(10^3)</f>
        <v>75.426141690044602</v>
      </c>
      <c r="AZ81" s="11">
        <f>75416.8886361848/(10^3)</f>
        <v>75.416888636184794</v>
      </c>
      <c r="BA81" s="11">
        <v>74.397451248677257</v>
      </c>
      <c r="BB81" s="11">
        <f>74812.7165192815/(10^3)</f>
        <v>74.812716519281494</v>
      </c>
      <c r="BC81" s="11">
        <f>76821.3890987183/(10^3)</f>
        <v>76.821389098718299</v>
      </c>
      <c r="BD81" s="11">
        <f>77001.8080655768/(10^3)</f>
        <v>77.001808065576796</v>
      </c>
      <c r="BE81" s="11">
        <f>79059.7771235252/(10^3)</f>
        <v>79.059777123525194</v>
      </c>
      <c r="BF81" s="11">
        <f>81514.7115428716/(10^3)</f>
        <v>81.514711542871609</v>
      </c>
      <c r="BG81" s="11">
        <v>82.531350963665375</v>
      </c>
      <c r="BH81" s="11">
        <f>85889.9487813638/(10^3)</f>
        <v>85.889948781363799</v>
      </c>
      <c r="BI81" s="11">
        <f>89139.9479873377/(10^3)</f>
        <v>89.139947987337692</v>
      </c>
      <c r="BJ81" s="11">
        <f>91136.6868296148/(10^3)</f>
        <v>91.136686829614803</v>
      </c>
      <c r="BK81" s="11">
        <f>91427.8870293075/(10^3)</f>
        <v>91.427887029307499</v>
      </c>
      <c r="BL81" s="11">
        <f>95017.411482605/(10^3)</f>
        <v>95.017411482605013</v>
      </c>
      <c r="BM81" s="11">
        <v>95.664021477959153</v>
      </c>
      <c r="BN81" s="11">
        <f>94667.309686069/(10^3)</f>
        <v>94.667309686069004</v>
      </c>
      <c r="BO81" s="11">
        <f>93525.8785332471/(10^3)</f>
        <v>93.525878533247095</v>
      </c>
      <c r="BP81" s="11">
        <f>91687.119525916/(10^3)</f>
        <v>91.687119525916003</v>
      </c>
      <c r="BQ81" s="11">
        <f>89934.078501333/(10^3)</f>
        <v>89.934078501333005</v>
      </c>
      <c r="BR81" s="11">
        <f>89490.7986819796/(10^3)</f>
        <v>89.490798681979612</v>
      </c>
      <c r="BS81" s="11">
        <v>93.838926587288853</v>
      </c>
      <c r="BT81" s="11">
        <f>92958.3087089829/(10^3)</f>
        <v>92.958308708982912</v>
      </c>
      <c r="BU81" s="11">
        <f>96456.8709930965/(10^3)</f>
        <v>96.456870993096501</v>
      </c>
      <c r="BV81" s="11">
        <f>97252.6704743465/(10^3)</f>
        <v>97.252670474346488</v>
      </c>
      <c r="BW81" s="11">
        <f>95798.5030844042/(10^3)</f>
        <v>95.798503084404203</v>
      </c>
      <c r="BX81" s="11">
        <f>95914.2187370308/(10^3)</f>
        <v>95.914218737030794</v>
      </c>
      <c r="BY81" s="11">
        <v>101.46177164872802</v>
      </c>
      <c r="BZ81" s="11">
        <f>101461.771648728/(10^3)</f>
        <v>101.461771648728</v>
      </c>
      <c r="CA81" s="11">
        <f>104181.792037104/(10^3)</f>
        <v>104.18179203710399</v>
      </c>
      <c r="CB81" s="11">
        <f>106193.470691532/(10^3)</f>
        <v>106.193470691532</v>
      </c>
      <c r="CC81" s="12"/>
      <c r="DD81" s="11"/>
      <c r="DE81" s="11"/>
      <c r="DF81" s="11"/>
    </row>
    <row r="82" spans="4:110" ht="15.6" x14ac:dyDescent="0.25">
      <c r="D82" s="10" t="s">
        <v>45</v>
      </c>
      <c r="E82" s="10" t="s">
        <v>29</v>
      </c>
      <c r="F82" s="10" t="s">
        <v>150</v>
      </c>
      <c r="G82" s="10" t="s">
        <v>182</v>
      </c>
      <c r="H82" s="67" t="str">
        <f t="shared" si="3"/>
        <v>Louisville (피합병)</v>
      </c>
      <c r="I82" s="11">
        <f>83874.4723488853/(10^3)</f>
        <v>83.874472348885305</v>
      </c>
      <c r="J82" s="11">
        <f>86031.2551324584/(10^3)</f>
        <v>86.031255132458412</v>
      </c>
      <c r="K82" s="11">
        <v>89.759938398789771</v>
      </c>
      <c r="L82" s="11">
        <f>94141.8444528519/(10^3)</f>
        <v>94.141844452851899</v>
      </c>
      <c r="M82" s="11">
        <f>94785.8600885857/(10^3)</f>
        <v>94.785860088585707</v>
      </c>
      <c r="N82" s="11">
        <f>94590.8487538572/(10^3)</f>
        <v>94.590848753857188</v>
      </c>
      <c r="O82" s="11">
        <f>93844.7663446769/(10^3)</f>
        <v>93.844766344676898</v>
      </c>
      <c r="P82" s="11">
        <f>98419.7234538724/(10^3)</f>
        <v>98.419723453872408</v>
      </c>
      <c r="Q82" s="11">
        <v>98.841566953392189</v>
      </c>
      <c r="R82" s="11">
        <f>100368.117934799/(10^3)</f>
        <v>100.368117934799</v>
      </c>
      <c r="S82" s="11">
        <f>103568.251838429/(10^3)</f>
        <v>103.56825183842901</v>
      </c>
      <c r="T82" s="11">
        <f>102161.167821137/(10^3)</f>
        <v>102.161167821137</v>
      </c>
      <c r="U82" s="11">
        <f>101863.833396366/(10^3)</f>
        <v>101.86383339636599</v>
      </c>
      <c r="V82" s="11">
        <f>104890.420624485/(10^3)</f>
        <v>104.890420624485</v>
      </c>
      <c r="W82" s="11">
        <v>107.85342346428673</v>
      </c>
      <c r="X82" s="11">
        <f>107022.167701667/(10^3)</f>
        <v>107.022167701667</v>
      </c>
      <c r="Y82" s="11">
        <f>105454.201681733/(10^3)</f>
        <v>105.454201681733</v>
      </c>
      <c r="Z82" s="11">
        <f>103705.611483509/(10^3)</f>
        <v>103.705611483509</v>
      </c>
      <c r="AA82" s="11">
        <f>102620.888245278/(10^3)</f>
        <v>102.620888245278</v>
      </c>
      <c r="AB82" s="11">
        <f>102831.889124334/(10^3)</f>
        <v>102.831889124334</v>
      </c>
      <c r="AC82" s="11">
        <v>102.58136698961441</v>
      </c>
      <c r="AD82" s="11">
        <f>106024.97177777/(10^3)</f>
        <v>106.02497177777001</v>
      </c>
      <c r="AE82" s="11">
        <f>104600.28143708/(10^3)</f>
        <v>104.60028143708</v>
      </c>
      <c r="AF82" s="11">
        <f>103698.531479405/(10^3)</f>
        <v>103.69853147940501</v>
      </c>
      <c r="AG82" s="11">
        <f>107962.147467854/(10^3)</f>
        <v>107.962147467854</v>
      </c>
      <c r="AH82" s="11">
        <f>105900.151104235/(10^3)</f>
        <v>105.90015110423501</v>
      </c>
      <c r="AI82" s="11">
        <v>105.09965775402804</v>
      </c>
      <c r="AJ82" s="11">
        <f>105043.888199166/(10^3)</f>
        <v>105.04388819916601</v>
      </c>
      <c r="AK82" s="11">
        <f>106948.56362678/(10^3)</f>
        <v>106.94856362678</v>
      </c>
      <c r="AL82" s="11">
        <f>105689.267554079/(10^3)</f>
        <v>105.689267554079</v>
      </c>
      <c r="AM82" s="11">
        <f>104878.669925296/(10^3)</f>
        <v>104.87866992529599</v>
      </c>
      <c r="AN82" s="11">
        <f>106205.92204131/(10^3)</f>
        <v>106.20592204131</v>
      </c>
      <c r="AO82" s="11">
        <v>106.1572781638753</v>
      </c>
      <c r="AP82" s="11">
        <f>109796.104784416/(10^3)</f>
        <v>109.796104784416</v>
      </c>
      <c r="AQ82" s="11">
        <f>107641.56674332/(10^3)</f>
        <v>107.64156674332</v>
      </c>
      <c r="AR82" s="11">
        <f>106217.699212258/(10^3)</f>
        <v>106.217699212258</v>
      </c>
      <c r="AS82" s="11">
        <f>106392.281251468/(10^3)</f>
        <v>106.39228125146799</v>
      </c>
      <c r="AT82" s="11">
        <f>108258.625930989/(10^3)</f>
        <v>108.258625930989</v>
      </c>
      <c r="AU82" s="11">
        <v>109.09365822991977</v>
      </c>
      <c r="AV82" s="11">
        <f>113825.838782562/(10^3)</f>
        <v>113.825838782562</v>
      </c>
      <c r="AW82" s="11">
        <f>113224.0337674/(10^3)</f>
        <v>113.2240337674</v>
      </c>
      <c r="AX82" s="11">
        <f>112617.853689085/(10^3)</f>
        <v>112.617853689085</v>
      </c>
      <c r="AY82" s="11">
        <f>112414.691950975/(10^3)</f>
        <v>112.414691950975</v>
      </c>
      <c r="AZ82" s="11">
        <f>115004.622648664/(10^3)</f>
        <v>115.004622648664</v>
      </c>
      <c r="BA82" s="11">
        <v>116.34937755002855</v>
      </c>
      <c r="BB82" s="11">
        <f>120974.023012582/(10^3)</f>
        <v>120.97402301258199</v>
      </c>
      <c r="BC82" s="11">
        <f>118861.479731559/(10^3)</f>
        <v>118.861479731559</v>
      </c>
      <c r="BD82" s="11">
        <f>120340.662523563/(10^3)</f>
        <v>120.34066252356301</v>
      </c>
      <c r="BE82" s="11">
        <f>120749.913760873/(10^3)</f>
        <v>120.749913760873</v>
      </c>
      <c r="BF82" s="11">
        <f>119529.849265731/(10^3)</f>
        <v>119.529849265731</v>
      </c>
      <c r="BG82" s="11">
        <v>118.82792049699584</v>
      </c>
      <c r="BH82" s="11">
        <f>116675.423584963/(10^3)</f>
        <v>116.675423584963</v>
      </c>
      <c r="BI82" s="11">
        <f>115446.086351941/(10^3)</f>
        <v>115.44608635194101</v>
      </c>
      <c r="BJ82" s="11">
        <f>118607.585035692/(10^3)</f>
        <v>118.607585035692</v>
      </c>
      <c r="BK82" s="11">
        <f>117767.349489588/(10^3)</f>
        <v>117.767349489588</v>
      </c>
      <c r="BL82" s="11">
        <f>115516.961892681/(10^3)</f>
        <v>115.51696189268101</v>
      </c>
      <c r="BM82" s="11">
        <v>116.78580769497091</v>
      </c>
      <c r="BN82" s="11">
        <f>117568.997929512/(10^3)</f>
        <v>117.56899792951199</v>
      </c>
      <c r="BO82" s="11">
        <f>122013.035369706/(10^3)</f>
        <v>122.013035369706</v>
      </c>
      <c r="BP82" s="11">
        <f>122041.083954497/(10^3)</f>
        <v>122.041083954497</v>
      </c>
      <c r="BQ82" s="11">
        <f>123103.713980791/(10^3)</f>
        <v>123.103713980791</v>
      </c>
      <c r="BR82" s="11">
        <f>125036.22739696/(10^3)</f>
        <v>125.03622739696</v>
      </c>
      <c r="BS82" s="11">
        <v>130.72285706730037</v>
      </c>
      <c r="BT82" s="11">
        <f>130009.534918648/(10^3)</f>
        <v>130.009534918648</v>
      </c>
      <c r="BU82" s="11">
        <f>135902.45480379/(10^3)</f>
        <v>135.90245480378999</v>
      </c>
      <c r="BV82" s="11">
        <f>140271.041697955/(10^3)</f>
        <v>140.27104169795498</v>
      </c>
      <c r="BW82" s="11">
        <f>141746.907282713/(10^3)</f>
        <v>141.74690728271298</v>
      </c>
      <c r="BX82" s="11">
        <f>139713.403238097/(10^3)</f>
        <v>139.71340323809702</v>
      </c>
      <c r="BY82" s="11">
        <v>145.74414560630373</v>
      </c>
      <c r="BZ82" s="11">
        <f>145744.145606304/(10^3)</f>
        <v>145.74414560630399</v>
      </c>
      <c r="CA82" s="11">
        <f>147371.557068084/(10^3)</f>
        <v>147.371557068084</v>
      </c>
      <c r="CB82" s="11">
        <f>151233.88658738/(10^3)</f>
        <v>151.23388658738</v>
      </c>
      <c r="CC82" s="12"/>
      <c r="DD82" s="11"/>
      <c r="DE82" s="11"/>
      <c r="DF82" s="11"/>
    </row>
    <row r="83" spans="4:110" ht="15.6" x14ac:dyDescent="0.25">
      <c r="D83" s="10" t="s">
        <v>55</v>
      </c>
      <c r="E83" s="10" t="s">
        <v>54</v>
      </c>
      <c r="F83" s="10" t="s">
        <v>149</v>
      </c>
      <c r="G83" s="10" t="s">
        <v>182</v>
      </c>
      <c r="H83" s="67" t="str">
        <f t="shared" si="3"/>
        <v>Madison (피합병)</v>
      </c>
      <c r="I83" s="11">
        <f>9484.61126333822/(10^3)</f>
        <v>9.4846112633382198</v>
      </c>
      <c r="J83" s="11">
        <f>9356.41943514837/(10^3)</f>
        <v>9.3564194351483696</v>
      </c>
      <c r="K83" s="11">
        <v>9.5114908545239434</v>
      </c>
      <c r="L83" s="11">
        <f>9925.49731518269/(10^3)</f>
        <v>9.9254973151826906</v>
      </c>
      <c r="M83" s="11">
        <f>10217.1682182947/(10^3)</f>
        <v>10.217168218294701</v>
      </c>
      <c r="N83" s="11">
        <f>10050.7210756941/(10^3)</f>
        <v>10.050721075694101</v>
      </c>
      <c r="O83" s="11">
        <f>9972.3250053334/(10^3)</f>
        <v>9.9723250053333992</v>
      </c>
      <c r="P83" s="11">
        <f>10308.2145734174/(10^3)</f>
        <v>10.308214573417398</v>
      </c>
      <c r="Q83" s="11">
        <v>10.250642286972916</v>
      </c>
      <c r="R83" s="11">
        <f>10605.676214625/(10^3)</f>
        <v>10.605676214624999</v>
      </c>
      <c r="S83" s="11">
        <f>10564.060894623/(10^3)</f>
        <v>10.564060894623001</v>
      </c>
      <c r="T83" s="11">
        <f>10973.3002311398/(10^3)</f>
        <v>10.973300231139799</v>
      </c>
      <c r="U83" s="11">
        <f>10954.748294597/(10^3)</f>
        <v>10.954748294597</v>
      </c>
      <c r="V83" s="11">
        <f>11414.4323015954/(10^3)</f>
        <v>11.414432301595399</v>
      </c>
      <c r="W83" s="11">
        <v>11.824393197519969</v>
      </c>
      <c r="X83" s="11">
        <f>11703.8378247927/(10^3)</f>
        <v>11.7038378247927</v>
      </c>
      <c r="Y83" s="11">
        <f>12254.8731694891/(10^3)</f>
        <v>12.2548731694891</v>
      </c>
      <c r="Z83" s="11">
        <f>12655.1371137681/(10^3)</f>
        <v>12.655137113768101</v>
      </c>
      <c r="AA83" s="11">
        <f>12466.0511425369/(10^3)</f>
        <v>12.4660511425369</v>
      </c>
      <c r="AB83" s="11">
        <f>12320.6725670159/(10^3)</f>
        <v>12.320672567015899</v>
      </c>
      <c r="AC83" s="11">
        <v>12.279213264695338</v>
      </c>
      <c r="AD83" s="11">
        <f>12248.7703944638/(10^3)</f>
        <v>12.248770394463799</v>
      </c>
      <c r="AE83" s="11">
        <f>12231.1570126402/(10^3)</f>
        <v>12.2311570126402</v>
      </c>
      <c r="AF83" s="11">
        <f>12131.2149378148/(10^3)</f>
        <v>12.1312149378148</v>
      </c>
      <c r="AG83" s="11">
        <f>12029.5650366632/(10^3)</f>
        <v>12.0295650366632</v>
      </c>
      <c r="AH83" s="11">
        <f>12473.7386332181/(10^3)</f>
        <v>12.473738633218099</v>
      </c>
      <c r="AI83" s="11">
        <v>12.742998594533512</v>
      </c>
      <c r="AJ83" s="11">
        <f>12568.5711507419/(10^3)</f>
        <v>12.568571150741899</v>
      </c>
      <c r="AK83" s="11">
        <f>12683.6291673473/(10^3)</f>
        <v>12.6836291673473</v>
      </c>
      <c r="AL83" s="11">
        <f>12524.8248916973/(10^3)</f>
        <v>12.524824891697302</v>
      </c>
      <c r="AM83" s="11">
        <f>12331.3994325994/(10^3)</f>
        <v>12.331399432599401</v>
      </c>
      <c r="AN83" s="11">
        <f>12270.5873927788/(10^3)</f>
        <v>12.270587392778801</v>
      </c>
      <c r="AO83" s="11">
        <v>12.29712339595299</v>
      </c>
      <c r="AP83" s="11">
        <f>12265.4156850665/(10^3)</f>
        <v>12.2654156850665</v>
      </c>
      <c r="AQ83" s="11">
        <f>12032.9713591214/(10^3)</f>
        <v>12.032971359121401</v>
      </c>
      <c r="AR83" s="11">
        <f>12479.3042652756/(10^3)</f>
        <v>12.4793042652756</v>
      </c>
      <c r="AS83" s="11">
        <f>12473.4704339901/(10^3)</f>
        <v>12.4734704339901</v>
      </c>
      <c r="AT83" s="11">
        <f>12245.330825369/(10^3)</f>
        <v>12.245330825368999</v>
      </c>
      <c r="AU83" s="11">
        <v>12.375328677468621</v>
      </c>
      <c r="AV83" s="11">
        <f>12162.9315894776/(10^3)</f>
        <v>12.1629315894776</v>
      </c>
      <c r="AW83" s="11">
        <f>12081.9760245501/(10^3)</f>
        <v>12.0819760245501</v>
      </c>
      <c r="AX83" s="11">
        <f>11848.2381007526/(10^3)</f>
        <v>11.848238100752599</v>
      </c>
      <c r="AY83" s="11">
        <f>12375.8791621038/(10^3)</f>
        <v>12.3758791621038</v>
      </c>
      <c r="AZ83" s="11">
        <f>12750.1531326336/(10^3)</f>
        <v>12.750153132633601</v>
      </c>
      <c r="BA83" s="11">
        <v>12.616253446283437</v>
      </c>
      <c r="BB83" s="11">
        <f>13031.8747793139/(10^3)</f>
        <v>13.031874779313899</v>
      </c>
      <c r="BC83" s="11">
        <f>12970.9591018803/(10^3)</f>
        <v>12.9709591018803</v>
      </c>
      <c r="BD83" s="11">
        <f>13104.5224718875/(10^3)</f>
        <v>13.104522471887499</v>
      </c>
      <c r="BE83" s="11">
        <f>13117.5805549043/(10^3)</f>
        <v>13.117580554904301</v>
      </c>
      <c r="BF83" s="11">
        <f>13062.2866978843/(10^3)</f>
        <v>13.0622866978843</v>
      </c>
      <c r="BG83" s="11">
        <v>13.712518473551635</v>
      </c>
      <c r="BH83" s="11">
        <f>14109.0498532201/(10^3)</f>
        <v>14.1090498532201</v>
      </c>
      <c r="BI83" s="11">
        <f>14526.9981153623/(10^3)</f>
        <v>14.5269981153623</v>
      </c>
      <c r="BJ83" s="11">
        <f>14676.4282805217/(10^3)</f>
        <v>14.676428280521701</v>
      </c>
      <c r="BK83" s="11">
        <f>14640.7104600615/(10^3)</f>
        <v>14.6407104600615</v>
      </c>
      <c r="BL83" s="11">
        <f>14460.1342559692/(10^3)</f>
        <v>14.4601342559692</v>
      </c>
      <c r="BM83" s="11">
        <v>14.596393045876695</v>
      </c>
      <c r="BN83" s="11">
        <f>15210.1620058839/(10^3)</f>
        <v>15.2101620058839</v>
      </c>
      <c r="BO83" s="11">
        <f>15270.7456553193/(10^3)</f>
        <v>15.270745655319301</v>
      </c>
      <c r="BP83" s="11">
        <f>15559.990803919/(10^3)</f>
        <v>15.559990803919</v>
      </c>
      <c r="BQ83" s="11">
        <f>16318.3517964742/(10^3)</f>
        <v>16.3183517964742</v>
      </c>
      <c r="BR83" s="11">
        <f>16435.2750700513/(10^3)</f>
        <v>16.435275070051297</v>
      </c>
      <c r="BS83" s="11">
        <v>17.012258236930062</v>
      </c>
      <c r="BT83" s="11">
        <f>17470.4688198033/(10^3)</f>
        <v>17.470468819803301</v>
      </c>
      <c r="BU83" s="11">
        <f>17350.3541757678/(10^3)</f>
        <v>17.350354175767798</v>
      </c>
      <c r="BV83" s="11">
        <f>17618.2699853357/(10^3)</f>
        <v>17.618269985335701</v>
      </c>
      <c r="BW83" s="11">
        <f>18033.9978776554/(10^3)</f>
        <v>18.033997877655402</v>
      </c>
      <c r="BX83" s="11">
        <f>18793.8314550445/(10^3)</f>
        <v>18.793831455044501</v>
      </c>
      <c r="BY83" s="11">
        <v>19.358437488498868</v>
      </c>
      <c r="BZ83" s="11">
        <f>19358.4374884989/(10^3)</f>
        <v>19.3584374884989</v>
      </c>
      <c r="CA83" s="11">
        <f>20005.1103163107/(10^3)</f>
        <v>20.005110316310699</v>
      </c>
      <c r="CB83" s="11">
        <f>19777.5555168742/(10^3)</f>
        <v>19.777555516874198</v>
      </c>
      <c r="CC83" s="12"/>
      <c r="DD83" s="11"/>
      <c r="DE83" s="11"/>
      <c r="DF83" s="11"/>
    </row>
    <row r="84" spans="4:110" ht="15.6" x14ac:dyDescent="0.25">
      <c r="D84" s="10" t="s">
        <v>57</v>
      </c>
      <c r="E84" s="10" t="s">
        <v>56</v>
      </c>
      <c r="F84" s="10" t="s">
        <v>150</v>
      </c>
      <c r="G84" s="10" t="s">
        <v>182</v>
      </c>
      <c r="H84" s="67" t="str">
        <f t="shared" si="3"/>
        <v>Memphis (피합병)</v>
      </c>
      <c r="I84" s="11"/>
      <c r="J84" s="14"/>
      <c r="K84" s="11">
        <v>3.3177943845706674</v>
      </c>
      <c r="L84" s="11"/>
      <c r="M84" s="11"/>
      <c r="N84" s="11"/>
      <c r="O84" s="11"/>
      <c r="P84" s="11"/>
      <c r="Q84" s="11">
        <v>3.5997902348112065</v>
      </c>
      <c r="R84" s="11"/>
      <c r="S84" s="11"/>
      <c r="T84" s="11"/>
      <c r="U84" s="11"/>
      <c r="V84" s="11">
        <f>3619.61286375147/(10^3)</f>
        <v>3.61961286375147</v>
      </c>
      <c r="W84" s="11">
        <v>3.7637815249727642</v>
      </c>
      <c r="X84" s="11">
        <f>3764.58109232424/(10^3)</f>
        <v>3.7645810923242404</v>
      </c>
      <c r="Y84" s="11">
        <f>3751.52521789066/(10^3)</f>
        <v>3.7515252178906597</v>
      </c>
      <c r="Z84" s="11">
        <f>3874.79027315057/(10^3)</f>
        <v>3.8747902731505701</v>
      </c>
      <c r="AA84" s="11">
        <f>3865.19945262066/(10^3)</f>
        <v>3.8651994526206601</v>
      </c>
      <c r="AB84" s="11">
        <f>3859.76074805478/(10^3)</f>
        <v>3.85976074805478</v>
      </c>
      <c r="AC84" s="11">
        <v>3.7948924665686872</v>
      </c>
      <c r="AD84" s="11">
        <f>3774.3728389752/(10^3)</f>
        <v>3.7743728389752</v>
      </c>
      <c r="AE84" s="11">
        <f>3707.20514172876/(10^3)</f>
        <v>3.7072051417287599</v>
      </c>
      <c r="AF84" s="11">
        <f>3661.86334631888/(10^3)</f>
        <v>3.6618633463188797</v>
      </c>
      <c r="AG84" s="11">
        <f>3663.34062946147/(10^3)</f>
        <v>3.6633406294614703</v>
      </c>
      <c r="AH84" s="11">
        <f>3689.51985558318/(10^3)</f>
        <v>3.6895198555831796</v>
      </c>
      <c r="AI84" s="11">
        <v>3.6581572468539978</v>
      </c>
      <c r="AJ84" s="11">
        <f>3610.27895752278/(10^3)</f>
        <v>3.6102789575227798</v>
      </c>
      <c r="AK84" s="11">
        <f>3573.22183840542/(10^3)</f>
        <v>3.57322183840542</v>
      </c>
      <c r="AL84" s="11">
        <f>3570.59935086059/(10^3)</f>
        <v>3.5705993508605904</v>
      </c>
      <c r="AM84" s="11">
        <f>3608.85827668914/(10^3)</f>
        <v>3.6088582766891402</v>
      </c>
      <c r="AN84" s="11">
        <f>3621.08188972059/(10^3)</f>
        <v>3.6210818897205899</v>
      </c>
      <c r="AO84" s="11">
        <v>3.5496066306557839</v>
      </c>
      <c r="AP84" s="11">
        <f>3489.53078336591/(10^3)</f>
        <v>3.4895307833659097</v>
      </c>
      <c r="AQ84" s="11">
        <f>3636.73398952697/(10^3)</f>
        <v>3.6367339895269701</v>
      </c>
      <c r="AR84" s="11">
        <f>3609.82044979089/(10^3)</f>
        <v>3.6098204497908899</v>
      </c>
      <c r="AS84" s="11">
        <f>3578.1022145905/(10^3)</f>
        <v>3.5781022145904999</v>
      </c>
      <c r="AT84" s="11">
        <f>3622.16019328728/(10^3)</f>
        <v>3.62216019328728</v>
      </c>
      <c r="AU84" s="11">
        <v>3.5809148592766396</v>
      </c>
      <c r="AV84" s="11">
        <f>3619.60615583201/(10^3)</f>
        <v>3.6196061558320096</v>
      </c>
      <c r="AW84" s="11">
        <f>3608.67735781608/(10^3)</f>
        <v>3.60867735781608</v>
      </c>
      <c r="AX84" s="11">
        <f>3561.99004632494/(10^3)</f>
        <v>3.5619900463249401</v>
      </c>
      <c r="AY84" s="11">
        <f>3521.14551187999/(10^3)</f>
        <v>3.5211455118799901</v>
      </c>
      <c r="AZ84" s="11">
        <f>3481.73366380169/(10^3)</f>
        <v>3.4817336638016898</v>
      </c>
      <c r="BA84" s="11">
        <v>3.4281353422310108</v>
      </c>
      <c r="BB84" s="11">
        <f>3411.5743625853/(10^3)</f>
        <v>3.4115743625853003</v>
      </c>
      <c r="BC84" s="11">
        <f>3444.86916134423/(10^3)</f>
        <v>3.4448691613442302</v>
      </c>
      <c r="BD84" s="11">
        <f>3610.76045897359/(10^3)</f>
        <v>3.6107604589735902</v>
      </c>
      <c r="BE84" s="11">
        <f>3545.00268456942/(10^3)</f>
        <v>3.54500268456942</v>
      </c>
      <c r="BF84" s="11">
        <f>3582.97903662837/(10^3)</f>
        <v>3.58297903662837</v>
      </c>
      <c r="BG84" s="11">
        <v>3.6900672986051428</v>
      </c>
      <c r="BH84" s="11">
        <f>3734.92171380072/(10^3)</f>
        <v>3.7349217138007202</v>
      </c>
      <c r="BI84" s="11">
        <f>3882.31667264065/(10^3)</f>
        <v>3.8823166726406497</v>
      </c>
      <c r="BJ84" s="11">
        <f>4059.02010913817/(10^3)</f>
        <v>4.0590201091381699</v>
      </c>
      <c r="BK84" s="11">
        <f>3979.76912417851/(10^3)</f>
        <v>3.9797691241785103</v>
      </c>
      <c r="BL84" s="11">
        <f>4118.38430494552/(10^3)</f>
        <v>4.1183843049455202</v>
      </c>
      <c r="BM84" s="11">
        <v>4.2964301556184559</v>
      </c>
      <c r="BN84" s="11">
        <f>4373.89652083819/(10^3)</f>
        <v>4.3738965208381897</v>
      </c>
      <c r="BO84" s="11">
        <f>4540.85344102859/(10^3)</f>
        <v>4.5408534410285899</v>
      </c>
      <c r="BP84" s="11">
        <f>4766.65543909749/(10^3)</f>
        <v>4.76665543909749</v>
      </c>
      <c r="BQ84" s="11">
        <f>4723.24146160982/(10^3)</f>
        <v>4.7232414616098204</v>
      </c>
      <c r="BR84" s="11">
        <f>4801.94284779565/(10^3)</f>
        <v>4.8019428477956501</v>
      </c>
      <c r="BS84" s="11">
        <v>4.7103482366300566</v>
      </c>
      <c r="BT84" s="11">
        <f>4765.1380611873/(10^3)</f>
        <v>4.7651380611873</v>
      </c>
      <c r="BU84" s="11">
        <f>4978.2492254691/(10^3)</f>
        <v>4.9782492254690993</v>
      </c>
      <c r="BV84" s="11">
        <f>5201.60567606012/(10^3)</f>
        <v>5.2016056760601197</v>
      </c>
      <c r="BW84" s="11">
        <f>5193.31526817914/(10^3)</f>
        <v>5.1933152681791395</v>
      </c>
      <c r="BX84" s="11">
        <f>5175.58396129738/(10^3)</f>
        <v>5.17558396129738</v>
      </c>
      <c r="BY84" s="11">
        <v>5.3617835686808846</v>
      </c>
      <c r="BZ84" s="11">
        <f>5361.78356868088/(10^3)</f>
        <v>5.3617835686808801</v>
      </c>
      <c r="CA84" s="11">
        <f>5538.63616759946/(10^3)</f>
        <v>5.53863616759946</v>
      </c>
      <c r="CB84" s="11">
        <f>5708.4668210205/(10^3)</f>
        <v>5.7084668210205001</v>
      </c>
      <c r="CC84" s="12"/>
      <c r="DD84" s="11"/>
      <c r="DE84" s="11"/>
      <c r="DF84" s="11"/>
    </row>
    <row r="85" spans="4:110" ht="15.6" x14ac:dyDescent="0.25">
      <c r="D85" s="10" t="s">
        <v>58</v>
      </c>
      <c r="E85" s="10" t="s">
        <v>54</v>
      </c>
      <c r="F85" s="10" t="s">
        <v>149</v>
      </c>
      <c r="G85" s="10" t="s">
        <v>182</v>
      </c>
      <c r="H85" s="67" t="str">
        <f t="shared" si="3"/>
        <v>Milwaukee (피합병)</v>
      </c>
      <c r="I85" s="11">
        <f>8974.6131664211/(10^3)</f>
        <v>8.9746131664211006</v>
      </c>
      <c r="J85" s="11">
        <f>8910.69915213803/(10^3)</f>
        <v>8.9106991521380294</v>
      </c>
      <c r="K85" s="11">
        <v>9.179783297338064</v>
      </c>
      <c r="L85" s="11">
        <f>9144.83216207034/(10^3)</f>
        <v>9.1448321620703386</v>
      </c>
      <c r="M85" s="11">
        <f>9352.33037182267/(10^3)</f>
        <v>9.3523303718226707</v>
      </c>
      <c r="N85" s="11">
        <f>9251.48706270927/(10^3)</f>
        <v>9.2514870627092698</v>
      </c>
      <c r="O85" s="11">
        <f>9437.89129247226/(10^3)</f>
        <v>9.4378912924722602</v>
      </c>
      <c r="P85" s="11">
        <f>9672.32622053629/(10^3)</f>
        <v>9.6723262205362897</v>
      </c>
      <c r="Q85" s="11">
        <v>9.7336270883281308</v>
      </c>
      <c r="R85" s="11">
        <f>10078.9577297124/(10^3)</f>
        <v>10.0789577297124</v>
      </c>
      <c r="S85" s="11">
        <f>10458.4842362328/(10^3)</f>
        <v>10.458484236232801</v>
      </c>
      <c r="T85" s="11">
        <f>10566.3836061632/(10^3)</f>
        <v>10.5663836061632</v>
      </c>
      <c r="U85" s="11">
        <f>10548.2017048798/(10^3)</f>
        <v>10.548201704879801</v>
      </c>
      <c r="V85" s="11">
        <f>10429.3652330725/(10^3)</f>
        <v>10.429365233072501</v>
      </c>
      <c r="W85" s="11">
        <v>10.247376109529764</v>
      </c>
      <c r="X85" s="11">
        <f>10082.5626224757/(10^3)</f>
        <v>10.082562622475701</v>
      </c>
      <c r="Y85" s="11">
        <f>9929.09865999043/(10^3)</f>
        <v>9.9290986599904301</v>
      </c>
      <c r="Z85" s="11">
        <f>9827.69074887761/(10^3)</f>
        <v>9.8276907488776111</v>
      </c>
      <c r="AA85" s="11">
        <f>9808.31497438543/(10^3)</f>
        <v>9.8083149743854303</v>
      </c>
      <c r="AB85" s="11">
        <f>10264.4355607885/(10^3)</f>
        <v>10.264435560788501</v>
      </c>
      <c r="AC85" s="11">
        <v>10.47719958498001</v>
      </c>
      <c r="AD85" s="11">
        <f>10810.0609503214/(10^3)</f>
        <v>10.8100609503214</v>
      </c>
      <c r="AE85" s="11">
        <f>10599.4508533729/(10^3)</f>
        <v>10.5994508533729</v>
      </c>
      <c r="AF85" s="11">
        <f>10701.4844609944/(10^3)</f>
        <v>10.701484460994399</v>
      </c>
      <c r="AG85" s="11">
        <f>10997.7691752431/(10^3)</f>
        <v>10.9977691752431</v>
      </c>
      <c r="AH85" s="11">
        <f>11202.4552935376/(10^3)</f>
        <v>11.2024552935376</v>
      </c>
      <c r="AI85" s="11">
        <v>11.440364070818568</v>
      </c>
      <c r="AJ85" s="11">
        <f>11278.379166565/(10^3)</f>
        <v>11.278379166565001</v>
      </c>
      <c r="AK85" s="11">
        <f>11776.3597151981/(10^3)</f>
        <v>11.776359715198099</v>
      </c>
      <c r="AL85" s="11">
        <f>11729.3647280371/(10^3)</f>
        <v>11.729364728037101</v>
      </c>
      <c r="AM85" s="11">
        <f>12243.7826707893/(10^3)</f>
        <v>12.243782670789299</v>
      </c>
      <c r="AN85" s="11">
        <f>12842.1771783675/(10^3)</f>
        <v>12.8421771783675</v>
      </c>
      <c r="AO85" s="11">
        <v>13.371316725972218</v>
      </c>
      <c r="AP85" s="11">
        <f>13903.6256129612/(10^3)</f>
        <v>13.9036256129612</v>
      </c>
      <c r="AQ85" s="11">
        <f>13814.1926844865/(10^3)</f>
        <v>13.8141926844865</v>
      </c>
      <c r="AR85" s="11">
        <f>13618.5802217997/(10^3)</f>
        <v>13.6185802217997</v>
      </c>
      <c r="AS85" s="11">
        <f>14045.3111645236/(10^3)</f>
        <v>14.0453111645236</v>
      </c>
      <c r="AT85" s="11">
        <f>14630.1063827344/(10^3)</f>
        <v>14.6301063827344</v>
      </c>
      <c r="AU85" s="11">
        <v>14.901630149433283</v>
      </c>
      <c r="AV85" s="11">
        <f>14796.5520933448/(10^3)</f>
        <v>14.7965520933448</v>
      </c>
      <c r="AW85" s="11">
        <f>14788.4493488135/(10^3)</f>
        <v>14.788449348813499</v>
      </c>
      <c r="AX85" s="11">
        <f>15272.6145279213/(10^3)</f>
        <v>15.2726145279213</v>
      </c>
      <c r="AY85" s="11">
        <f>15165.8325298595/(10^3)</f>
        <v>15.165832529859498</v>
      </c>
      <c r="AZ85" s="11">
        <f>15336.6914510834/(10^3)</f>
        <v>15.3366914510834</v>
      </c>
      <c r="BA85" s="11">
        <v>15.153849718048006</v>
      </c>
      <c r="BB85" s="11">
        <f>15404.2743165968/(10^3)</f>
        <v>15.404274316596801</v>
      </c>
      <c r="BC85" s="11">
        <f>15433.0661983057/(10^3)</f>
        <v>15.433066198305699</v>
      </c>
      <c r="BD85" s="11">
        <f>15782.6765808446/(10^3)</f>
        <v>15.782676580844599</v>
      </c>
      <c r="BE85" s="11">
        <f>16475.880862171/(10^3)</f>
        <v>16.475880862171003</v>
      </c>
      <c r="BF85" s="11">
        <f>16559.3308940916/(10^3)</f>
        <v>16.559330894091598</v>
      </c>
      <c r="BG85" s="11">
        <v>17.367768152331386</v>
      </c>
      <c r="BH85" s="11">
        <f>17541.4404356764/(10^3)</f>
        <v>17.5414404356764</v>
      </c>
      <c r="BI85" s="11">
        <f>17970.9234884285/(10^3)</f>
        <v>17.9709234884285</v>
      </c>
      <c r="BJ85" s="11">
        <f>18753.1878557192/(10^3)</f>
        <v>18.753187855719201</v>
      </c>
      <c r="BK85" s="11">
        <f>18695.2011818195/(10^3)</f>
        <v>18.695201181819499</v>
      </c>
      <c r="BL85" s="11">
        <f>18678.9038892068/(10^3)</f>
        <v>18.678903889206797</v>
      </c>
      <c r="BM85" s="11">
        <v>19.29805410899235</v>
      </c>
      <c r="BN85" s="11">
        <f>19527.5957816046/(10^3)</f>
        <v>19.5275957816046</v>
      </c>
      <c r="BO85" s="11">
        <f>19298.698997492/(10^3)</f>
        <v>19.298698997492</v>
      </c>
      <c r="BP85" s="11">
        <f>19180.6230756168/(10^3)</f>
        <v>19.180623075616801</v>
      </c>
      <c r="BQ85" s="11">
        <f>19882.32763349/(10^3)</f>
        <v>19.88232763349</v>
      </c>
      <c r="BR85" s="11">
        <f>20842.6317634011/(10^3)</f>
        <v>20.842631763401098</v>
      </c>
      <c r="BS85" s="11">
        <v>20.777539454900399</v>
      </c>
      <c r="BT85" s="11">
        <f>21422.9800149253/(10^3)</f>
        <v>21.422980014925297</v>
      </c>
      <c r="BU85" s="11">
        <f>21984.7186435683/(10^3)</f>
        <v>21.9847186435683</v>
      </c>
      <c r="BV85" s="11">
        <f>22859.7976253841/(10^3)</f>
        <v>22.8597976253841</v>
      </c>
      <c r="BW85" s="11">
        <f>23562.1785373533/(10^3)</f>
        <v>23.562178537353297</v>
      </c>
      <c r="BX85" s="11">
        <f>24250.3435390137/(10^3)</f>
        <v>24.250343539013699</v>
      </c>
      <c r="BY85" s="11">
        <v>25.669189311587335</v>
      </c>
      <c r="BZ85" s="11">
        <f>25669.1893115873/(10^3)</f>
        <v>25.669189311587299</v>
      </c>
      <c r="CA85" s="11">
        <f>25657.0637678991/(10^3)</f>
        <v>25.6570637678991</v>
      </c>
      <c r="CB85" s="11">
        <f>25617.1027445085/(10^3)</f>
        <v>25.617102744508497</v>
      </c>
      <c r="CC85" s="12"/>
      <c r="DD85" s="11"/>
      <c r="DE85" s="11"/>
      <c r="DF85" s="11"/>
    </row>
    <row r="86" spans="4:110" ht="15.6" x14ac:dyDescent="0.25">
      <c r="D86" s="10" t="s">
        <v>60</v>
      </c>
      <c r="E86" s="10" t="s">
        <v>59</v>
      </c>
      <c r="F86" s="10" t="s">
        <v>149</v>
      </c>
      <c r="G86" s="10" t="s">
        <v>182</v>
      </c>
      <c r="H86" s="67" t="str">
        <f t="shared" si="3"/>
        <v>Minneapolis (피합병)</v>
      </c>
      <c r="I86" s="11">
        <f>5331.88595412559/(10^3)</f>
        <v>5.3318859541255899</v>
      </c>
      <c r="J86" s="11">
        <f>5372.42984036324/(10^3)</f>
        <v>5.3724298403632398</v>
      </c>
      <c r="K86" s="11">
        <v>5.4297155657566405</v>
      </c>
      <c r="L86" s="11">
        <f>5359.76430237416/(10^3)</f>
        <v>5.3597643023741606</v>
      </c>
      <c r="M86" s="11">
        <f>5268.16924859216/(10^3)</f>
        <v>5.2681692485921605</v>
      </c>
      <c r="N86" s="11">
        <f>5439.19066620843/(10^3)</f>
        <v>5.4391906662084306</v>
      </c>
      <c r="O86" s="11">
        <f>5381.9045937999/(10^3)</f>
        <v>5.3819045937998995</v>
      </c>
      <c r="P86" s="11">
        <f>5642.40965899973/(10^3)</f>
        <v>5.6424096589997301</v>
      </c>
      <c r="Q86" s="11">
        <v>5.5961420220502145</v>
      </c>
      <c r="R86" s="11">
        <f>5658.12321236324/(10^3)</f>
        <v>5.6581232123632397</v>
      </c>
      <c r="S86" s="11">
        <f>5684.30045038994/(10^3)</f>
        <v>5.6843004503899399</v>
      </c>
      <c r="T86" s="11">
        <f>5625.24427118512/(10^3)</f>
        <v>5.62524427118512</v>
      </c>
      <c r="U86" s="11">
        <f>5525.43132197838/(10^3)</f>
        <v>5.5254313219783802</v>
      </c>
      <c r="V86" s="11">
        <f>5639.2868752876/(10^3)</f>
        <v>5.6392868752876</v>
      </c>
      <c r="W86" s="11">
        <v>5.7451694240358337</v>
      </c>
      <c r="X86" s="11">
        <f>5744.19964507982/(10^3)</f>
        <v>5.7441996450798198</v>
      </c>
      <c r="Y86" s="11">
        <f>5683.82595593098/(10^3)</f>
        <v>5.6838259559309803</v>
      </c>
      <c r="Z86" s="11">
        <f>5751.80898047715/(10^3)</f>
        <v>5.7518089804771497</v>
      </c>
      <c r="AA86" s="11">
        <f>5720.4888472749/(10^3)</f>
        <v>5.7204888472748996</v>
      </c>
      <c r="AB86" s="11">
        <f>5689.85386604913/(10^3)</f>
        <v>5.6898538660491305</v>
      </c>
      <c r="AC86" s="11">
        <v>5.6012787597204818</v>
      </c>
      <c r="AD86" s="11">
        <f>5880.96786071004/(10^3)</f>
        <v>5.8809678607100402</v>
      </c>
      <c r="AE86" s="11">
        <f>5864.54773854546/(10^3)</f>
        <v>5.8645477385454594</v>
      </c>
      <c r="AF86" s="11">
        <f>5807.24500323616/(10^3)</f>
        <v>5.8072450032361607</v>
      </c>
      <c r="AG86" s="11">
        <f>5702.94002212528/(10^3)</f>
        <v>5.7029400221252802</v>
      </c>
      <c r="AH86" s="11">
        <f>5803.42213233618/(10^3)</f>
        <v>5.8034221323361797</v>
      </c>
      <c r="AI86" s="11">
        <v>5.8920548832425039</v>
      </c>
      <c r="AJ86" s="11">
        <f>5896.96214982972/(10^3)</f>
        <v>5.8969621498297204</v>
      </c>
      <c r="AK86" s="11">
        <f>5860.84528252713/(10^3)</f>
        <v>5.86084528252713</v>
      </c>
      <c r="AL86" s="11">
        <f>6098.83897865842/(10^3)</f>
        <v>6.0988389786584198</v>
      </c>
      <c r="AM86" s="11">
        <f>6219.83077438798/(10^3)</f>
        <v>6.2198307743879795</v>
      </c>
      <c r="AN86" s="11">
        <f>6278.32775448606/(10^3)</f>
        <v>6.2783277544860603</v>
      </c>
      <c r="AO86" s="11">
        <v>6.2508117868351087</v>
      </c>
      <c r="AP86" s="11">
        <f>6551.18867269114/(10^3)</f>
        <v>6.5511886726911399</v>
      </c>
      <c r="AQ86" s="11">
        <f>6842.81960120764/(10^3)</f>
        <v>6.8428196012076397</v>
      </c>
      <c r="AR86" s="11">
        <f>6955.8704107727/(10^3)</f>
        <v>6.9558704107727003</v>
      </c>
      <c r="AS86" s="11">
        <f>6823.00156704031/(10^3)</f>
        <v>6.8230015670403104</v>
      </c>
      <c r="AT86" s="11">
        <f>6799.91289995363/(10^3)</f>
        <v>6.7999128999536298</v>
      </c>
      <c r="AU86" s="11">
        <v>6.7036613652572088</v>
      </c>
      <c r="AV86" s="11">
        <f>6635.42028448586/(10^3)</f>
        <v>6.6354202844858596</v>
      </c>
      <c r="AW86" s="11">
        <f>6651.06983833468/(10^3)</f>
        <v>6.6510698383346796</v>
      </c>
      <c r="AX86" s="11">
        <f>6719.93336902461/(10^3)</f>
        <v>6.7199333690246101</v>
      </c>
      <c r="AY86" s="11">
        <f>7011.41702451613/(10^3)</f>
        <v>7.0114170245161302</v>
      </c>
      <c r="AZ86" s="11">
        <f>7013.41931172995/(10^3)</f>
        <v>7.0134193117299501</v>
      </c>
      <c r="BA86" s="11">
        <v>7.1035161780584994</v>
      </c>
      <c r="BB86" s="11">
        <f>7281.85324785478/(10^3)</f>
        <v>7.2818532478547802</v>
      </c>
      <c r="BC86" s="11">
        <f>7248.85093861238/(10^3)</f>
        <v>7.2488509386123798</v>
      </c>
      <c r="BD86" s="11">
        <f>7611.05785482154/(10^3)</f>
        <v>7.6110578548215395</v>
      </c>
      <c r="BE86" s="11">
        <f>7884.26240330471/(10^3)</f>
        <v>7.8842624033047093</v>
      </c>
      <c r="BF86" s="11">
        <f>8202.89415718443/(10^3)</f>
        <v>8.2028941571844296</v>
      </c>
      <c r="BG86" s="11">
        <v>8.086497217611015</v>
      </c>
      <c r="BH86" s="11">
        <f>8403.65192060503/(10^3)</f>
        <v>8.4036519206050304</v>
      </c>
      <c r="BI86" s="11">
        <f>8707.30285906081/(10^3)</f>
        <v>8.7073028590608104</v>
      </c>
      <c r="BJ86" s="11">
        <f>8685.19420289511/(10^3)</f>
        <v>8.6851942028951115</v>
      </c>
      <c r="BK86" s="11">
        <f>8961.84939066686/(10^3)</f>
        <v>8.9618493906668597</v>
      </c>
      <c r="BL86" s="11">
        <f>8889.39730059891/(10^3)</f>
        <v>8.88939730059891</v>
      </c>
      <c r="BM86" s="11">
        <v>8.9272977368694484</v>
      </c>
      <c r="BN86" s="11">
        <f>9244.79992800048/(10^3)</f>
        <v>9.2447999280004804</v>
      </c>
      <c r="BO86" s="11">
        <f>9553.23134744929/(10^3)</f>
        <v>9.5532313474492891</v>
      </c>
      <c r="BP86" s="11">
        <f>9499.03693976737/(10^3)</f>
        <v>9.49903693976737</v>
      </c>
      <c r="BQ86" s="11">
        <f>9642.07308063477/(10^3)</f>
        <v>9.6420730806347699</v>
      </c>
      <c r="BR86" s="11">
        <f>9531.30408036209/(10^3)</f>
        <v>9.531304080362089</v>
      </c>
      <c r="BS86" s="11">
        <v>9.7795800649715332</v>
      </c>
      <c r="BT86" s="11">
        <f>10223.9053874415/(10^3)</f>
        <v>10.2239053874415</v>
      </c>
      <c r="BU86" s="11">
        <f>10319.203386088/(10^3)</f>
        <v>10.319203386088001</v>
      </c>
      <c r="BV86" s="11">
        <f>10408.4171892022/(10^3)</f>
        <v>10.408417189202201</v>
      </c>
      <c r="BW86" s="11">
        <f>10257.1170140602/(10^3)</f>
        <v>10.257117014060201</v>
      </c>
      <c r="BX86" s="11">
        <f>10614.5650684546/(10^3)</f>
        <v>10.614565068454599</v>
      </c>
      <c r="BY86" s="11">
        <v>11.103704141813164</v>
      </c>
      <c r="BZ86" s="11">
        <f>11103.7041418132/(10^3)</f>
        <v>11.1037041418132</v>
      </c>
      <c r="CA86" s="11">
        <f>11039.8806757234/(10^3)</f>
        <v>11.039880675723399</v>
      </c>
      <c r="CB86" s="11">
        <f>10978.2638249628/(10^3)</f>
        <v>10.9782638249628</v>
      </c>
      <c r="CC86" s="12"/>
      <c r="DD86" s="11"/>
      <c r="DE86" s="11"/>
      <c r="DF86" s="11"/>
    </row>
    <row r="87" spans="4:110" ht="15.6" x14ac:dyDescent="0.25">
      <c r="D87" s="10" t="s">
        <v>61</v>
      </c>
      <c r="E87" s="10" t="s">
        <v>2</v>
      </c>
      <c r="F87" s="10" t="s">
        <v>150</v>
      </c>
      <c r="G87" s="10" t="s">
        <v>182</v>
      </c>
      <c r="H87" s="67" t="str">
        <f t="shared" si="3"/>
        <v>Montgomery (피합병)</v>
      </c>
      <c r="I87" s="11">
        <f>2688.84586555825/(10^3)</f>
        <v>2.6888458655582501</v>
      </c>
      <c r="J87" s="11">
        <f>2781.8589011331/(10^3)</f>
        <v>2.7818589011330999</v>
      </c>
      <c r="K87" s="11">
        <v>2.7753088803585508</v>
      </c>
      <c r="L87" s="11">
        <f>2752.9988784565/(10^3)</f>
        <v>2.7529988784564998</v>
      </c>
      <c r="M87" s="11">
        <f>2719.97834330957/(10^3)</f>
        <v>2.7199783433095699</v>
      </c>
      <c r="N87" s="11">
        <f>2675.66290383489/(10^3)</f>
        <v>2.67566290383489</v>
      </c>
      <c r="O87" s="11">
        <f>2648.38615947625/(10^3)</f>
        <v>2.6483861594762503</v>
      </c>
      <c r="P87" s="11">
        <f>2740.26362952145/(10^3)</f>
        <v>2.7402636295214502</v>
      </c>
      <c r="Q87" s="11">
        <v>2.7181684582511294</v>
      </c>
      <c r="R87" s="11">
        <f>2837.71074301518/(10^3)</f>
        <v>2.83771074301518</v>
      </c>
      <c r="S87" s="11">
        <f>2908.80374232835/(10^3)</f>
        <v>2.9088037423283497</v>
      </c>
      <c r="T87" s="11">
        <f>2958.38797266631/(10^3)</f>
        <v>2.9583879726663098</v>
      </c>
      <c r="U87" s="11">
        <f>2904.49643255908/(10^3)</f>
        <v>2.9044964325590801</v>
      </c>
      <c r="V87" s="11">
        <f>3026.97764282849/(10^3)</f>
        <v>3.02697764282849</v>
      </c>
      <c r="W87" s="11">
        <v>3.0092942805929779</v>
      </c>
      <c r="X87" s="11">
        <f>2951.36803870844/(10^3)</f>
        <v>2.95136803870844</v>
      </c>
      <c r="Y87" s="11">
        <f>2892.57189245876/(10^3)</f>
        <v>2.89257189245876</v>
      </c>
      <c r="Z87" s="11">
        <f>2979.62130179852/(10^3)</f>
        <v>2.9796213017985202</v>
      </c>
      <c r="AA87" s="11">
        <f>2966.19468718398/(10^3)</f>
        <v>2.9661946871839802</v>
      </c>
      <c r="AB87" s="11">
        <f>2940.81702742412/(10^3)</f>
        <v>2.9408170274241203</v>
      </c>
      <c r="AC87" s="11">
        <v>2.8870037317118511</v>
      </c>
      <c r="AD87" s="11">
        <f>2863.71183053935/(10^3)</f>
        <v>2.8637118305393501</v>
      </c>
      <c r="AE87" s="11">
        <f>2849.40849156375/(10^3)</f>
        <v>2.8494084915637501</v>
      </c>
      <c r="AF87" s="11">
        <f>2903.13689573723/(10^3)</f>
        <v>2.9031368957372301</v>
      </c>
      <c r="AG87" s="11">
        <f>2922.52177273369/(10^3)</f>
        <v>2.9225217727336901</v>
      </c>
      <c r="AH87" s="11">
        <f>2886.15177247554/(10^3)</f>
        <v>2.8861517724755399</v>
      </c>
      <c r="AI87" s="11">
        <v>2.9689630690784292</v>
      </c>
      <c r="AJ87" s="11">
        <f>2959.83302858662/(10^3)</f>
        <v>2.9598330285866199</v>
      </c>
      <c r="AK87" s="11">
        <f>2937.8662810846/(10^3)</f>
        <v>2.9378662810845997</v>
      </c>
      <c r="AL87" s="11">
        <f>2884.31419907246/(10^3)</f>
        <v>2.8843141990724597</v>
      </c>
      <c r="AM87" s="11">
        <f>2915.06611754374/(10^3)</f>
        <v>2.91506611754374</v>
      </c>
      <c r="AN87" s="11">
        <f>2864.55023276495/(10^3)</f>
        <v>2.8645502327649499</v>
      </c>
      <c r="AO87" s="11">
        <v>2.9592980053258251</v>
      </c>
      <c r="AP87" s="11">
        <f>3058.47395271484/(10^3)</f>
        <v>3.0584739527148401</v>
      </c>
      <c r="AQ87" s="11">
        <f>3025.47893460486/(10^3)</f>
        <v>3.0254789346048603</v>
      </c>
      <c r="AR87" s="11">
        <f>3011.86198797861/(10^3)</f>
        <v>3.0118619879786102</v>
      </c>
      <c r="AS87" s="11">
        <f>2977.00130852889/(10^3)</f>
        <v>2.97700130852889</v>
      </c>
      <c r="AT87" s="11">
        <f>3012.45281884757/(10^3)</f>
        <v>3.0124528188475703</v>
      </c>
      <c r="AU87" s="11">
        <v>3.0551245263462525</v>
      </c>
      <c r="AV87" s="11">
        <f>3015.72810511135/(10^3)</f>
        <v>3.01572810511135</v>
      </c>
      <c r="AW87" s="11">
        <f>3049.58409749178/(10^3)</f>
        <v>3.0495840974917803</v>
      </c>
      <c r="AX87" s="11">
        <f>3160.57915539351/(10^3)</f>
        <v>3.1605791553935099</v>
      </c>
      <c r="AY87" s="11">
        <f>3290.03717527133/(10^3)</f>
        <v>3.2900371752713298</v>
      </c>
      <c r="AZ87" s="11">
        <f>3246.72482202462/(10^3)</f>
        <v>3.2467248220246203</v>
      </c>
      <c r="BA87" s="11">
        <v>3.3956908720589585</v>
      </c>
      <c r="BB87" s="11">
        <f>3358.18519252102/(10^3)</f>
        <v>3.3581851925210198</v>
      </c>
      <c r="BC87" s="11">
        <f>3446.59065943711/(10^3)</f>
        <v>3.4465906594371098</v>
      </c>
      <c r="BD87" s="11">
        <f>3404.26487014796/(10^3)</f>
        <v>3.4042648701479603</v>
      </c>
      <c r="BE87" s="11">
        <f>3468.49516629719/(10^3)</f>
        <v>3.4684951662971897</v>
      </c>
      <c r="BF87" s="11">
        <f>3568.7720544059/(10^3)</f>
        <v>3.5687720544058998</v>
      </c>
      <c r="BG87" s="11">
        <v>3.6389936444150952</v>
      </c>
      <c r="BH87" s="11">
        <f>3726.64776276911/(10^3)</f>
        <v>3.7266477627691104</v>
      </c>
      <c r="BI87" s="11">
        <f>3832.55732555597/(10^3)</f>
        <v>3.8325573255559697</v>
      </c>
      <c r="BJ87" s="11">
        <f>3887.5453326912/(10^3)</f>
        <v>3.8875453326912002</v>
      </c>
      <c r="BK87" s="11">
        <f>3842.33643124904/(10^3)</f>
        <v>3.84233643124904</v>
      </c>
      <c r="BL87" s="11">
        <f>4033.97472839266/(10^3)</f>
        <v>4.0339747283926597</v>
      </c>
      <c r="BM87" s="11">
        <v>4.0070819833288756</v>
      </c>
      <c r="BN87" s="11">
        <f>4032.4975839008/(10^3)</f>
        <v>4.0324975839007999</v>
      </c>
      <c r="BO87" s="11">
        <f>3984.2615071126/(10^3)</f>
        <v>3.9842615071126</v>
      </c>
      <c r="BP87" s="11">
        <f>3957.81113228841/(10^3)</f>
        <v>3.95781113228841</v>
      </c>
      <c r="BQ87" s="11">
        <f>4143.07965474619/(10^3)</f>
        <v>4.1430796547461899</v>
      </c>
      <c r="BR87" s="11">
        <f>4262.62559224842/(10^3)</f>
        <v>4.26262559224842</v>
      </c>
      <c r="BS87" s="11">
        <v>4.2792574873217397</v>
      </c>
      <c r="BT87" s="11">
        <f>4199.92079505/(10^3)</f>
        <v>4.1999207950500006</v>
      </c>
      <c r="BU87" s="11">
        <f>4335.98152743814/(10^3)</f>
        <v>4.3359815274381397</v>
      </c>
      <c r="BV87" s="11">
        <f>4411.20495192707/(10^3)</f>
        <v>4.4112049519270702</v>
      </c>
      <c r="BW87" s="11">
        <f>4404.75565437803/(10^3)</f>
        <v>4.4047556543780297</v>
      </c>
      <c r="BX87" s="11">
        <f>4486.3594979998/(10^3)</f>
        <v>4.4863594979997998</v>
      </c>
      <c r="BY87" s="11">
        <v>4.8740266256081339</v>
      </c>
      <c r="BZ87" s="11">
        <f>4874.02662560813/(10^3)</f>
        <v>4.8740266256081304</v>
      </c>
      <c r="CA87" s="11">
        <f>5078.54291664149/(10^3)</f>
        <v>5.0785429166414895</v>
      </c>
      <c r="CB87" s="11">
        <f>5210.30664716812/(10^3)</f>
        <v>5.2103066471681201</v>
      </c>
      <c r="CC87" s="12"/>
      <c r="DD87" s="11"/>
      <c r="DE87" s="11"/>
      <c r="DF87" s="11"/>
    </row>
    <row r="88" spans="4:110" ht="15.6" x14ac:dyDescent="0.25">
      <c r="D88" s="10" t="s">
        <v>62</v>
      </c>
      <c r="E88" s="10" t="s">
        <v>56</v>
      </c>
      <c r="F88" s="10" t="s">
        <v>150</v>
      </c>
      <c r="G88" s="10" t="s">
        <v>182</v>
      </c>
      <c r="H88" s="67" t="str">
        <f t="shared" si="3"/>
        <v>Nashville (피합병)</v>
      </c>
      <c r="I88" s="11"/>
      <c r="J88" s="11"/>
      <c r="K88" s="11">
        <v>3.705041700924685</v>
      </c>
      <c r="L88" s="11">
        <f>3720.78333499496/(10^3)</f>
        <v>3.7207833349949602</v>
      </c>
      <c r="M88" s="11">
        <f>3772.11729982731/(10^3)</f>
        <v>3.7721172998273103</v>
      </c>
      <c r="N88" s="11">
        <f>3825.32451070483/(10^3)</f>
        <v>3.8253245107048301</v>
      </c>
      <c r="O88" s="11">
        <f>3846.47368289439/(10^3)</f>
        <v>3.84647368289439</v>
      </c>
      <c r="P88" s="11">
        <f>3886.99058290881/(10^3)</f>
        <v>3.8869905829088101</v>
      </c>
      <c r="Q88" s="11">
        <v>3.9963159835304323</v>
      </c>
      <c r="R88" s="11">
        <f>4194.36662962625/(10^3)</f>
        <v>4.1943666296262503</v>
      </c>
      <c r="S88" s="11">
        <f>4401.62804273975/(10^3)</f>
        <v>4.4016280427397501</v>
      </c>
      <c r="T88" s="11">
        <f>4611.37432737559/(10^3)</f>
        <v>4.6113743273755903</v>
      </c>
      <c r="U88" s="11">
        <f>4554.29271019875/(10^3)</f>
        <v>4.5542927101987498</v>
      </c>
      <c r="V88" s="11">
        <f>4551.77873630078/(10^3)</f>
        <v>4.55177873630078</v>
      </c>
      <c r="W88" s="11">
        <v>4.5276291386177965</v>
      </c>
      <c r="X88" s="11">
        <f>4659.06767908146/(10^3)</f>
        <v>4.6590676790814598</v>
      </c>
      <c r="Y88" s="11">
        <f>4744.70017055941/(10^3)</f>
        <v>4.7447001705594101</v>
      </c>
      <c r="Z88" s="11">
        <f>4967.75786990767/(10^3)</f>
        <v>4.9677578699076701</v>
      </c>
      <c r="AA88" s="11">
        <f>4893.26465890194/(10^3)</f>
        <v>4.8932646589019395</v>
      </c>
      <c r="AB88" s="11">
        <f>4876.7322296937/(10^3)</f>
        <v>4.8767322296937001</v>
      </c>
      <c r="AC88" s="11">
        <v>4.8175383706007802</v>
      </c>
      <c r="AD88" s="11">
        <f>4960.07349831614/(10^3)</f>
        <v>4.9600734983161399</v>
      </c>
      <c r="AE88" s="11">
        <f>4929.60339728609/(10^3)</f>
        <v>4.9296033972860895</v>
      </c>
      <c r="AF88" s="11">
        <f>4858.35683654567/(10^3)</f>
        <v>4.8583568365456706</v>
      </c>
      <c r="AG88" s="11">
        <f>5085.90021434882/(10^3)</f>
        <v>5.0859002143488192</v>
      </c>
      <c r="AH88" s="11">
        <f>5089.43221694043/(10^3)</f>
        <v>5.0894322169404305</v>
      </c>
      <c r="AI88" s="11">
        <v>5.1275800312842952</v>
      </c>
      <c r="AJ88" s="11">
        <f>5119.78165440213/(10^3)</f>
        <v>5.1197816544021295</v>
      </c>
      <c r="AK88" s="11">
        <f>5163.16075901146/(10^3)</f>
        <v>5.1631607590114603</v>
      </c>
      <c r="AL88" s="11">
        <f>5074.98676844877/(10^3)</f>
        <v>5.0749867684487695</v>
      </c>
      <c r="AM88" s="11">
        <f>5051.04897197902/(10^3)</f>
        <v>5.0510489719790206</v>
      </c>
      <c r="AN88" s="11">
        <f>5027.088259342/(10^3)</f>
        <v>5.0270882593420003</v>
      </c>
      <c r="AO88" s="11">
        <v>4.9328642687782684</v>
      </c>
      <c r="AP88" s="11">
        <f>4907.69667772099/(10^3)</f>
        <v>4.9076966777209901</v>
      </c>
      <c r="AQ88" s="11">
        <f>4896.85614390351/(10^3)</f>
        <v>4.8968561439035101</v>
      </c>
      <c r="AR88" s="11">
        <f>4919.68291796552/(10^3)</f>
        <v>4.9196829179655195</v>
      </c>
      <c r="AS88" s="11">
        <f>4918.95497384122/(10^3)</f>
        <v>4.9189549738412195</v>
      </c>
      <c r="AT88" s="11">
        <f>4914.85520172302/(10^3)</f>
        <v>4.9148552017230207</v>
      </c>
      <c r="AU88" s="11">
        <v>5.1491591825436007</v>
      </c>
      <c r="AV88" s="11">
        <f>5214.14335268576/(10^3)</f>
        <v>5.2141433526857597</v>
      </c>
      <c r="AW88" s="11">
        <f>5472.72732079847/(10^3)</f>
        <v>5.4727273207984704</v>
      </c>
      <c r="AX88" s="11">
        <f>5604.88071386377/(10^3)</f>
        <v>5.6048807138637704</v>
      </c>
      <c r="AY88" s="11">
        <f>5604.94446127861/(10^3)</f>
        <v>5.6049444612786097</v>
      </c>
      <c r="AZ88" s="11">
        <f>5496.41815826662/(10^3)</f>
        <v>5.4964181582666196</v>
      </c>
      <c r="BA88" s="11">
        <v>5.6373949079179528</v>
      </c>
      <c r="BB88" s="11">
        <f>5760.77290522859/(10^3)</f>
        <v>5.7607729052285901</v>
      </c>
      <c r="BC88" s="11">
        <f>5739.42868759313/(10^3)</f>
        <v>5.7394286875931302</v>
      </c>
      <c r="BD88" s="11">
        <f>5678.58590888545/(10^3)</f>
        <v>5.6785859088854505</v>
      </c>
      <c r="BE88" s="11">
        <f>5885.17694572843/(10^3)</f>
        <v>5.8851769457284302</v>
      </c>
      <c r="BF88" s="11">
        <f>6010.14581889524/(10^3)</f>
        <v>6.0101458188952401</v>
      </c>
      <c r="BG88" s="11">
        <v>6.2302514852578197</v>
      </c>
      <c r="BH88" s="11">
        <f>6453.40888650706/(10^3)</f>
        <v>6.4534088865070602</v>
      </c>
      <c r="BI88" s="11">
        <f>6379.95672339383/(10^3)</f>
        <v>6.3799567233938292</v>
      </c>
      <c r="BJ88" s="11">
        <f>6367.38349658655/(10^3)</f>
        <v>6.3673834965865499</v>
      </c>
      <c r="BK88" s="11">
        <f>6378.84827502489/(10^3)</f>
        <v>6.3788482750248905</v>
      </c>
      <c r="BL88" s="11">
        <f>6677.2651490502/(10^3)</f>
        <v>6.6772651490502</v>
      </c>
      <c r="BM88" s="11">
        <v>6.6114218057316041</v>
      </c>
      <c r="BN88" s="11">
        <f>6622.28258822834/(10^3)</f>
        <v>6.6222825882283392</v>
      </c>
      <c r="BO88" s="11">
        <f>6865.32371317313/(10^3)</f>
        <v>6.8653237131731304</v>
      </c>
      <c r="BP88" s="11">
        <f>7024.29421657527/(10^3)</f>
        <v>7.02429421657527</v>
      </c>
      <c r="BQ88" s="11">
        <f>7075.86199470945/(10^3)</f>
        <v>7.0758619947094505</v>
      </c>
      <c r="BR88" s="11">
        <f>7282.27110776871/(10^3)</f>
        <v>7.2822711077687101</v>
      </c>
      <c r="BS88" s="11">
        <v>7.1633752971667866</v>
      </c>
      <c r="BT88" s="11">
        <f>7306.63677379338/(10^3)</f>
        <v>7.3066367737933797</v>
      </c>
      <c r="BU88" s="11">
        <f>7557.36106983269/(10^3)</f>
        <v>7.5573610698326901</v>
      </c>
      <c r="BV88" s="11">
        <f>7449.53215097372/(10^3)</f>
        <v>7.4495321509737193</v>
      </c>
      <c r="BW88" s="11">
        <f>7568.53728224414/(10^3)</f>
        <v>7.5685372822441401</v>
      </c>
      <c r="BX88" s="11">
        <f>7787.51360534319/(10^3)</f>
        <v>7.7875136053431895</v>
      </c>
      <c r="BY88" s="11">
        <v>7.8222438836445436</v>
      </c>
      <c r="BZ88" s="11">
        <f>7822.24388364454/(10^3)</f>
        <v>7.82224388364454</v>
      </c>
      <c r="CA88" s="11">
        <f>8093.09436656413/(10^3)</f>
        <v>8.0930943665641291</v>
      </c>
      <c r="CB88" s="11">
        <f>8073.17343347902/(10^3)</f>
        <v>8.0731734334790204</v>
      </c>
      <c r="CC88" s="12"/>
      <c r="DD88" s="11"/>
      <c r="DE88" s="11"/>
      <c r="DF88" s="11"/>
    </row>
    <row r="89" spans="4:110" ht="15.6" x14ac:dyDescent="0.25">
      <c r="D89" s="10" t="s">
        <v>63</v>
      </c>
      <c r="E89" s="10" t="s">
        <v>14</v>
      </c>
      <c r="F89" s="10" t="s">
        <v>150</v>
      </c>
      <c r="G89" s="10" t="s">
        <v>182</v>
      </c>
      <c r="H89" s="67" t="str">
        <f t="shared" si="3"/>
        <v>New Orleans (피합병)</v>
      </c>
      <c r="I89" s="11"/>
      <c r="J89" s="11"/>
      <c r="K89" s="11">
        <v>3.09526343668617</v>
      </c>
      <c r="L89" s="11"/>
      <c r="M89" s="11"/>
      <c r="N89" s="11"/>
      <c r="O89" s="11">
        <f>3129.01498469202/(10^3)</f>
        <v>3.1290149846920197</v>
      </c>
      <c r="P89" s="11">
        <f>3211.06658661605/(10^3)</f>
        <v>3.2110665866160497</v>
      </c>
      <c r="Q89" s="11">
        <v>3.1610384278675459</v>
      </c>
      <c r="R89" s="11">
        <f>3317.369748748/(10^3)</f>
        <v>3.3173697487479998</v>
      </c>
      <c r="S89" s="11">
        <f>3412.87040734967/(10^3)</f>
        <v>3.4128704073496703</v>
      </c>
      <c r="T89" s="11">
        <f>3402.06205218566/(10^3)</f>
        <v>3.4020620521856597</v>
      </c>
      <c r="U89" s="11">
        <f>3569.66886922126/(10^3)</f>
        <v>3.5696688692212599</v>
      </c>
      <c r="V89" s="11">
        <f>3592.01517177546/(10^3)</f>
        <v>3.59201517177546</v>
      </c>
      <c r="W89" s="11">
        <v>3.5321517898321417</v>
      </c>
      <c r="X89" s="11">
        <f>3678.89452709454/(10^3)</f>
        <v>3.6788945270945401</v>
      </c>
      <c r="Y89" s="11">
        <f>3626.73898666082/(10^3)</f>
        <v>3.6267389866608202</v>
      </c>
      <c r="Z89" s="11">
        <f>3599.20032875765/(10^3)</f>
        <v>3.5992003287576497</v>
      </c>
      <c r="AA89" s="11">
        <f>3591.63064809528/(10^3)</f>
        <v>3.59163064809528</v>
      </c>
      <c r="AB89" s="11">
        <f>3587.96752077855/(10^3)</f>
        <v>3.58796752077855</v>
      </c>
      <c r="AC89" s="11">
        <v>3.6259581247515831</v>
      </c>
      <c r="AD89" s="11">
        <f>3623.1898931059/(10^3)</f>
        <v>3.6231898931058999</v>
      </c>
      <c r="AE89" s="11">
        <f>3648.03533897468/(10^3)</f>
        <v>3.64803533897468</v>
      </c>
      <c r="AF89" s="11">
        <f>3763.48995266014/(10^3)</f>
        <v>3.76348995266014</v>
      </c>
      <c r="AG89" s="11">
        <f>3737.25448507108/(10^3)</f>
        <v>3.7372544850710803</v>
      </c>
      <c r="AH89" s="11">
        <f>3897.31220607259/(10^3)</f>
        <v>3.89731220607259</v>
      </c>
      <c r="AI89" s="11">
        <v>3.8264775569414606</v>
      </c>
      <c r="AJ89" s="11">
        <f>3811.5493101391/(10^3)</f>
        <v>3.8115493101391</v>
      </c>
      <c r="AK89" s="11">
        <f>3755.14467799315/(10^3)</f>
        <v>3.7551446779931497</v>
      </c>
      <c r="AL89" s="11">
        <f>3734.28803958099/(10^3)</f>
        <v>3.7342880395809899</v>
      </c>
      <c r="AM89" s="11">
        <f>3703.16619386521/(10^3)</f>
        <v>3.7031661938652101</v>
      </c>
      <c r="AN89" s="11">
        <f>3630.29298735939/(10^3)</f>
        <v>3.6302929873593897</v>
      </c>
      <c r="AO89" s="11">
        <v>3.5911928156966231</v>
      </c>
      <c r="AP89" s="11">
        <f>3582.02966183797/(10^3)</f>
        <v>3.5820296618379697</v>
      </c>
      <c r="AQ89" s="11">
        <f>3540.52165536623/(10^3)</f>
        <v>3.5405216553662298</v>
      </c>
      <c r="AR89" s="11">
        <f>3549.4056062593/(10^3)</f>
        <v>3.5494056062592998</v>
      </c>
      <c r="AS89" s="11">
        <f>3603.19309884267/(10^3)</f>
        <v>3.6031930988426701</v>
      </c>
      <c r="AT89" s="11">
        <f>3678.77252683164/(10^3)</f>
        <v>3.67877252683164</v>
      </c>
      <c r="AU89" s="11">
        <v>3.6575369128089261</v>
      </c>
      <c r="AV89" s="11">
        <f>3759.30812715639/(10^3)</f>
        <v>3.7593081271563902</v>
      </c>
      <c r="AW89" s="11">
        <f>3751.82412040988/(10^3)</f>
        <v>3.7518241204098799</v>
      </c>
      <c r="AX89" s="11">
        <f>3871.31981055566/(10^3)</f>
        <v>3.8713198105556597</v>
      </c>
      <c r="AY89" s="11">
        <f>3800.41117618627/(10^3)</f>
        <v>3.80041117618627</v>
      </c>
      <c r="AZ89" s="11">
        <f>3729.69226283811/(10^3)</f>
        <v>3.72969226283811</v>
      </c>
      <c r="BA89" s="11">
        <v>3.758608852946939</v>
      </c>
      <c r="BB89" s="11">
        <f>3691.08121044745/(10^3)</f>
        <v>3.6910812104474497</v>
      </c>
      <c r="BC89" s="11">
        <f>3667.29826917623/(10^3)</f>
        <v>3.6672982691762299</v>
      </c>
      <c r="BD89" s="11">
        <f>3814.84713801991/(10^3)</f>
        <v>3.81484713801991</v>
      </c>
      <c r="BE89" s="11">
        <f>3897.74545210265/(10^3)</f>
        <v>3.89774545210265</v>
      </c>
      <c r="BF89" s="11">
        <f>3865.80652404421/(10^3)</f>
        <v>3.8658065240442103</v>
      </c>
      <c r="BG89" s="11">
        <v>4.0562939565439189</v>
      </c>
      <c r="BH89" s="11">
        <f>3992.32208504592/(10^3)</f>
        <v>3.9923220850459202</v>
      </c>
      <c r="BI89" s="11">
        <f>4088.86277166142/(10^3)</f>
        <v>4.0888627716614199</v>
      </c>
      <c r="BJ89" s="11">
        <f>4157.05238638603/(10^3)</f>
        <v>4.15705238638603</v>
      </c>
      <c r="BK89" s="11">
        <f>4094.96141216293/(10^3)</f>
        <v>4.0949614121629301</v>
      </c>
      <c r="BL89" s="11">
        <f>4072.58034439423/(10^3)</f>
        <v>4.0725803443942299</v>
      </c>
      <c r="BM89" s="11">
        <v>4.1166309402626595</v>
      </c>
      <c r="BN89" s="11">
        <f>4093.2832038099/(10^3)</f>
        <v>4.0932832038099001</v>
      </c>
      <c r="BO89" s="11">
        <f>4026.89129410206/(10^3)</f>
        <v>4.02689129410206</v>
      </c>
      <c r="BP89" s="11">
        <f>4084.19137708927/(10^3)</f>
        <v>4.0841913770892706</v>
      </c>
      <c r="BQ89" s="11">
        <f>4285.4338481999/(10^3)</f>
        <v>4.2854338481998999</v>
      </c>
      <c r="BR89" s="11">
        <f>4318.49952055739/(10^3)</f>
        <v>4.3184995205573893</v>
      </c>
      <c r="BS89" s="11">
        <v>4.5191398298543408</v>
      </c>
      <c r="BT89" s="11">
        <f>4685.79467485342/(10^3)</f>
        <v>4.6857946748534198</v>
      </c>
      <c r="BU89" s="11">
        <f>4868.38707041054/(10^3)</f>
        <v>4.8683870704105399</v>
      </c>
      <c r="BV89" s="11">
        <f>4871.36673377971/(10^3)</f>
        <v>4.87136673377971</v>
      </c>
      <c r="BW89" s="11">
        <f>4863.85207538724/(10^3)</f>
        <v>4.8638520753872401</v>
      </c>
      <c r="BX89" s="11">
        <f>5007.83114308937/(10^3)</f>
        <v>5.0078311430893701</v>
      </c>
      <c r="BY89" s="11">
        <v>5.1765799160123755</v>
      </c>
      <c r="BZ89" s="11">
        <f>5176.57991601238/(10^3)</f>
        <v>5.17657991601238</v>
      </c>
      <c r="CA89" s="11">
        <f>5204.32054264709/(10^3)</f>
        <v>5.20432054264709</v>
      </c>
      <c r="CB89" s="11">
        <f>5260.5039118843/(10^3)</f>
        <v>5.2605039118842996</v>
      </c>
      <c r="CC89" s="12"/>
      <c r="DD89" s="11"/>
      <c r="DE89" s="11"/>
      <c r="DF89" s="11"/>
    </row>
    <row r="90" spans="4:110" ht="15.6" x14ac:dyDescent="0.25">
      <c r="D90" s="10" t="s">
        <v>65</v>
      </c>
      <c r="E90" s="10" t="s">
        <v>64</v>
      </c>
      <c r="F90" s="10" t="s">
        <v>150</v>
      </c>
      <c r="G90" s="10" t="s">
        <v>182</v>
      </c>
      <c r="H90" s="67" t="str">
        <f t="shared" si="3"/>
        <v>Oklahoma City (피합병)</v>
      </c>
      <c r="I90" s="11">
        <f>10700.0367321067/(10^3)</f>
        <v>10.700036732106701</v>
      </c>
      <c r="J90" s="11">
        <f>11139.5347336821/(10^3)</f>
        <v>11.139534733682099</v>
      </c>
      <c r="K90" s="11">
        <v>11.674031413158438</v>
      </c>
      <c r="L90" s="11">
        <f>11883.1514390068/(10^3)</f>
        <v>11.8831514390068</v>
      </c>
      <c r="M90" s="11">
        <f>12282.1119746874/(10^3)</f>
        <v>12.2821119746874</v>
      </c>
      <c r="N90" s="11">
        <f>12636.3437317278/(10^3)</f>
        <v>12.6363437317278</v>
      </c>
      <c r="O90" s="11">
        <f>12718.2146549008/(10^3)</f>
        <v>12.7182146549008</v>
      </c>
      <c r="P90" s="11">
        <f>12532.4435044797/(10^3)</f>
        <v>12.5324435044797</v>
      </c>
      <c r="Q90" s="11">
        <v>12.982484316506028</v>
      </c>
      <c r="R90" s="11">
        <f>12986.3072963049/(10^3)</f>
        <v>12.986307296304901</v>
      </c>
      <c r="S90" s="11">
        <f>13547.2437130766/(10^3)</f>
        <v>13.547243713076599</v>
      </c>
      <c r="T90" s="11">
        <f>13334.9551179712/(10^3)</f>
        <v>13.3349551179712</v>
      </c>
      <c r="U90" s="11">
        <f>13262.8695351078/(10^3)</f>
        <v>13.2628695351078</v>
      </c>
      <c r="V90" s="11">
        <f>13240.3812688222/(10^3)</f>
        <v>13.240381268822201</v>
      </c>
      <c r="W90" s="11">
        <v>13.150473930592653</v>
      </c>
      <c r="X90" s="11">
        <f>13142.6991717374/(10^3)</f>
        <v>13.1426991717374</v>
      </c>
      <c r="Y90" s="11">
        <f>12941.0622414889/(10^3)</f>
        <v>12.9410622414889</v>
      </c>
      <c r="Z90" s="11">
        <f>13386.9096052066/(10^3)</f>
        <v>13.386909605206601</v>
      </c>
      <c r="AA90" s="11">
        <f>14031.9336438831/(10^3)</f>
        <v>14.0319336438831</v>
      </c>
      <c r="AB90" s="11">
        <f>13852.3946795136/(10^3)</f>
        <v>13.852394679513599</v>
      </c>
      <c r="AC90" s="11">
        <v>13.651634780812385</v>
      </c>
      <c r="AD90" s="11">
        <f>13433.2984358916/(10^3)</f>
        <v>13.433298435891601</v>
      </c>
      <c r="AE90" s="11">
        <f>13877.2156343867/(10^3)</f>
        <v>13.877215634386699</v>
      </c>
      <c r="AF90" s="11">
        <f>13661.2284177018/(10^3)</f>
        <v>13.6612284177018</v>
      </c>
      <c r="AG90" s="11">
        <f>13732.3272558571/(10^3)</f>
        <v>13.732327255857101</v>
      </c>
      <c r="AH90" s="11">
        <f>13622.9241136633/(10^3)</f>
        <v>13.6229241136633</v>
      </c>
      <c r="AI90" s="11">
        <v>13.58644400955461</v>
      </c>
      <c r="AJ90" s="11">
        <f>14199.4392566327/(10^3)</f>
        <v>14.199439256632701</v>
      </c>
      <c r="AK90" s="11">
        <f>14137.6520073972/(10^3)</f>
        <v>14.1376520073972</v>
      </c>
      <c r="AL90" s="11">
        <f>14360.8588827403/(10^3)</f>
        <v>14.360858882740301</v>
      </c>
      <c r="AM90" s="11">
        <f>14087.2439221503/(10^3)</f>
        <v>14.087243922150298</v>
      </c>
      <c r="AN90" s="11">
        <f>13962.4712933734/(10^3)</f>
        <v>13.962471293373401</v>
      </c>
      <c r="AO90" s="11">
        <v>13.752549015562064</v>
      </c>
      <c r="AP90" s="11">
        <f>13961.0926040331/(10^3)</f>
        <v>13.9610926040331</v>
      </c>
      <c r="AQ90" s="11">
        <f>13858.8089193377/(10^3)</f>
        <v>13.858808919337701</v>
      </c>
      <c r="AR90" s="11">
        <f>13797.0435492301/(10^3)</f>
        <v>13.7970435492301</v>
      </c>
      <c r="AS90" s="11">
        <f>13899.1438361698/(10^3)</f>
        <v>13.899143836169801</v>
      </c>
      <c r="AT90" s="11">
        <f>13925.3973254826/(10^3)</f>
        <v>13.925397325482599</v>
      </c>
      <c r="AU90" s="11">
        <v>13.930468798153814</v>
      </c>
      <c r="AV90" s="11">
        <f>13794.7781921198/(10^3)</f>
        <v>13.7947781921198</v>
      </c>
      <c r="AW90" s="11">
        <f>13575.2034064181/(10^3)</f>
        <v>13.575203406418101</v>
      </c>
      <c r="AX90" s="11">
        <f>13559.6552213792/(10^3)</f>
        <v>13.559655221379201</v>
      </c>
      <c r="AY90" s="11">
        <f>13290.8919919695/(10^3)</f>
        <v>13.290891991969501</v>
      </c>
      <c r="AZ90" s="11">
        <f>13195.3723635271/(10^3)</f>
        <v>13.195372363527101</v>
      </c>
      <c r="BA90" s="11">
        <v>13.214700210716105</v>
      </c>
      <c r="BB90" s="11">
        <f>13441.9322163689/(10^3)</f>
        <v>13.441932216368899</v>
      </c>
      <c r="BC90" s="11">
        <f>13542.8338129434/(10^3)</f>
        <v>13.5428338129434</v>
      </c>
      <c r="BD90" s="11">
        <f>13607.0239414511/(10^3)</f>
        <v>13.6070239414511</v>
      </c>
      <c r="BE90" s="11">
        <f>13390.7544575893/(10^3)</f>
        <v>13.390754457589301</v>
      </c>
      <c r="BF90" s="11">
        <f>13720.8341614655/(10^3)</f>
        <v>13.720834161465501</v>
      </c>
      <c r="BG90" s="11">
        <v>14.188689240213748</v>
      </c>
      <c r="BH90" s="11">
        <f>14176.9953562718/(10^3)</f>
        <v>14.176995356271799</v>
      </c>
      <c r="BI90" s="11">
        <f>14217.3590506146/(10^3)</f>
        <v>14.217359050614599</v>
      </c>
      <c r="BJ90" s="11">
        <f>14262.3766292611/(10^3)</f>
        <v>14.2623766292611</v>
      </c>
      <c r="BK90" s="11">
        <f>14578.9234043834/(10^3)</f>
        <v>14.578923404383401</v>
      </c>
      <c r="BL90" s="11">
        <f>15081.0998923873/(10^3)</f>
        <v>15.0810998923873</v>
      </c>
      <c r="BM90" s="11">
        <v>14.819935240307087</v>
      </c>
      <c r="BN90" s="11">
        <f>15507.3035747501/(10^3)</f>
        <v>15.5073035747501</v>
      </c>
      <c r="BO90" s="11">
        <f>16059.1235998018/(10^3)</f>
        <v>16.059123599801801</v>
      </c>
      <c r="BP90" s="11">
        <f>16125.7149416829/(10^3)</f>
        <v>16.125714941682901</v>
      </c>
      <c r="BQ90" s="11">
        <f>16610.2435636094/(10^3)</f>
        <v>16.610243563609401</v>
      </c>
      <c r="BR90" s="11">
        <f>16955.4565089324/(10^3)</f>
        <v>16.9554565089324</v>
      </c>
      <c r="BS90" s="11">
        <v>17.609954266870037</v>
      </c>
      <c r="BT90" s="11">
        <f>17696.2447537213/(10^3)</f>
        <v>17.696244753721302</v>
      </c>
      <c r="BU90" s="11">
        <f>17362.9778642203/(10^3)</f>
        <v>17.362977864220298</v>
      </c>
      <c r="BV90" s="11">
        <f>17220.8437942379/(10^3)</f>
        <v>17.220843794237897</v>
      </c>
      <c r="BW90" s="11">
        <f>17977.0048068133/(10^3)</f>
        <v>17.977004806813301</v>
      </c>
      <c r="BX90" s="11">
        <f>17659.8371190015/(10^3)</f>
        <v>17.659837119001498</v>
      </c>
      <c r="BY90" s="11">
        <v>17.779376779303096</v>
      </c>
      <c r="BZ90" s="11">
        <f>17779.3767793031/(10^3)</f>
        <v>17.779376779303099</v>
      </c>
      <c r="CA90" s="11">
        <f>18198.6012141417/(10^3)</f>
        <v>18.1986012141417</v>
      </c>
      <c r="CB90" s="11">
        <f>18244.7480243743/(10^3)</f>
        <v>18.244748024374299</v>
      </c>
      <c r="CC90" s="12"/>
      <c r="DD90" s="11"/>
      <c r="DE90" s="11"/>
      <c r="DF90" s="11"/>
    </row>
    <row r="91" spans="4:110" ht="15.6" x14ac:dyDescent="0.25">
      <c r="D91" s="10" t="s">
        <v>66</v>
      </c>
      <c r="E91" s="10" t="s">
        <v>41</v>
      </c>
      <c r="F91" s="10" t="s">
        <v>149</v>
      </c>
      <c r="G91" s="10" t="s">
        <v>182</v>
      </c>
      <c r="H91" s="67" t="str">
        <f t="shared" si="3"/>
        <v>Omaha (피합병)</v>
      </c>
      <c r="I91" s="11">
        <f>8324.36430211968/(10^3)</f>
        <v>8.3243643021196796</v>
      </c>
      <c r="J91" s="11">
        <f>8236.86919598423/(10^3)</f>
        <v>8.2368691959842302</v>
      </c>
      <c r="K91" s="11">
        <v>8.6251536948785184</v>
      </c>
      <c r="L91" s="11">
        <f>8848.66361986284/(10^3)</f>
        <v>8.8486636198628403</v>
      </c>
      <c r="M91" s="11">
        <f>8999.72496854869/(10^3)</f>
        <v>8.9997249685486889</v>
      </c>
      <c r="N91" s="11">
        <f>9130.25651913729/(10^3)</f>
        <v>9.1302565191372906</v>
      </c>
      <c r="O91" s="11">
        <f>9462.86819643079/(10^3)</f>
        <v>9.4628681964307901</v>
      </c>
      <c r="P91" s="11">
        <f>9785.49141205523/(10^3)</f>
        <v>9.7854914120552294</v>
      </c>
      <c r="Q91" s="11">
        <v>9.8217064555397755</v>
      </c>
      <c r="R91" s="11">
        <f>10240.8504439219/(10^3)</f>
        <v>10.2408504439219</v>
      </c>
      <c r="S91" s="11">
        <f>10175.8509322949/(10^3)</f>
        <v>10.1758509322949</v>
      </c>
      <c r="T91" s="11">
        <f>10112.886587637/(10^3)</f>
        <v>10.112886587637</v>
      </c>
      <c r="U91" s="11">
        <f>9912.93699376745/(10^3)</f>
        <v>9.912936993767449</v>
      </c>
      <c r="V91" s="11">
        <f>10064.9616643781/(10^3)</f>
        <v>10.064961664378099</v>
      </c>
      <c r="W91" s="11">
        <v>10.380578951956293</v>
      </c>
      <c r="X91" s="11">
        <f>10246.6202609759/(10^3)</f>
        <v>10.246620260975901</v>
      </c>
      <c r="Y91" s="11">
        <f>10486.5779398128/(10^3)</f>
        <v>10.486577939812801</v>
      </c>
      <c r="Z91" s="11">
        <f>10533.7005547959/(10^3)</f>
        <v>10.5337005547959</v>
      </c>
      <c r="AA91" s="11">
        <f>10495.8880317522/(10^3)</f>
        <v>10.4958880317522</v>
      </c>
      <c r="AB91" s="11">
        <f>10308.0419977662/(10^3)</f>
        <v>10.3080419977662</v>
      </c>
      <c r="AC91" s="11">
        <v>10.336478122990497</v>
      </c>
      <c r="AD91" s="11">
        <f>10156.304615994/(10^3)</f>
        <v>10.156304615994001</v>
      </c>
      <c r="AE91" s="11">
        <f>10147.6529382544/(10^3)</f>
        <v>10.147652938254399</v>
      </c>
      <c r="AF91" s="11">
        <f>10015.8827920556/(10^3)</f>
        <v>10.015882792055599</v>
      </c>
      <c r="AG91" s="11">
        <f>9909.29271128824/(10^3)</f>
        <v>9.9092927112882414</v>
      </c>
      <c r="AH91" s="11">
        <f>9860.28487907833/(10^3)</f>
        <v>9.8602848790783302</v>
      </c>
      <c r="AI91" s="11">
        <v>9.7021530148219881</v>
      </c>
      <c r="AJ91" s="11">
        <f>9900.2628995847/(10^3)</f>
        <v>9.9002628995847015</v>
      </c>
      <c r="AK91" s="11">
        <f>9725.86473733096/(10^3)</f>
        <v>9.7258647373309604</v>
      </c>
      <c r="AL91" s="11">
        <f>9850.57238510949/(10^3)</f>
        <v>9.8505723851094906</v>
      </c>
      <c r="AM91" s="11">
        <f>9891.98014472213/(10^3)</f>
        <v>9.8919801447221314</v>
      </c>
      <c r="AN91" s="11">
        <f>9733.54570721135/(10^3)</f>
        <v>9.7335457072113503</v>
      </c>
      <c r="AO91" s="11">
        <v>9.5697749964210974</v>
      </c>
      <c r="AP91" s="11">
        <f>9471.10496051838/(10^3)</f>
        <v>9.4711049605183799</v>
      </c>
      <c r="AQ91" s="11">
        <f>9329.6142056529/(10^3)</f>
        <v>9.3296142056529003</v>
      </c>
      <c r="AR91" s="11">
        <f>9352.6946662435/(10^3)</f>
        <v>9.3526946662435009</v>
      </c>
      <c r="AS91" s="11">
        <f>9242.9408633612/(10^3)</f>
        <v>9.2429408633612002</v>
      </c>
      <c r="AT91" s="11">
        <f>9531.17876994431/(10^3)</f>
        <v>9.5311787699443098</v>
      </c>
      <c r="AU91" s="11">
        <v>9.3509007362994616</v>
      </c>
      <c r="AV91" s="11">
        <f>9772.59416890491/(10^3)</f>
        <v>9.7725941689049112</v>
      </c>
      <c r="AW91" s="11">
        <f>9649.12995499727/(10^3)</f>
        <v>9.6491299549972709</v>
      </c>
      <c r="AX91" s="11">
        <f>9572.65654539379/(10^3)</f>
        <v>9.5726565453937891</v>
      </c>
      <c r="AY91" s="11">
        <f>9953.56553134002/(10^3)</f>
        <v>9.9535655313400202</v>
      </c>
      <c r="AZ91" s="11">
        <f>9788.41192135289/(10^3)</f>
        <v>9.7884119213528908</v>
      </c>
      <c r="BA91" s="11">
        <v>9.8736403901416061</v>
      </c>
      <c r="BB91" s="11">
        <f>10099.4235110226/(10^3)</f>
        <v>10.0994235110226</v>
      </c>
      <c r="BC91" s="11">
        <f>10082.9513203694/(10^3)</f>
        <v>10.0829513203694</v>
      </c>
      <c r="BD91" s="11">
        <f>10357.0206668432/(10^3)</f>
        <v>10.3570206668432</v>
      </c>
      <c r="BE91" s="11">
        <f>10200.2109703705/(10^3)</f>
        <v>10.200210970370499</v>
      </c>
      <c r="BF91" s="11">
        <f>10010.7819108282/(10^3)</f>
        <v>10.0107819108282</v>
      </c>
      <c r="BG91" s="11">
        <v>10.021885314682754</v>
      </c>
      <c r="BH91" s="11">
        <f>10169.0598682862/(10^3)</f>
        <v>10.169059868286199</v>
      </c>
      <c r="BI91" s="11">
        <f>10318.7259799957/(10^3)</f>
        <v>10.318725979995699</v>
      </c>
      <c r="BJ91" s="11">
        <f>10221.8842608741/(10^3)</f>
        <v>10.2218842608741</v>
      </c>
      <c r="BK91" s="11">
        <f>10416.0510641964/(10^3)</f>
        <v>10.416051064196399</v>
      </c>
      <c r="BL91" s="11">
        <f>10649.8197790862/(10^3)</f>
        <v>10.649819779086199</v>
      </c>
      <c r="BM91" s="11">
        <v>11.025372058633984</v>
      </c>
      <c r="BN91" s="11">
        <f>10836.3878964636/(10^3)</f>
        <v>10.8363878964636</v>
      </c>
      <c r="BO91" s="11">
        <f>11311.3304926612/(10^3)</f>
        <v>11.311330492661201</v>
      </c>
      <c r="BP91" s="11">
        <f>11377.1734085647/(10^3)</f>
        <v>11.377173408564701</v>
      </c>
      <c r="BQ91" s="11">
        <f>11920.6027700181/(10^3)</f>
        <v>11.9206027700181</v>
      </c>
      <c r="BR91" s="11">
        <f>12187.393120022/(10^3)</f>
        <v>12.187393120022</v>
      </c>
      <c r="BS91" s="11">
        <v>12.592926457026687</v>
      </c>
      <c r="BT91" s="11">
        <f>13006.7222041546/(10^3)</f>
        <v>13.006722204154599</v>
      </c>
      <c r="BU91" s="11">
        <f>13328.3568843865/(10^3)</f>
        <v>13.328356884386499</v>
      </c>
      <c r="BV91" s="11">
        <f>13516.007723903/(10^3)</f>
        <v>13.516007723903</v>
      </c>
      <c r="BW91" s="11">
        <f>13780.4772629383/(10^3)</f>
        <v>13.7804772629383</v>
      </c>
      <c r="BX91" s="11">
        <f>13879.2171926224/(10^3)</f>
        <v>13.8792171926224</v>
      </c>
      <c r="BY91" s="11">
        <v>14.228897124800222</v>
      </c>
      <c r="BZ91" s="11">
        <f>14228.8971248002/(10^3)</f>
        <v>14.2288971248002</v>
      </c>
      <c r="CA91" s="11">
        <f>14398.7254782117/(10^3)</f>
        <v>14.3987254782117</v>
      </c>
      <c r="CB91" s="11">
        <f>14753.1265457582/(10^3)</f>
        <v>14.753126545758199</v>
      </c>
      <c r="CC91" s="12"/>
      <c r="DD91" s="11"/>
      <c r="DE91" s="11"/>
      <c r="DF91" s="11"/>
    </row>
    <row r="92" spans="4:110" ht="15.6" x14ac:dyDescent="0.25">
      <c r="D92" s="10" t="s">
        <v>68</v>
      </c>
      <c r="E92" s="10" t="s">
        <v>67</v>
      </c>
      <c r="F92" s="10" t="s">
        <v>149</v>
      </c>
      <c r="G92" s="10" t="s">
        <v>182</v>
      </c>
      <c r="H92" s="67" t="str">
        <f t="shared" si="3"/>
        <v>Pierre (피합병)</v>
      </c>
      <c r="I92" s="11">
        <f>45990.4614894231/(10^3)</f>
        <v>45.990461489423097</v>
      </c>
      <c r="J92" s="11">
        <f>47787.9377525666/(10^3)</f>
        <v>47.787937752566599</v>
      </c>
      <c r="K92" s="11">
        <v>48.757753527423297</v>
      </c>
      <c r="L92" s="11">
        <f>50108.3053678092/(10^3)</f>
        <v>50.108305367809194</v>
      </c>
      <c r="M92" s="11">
        <f>49553.6200669817/(10^3)</f>
        <v>49.553620066981701</v>
      </c>
      <c r="N92" s="11">
        <f>51151.1833984268/(10^3)</f>
        <v>51.151183398426802</v>
      </c>
      <c r="O92" s="11">
        <f>50834.7030698089/(10^3)</f>
        <v>50.834703069808903</v>
      </c>
      <c r="P92" s="11">
        <f>51283.3075184373/(10^3)</f>
        <v>51.283307518437304</v>
      </c>
      <c r="Q92" s="11">
        <v>50.912233069724401</v>
      </c>
      <c r="R92" s="11">
        <f>50082.5506212859/(10^3)</f>
        <v>50.082550621285904</v>
      </c>
      <c r="S92" s="11">
        <f>51719.0406640271/(10^3)</f>
        <v>51.719040664027105</v>
      </c>
      <c r="T92" s="11">
        <f>53549.0738201097/(10^3)</f>
        <v>53.549073820109697</v>
      </c>
      <c r="U92" s="11">
        <f>53341.7881784128/(10^3)</f>
        <v>53.341788178412799</v>
      </c>
      <c r="V92" s="11">
        <f>52478.6571774872/(10^3)</f>
        <v>52.4786571774872</v>
      </c>
      <c r="W92" s="11">
        <v>51.774206833413771</v>
      </c>
      <c r="X92" s="11">
        <f>50860.6059046004/(10^3)</f>
        <v>50.860605904600398</v>
      </c>
      <c r="Y92" s="11">
        <f>52663.358713957/(10^3)</f>
        <v>52.663358713957003</v>
      </c>
      <c r="Z92" s="11">
        <f>52370.1262546679/(10^3)</f>
        <v>52.370126254667902</v>
      </c>
      <c r="AA92" s="11">
        <f>54374.2450005561/(10^3)</f>
        <v>54.374245000556094</v>
      </c>
      <c r="AB92" s="11">
        <f>53581.9974805242/(10^3)</f>
        <v>53.581997480524201</v>
      </c>
      <c r="AC92" s="11">
        <v>53.869807709883929</v>
      </c>
      <c r="AD92" s="11">
        <f>56378.882237834/(10^3)</f>
        <v>56.378882237833999</v>
      </c>
      <c r="AE92" s="11">
        <f>57304.8888287778/(10^3)</f>
        <v>57.304888828777806</v>
      </c>
      <c r="AF92" s="11">
        <f>57214.0917158949/(10^3)</f>
        <v>57.214091715894902</v>
      </c>
      <c r="AG92" s="11">
        <f>56125.2831184771/(10^3)</f>
        <v>56.1252831184771</v>
      </c>
      <c r="AH92" s="11">
        <f>56057.6479381102/(10^3)</f>
        <v>56.0576479381102</v>
      </c>
      <c r="AI92" s="11">
        <v>55.755825142327183</v>
      </c>
      <c r="AJ92" s="11">
        <f>55663.9308503211/(10^3)</f>
        <v>55.663930850321101</v>
      </c>
      <c r="AK92" s="11">
        <f>56877.3029951879/(10^3)</f>
        <v>56.877302995187897</v>
      </c>
      <c r="AL92" s="11">
        <f>56634.8530965194/(10^3)</f>
        <v>56.6348530965194</v>
      </c>
      <c r="AM92" s="11">
        <f>55830.3096513797/(10^3)</f>
        <v>55.8303096513797</v>
      </c>
      <c r="AN92" s="11">
        <f>55696.1770975212/(10^3)</f>
        <v>55.6961770975212</v>
      </c>
      <c r="AO92" s="11">
        <v>56.796786072845876</v>
      </c>
      <c r="AP92" s="11">
        <f>58987.0139493613/(10^3)</f>
        <v>58.987013949361305</v>
      </c>
      <c r="AQ92" s="11">
        <f>58205.2944479177/(10^3)</f>
        <v>58.205294447917701</v>
      </c>
      <c r="AR92" s="11">
        <f>57118.3265887517/(10^3)</f>
        <v>57.1183265887517</v>
      </c>
      <c r="AS92" s="11">
        <f>57478.2583967527/(10^3)</f>
        <v>57.4782583967527</v>
      </c>
      <c r="AT92" s="11">
        <f>56900.7487045345/(10^3)</f>
        <v>56.9007487045345</v>
      </c>
      <c r="AU92" s="11">
        <v>56.771390508765343</v>
      </c>
      <c r="AV92" s="11">
        <f>57922.8895482065/(10^3)</f>
        <v>57.922889548206498</v>
      </c>
      <c r="AW92" s="11">
        <f>58842.3126972331/(10^3)</f>
        <v>58.842312697233098</v>
      </c>
      <c r="AX92" s="11">
        <f>60903.5659970642/(10^3)</f>
        <v>60.903565997064199</v>
      </c>
      <c r="AY92" s="11">
        <f>60001.6197929946/(10^3)</f>
        <v>60.001619792994596</v>
      </c>
      <c r="AZ92" s="11">
        <f>58954.0029609675/(10^3)</f>
        <v>58.954002960967493</v>
      </c>
      <c r="BA92" s="11">
        <v>59.859053409471073</v>
      </c>
      <c r="BB92" s="11">
        <f>59519.8675353698/(10^3)</f>
        <v>59.519867535369798</v>
      </c>
      <c r="BC92" s="11">
        <f>58516.5083645728/(10^3)</f>
        <v>58.5165083645728</v>
      </c>
      <c r="BD92" s="11">
        <f>58801.6382863179/(10^3)</f>
        <v>58.801638286317903</v>
      </c>
      <c r="BE92" s="11">
        <f>60355.6293406137/(10^3)</f>
        <v>60.355629340613696</v>
      </c>
      <c r="BF92" s="11">
        <f>61287.5163297423/(10^3)</f>
        <v>61.287516329742296</v>
      </c>
      <c r="BG92" s="11">
        <v>62.161796313645368</v>
      </c>
      <c r="BH92" s="11">
        <f>61241.7298013528/(10^3)</f>
        <v>61.241729801352797</v>
      </c>
      <c r="BI92" s="11">
        <f>60593.8189654945/(10^3)</f>
        <v>60.593818965494499</v>
      </c>
      <c r="BJ92" s="11">
        <f>59841.8676425643/(10^3)</f>
        <v>59.841867642564296</v>
      </c>
      <c r="BK92" s="11">
        <f>62104.8780093822/(10^3)</f>
        <v>62.104878009382197</v>
      </c>
      <c r="BL92" s="11">
        <f>61630.9303636676/(10^3)</f>
        <v>61.630930363667595</v>
      </c>
      <c r="BM92" s="11">
        <v>63.982491228917866</v>
      </c>
      <c r="BN92" s="11">
        <f>63993.8623474649/(10^3)</f>
        <v>63.993862347464898</v>
      </c>
      <c r="BO92" s="11">
        <f>64187.8153874913/(10^3)</f>
        <v>64.187815387491298</v>
      </c>
      <c r="BP92" s="11">
        <f>67240.0348433884/(10^3)</f>
        <v>67.240034843388401</v>
      </c>
      <c r="BQ92" s="11">
        <f>66046.8363952506/(10^3)</f>
        <v>66.046836395250608</v>
      </c>
      <c r="BR92" s="11">
        <f>64928.2333846798/(10^3)</f>
        <v>64.9282333846798</v>
      </c>
      <c r="BS92" s="11">
        <v>67.981004445694353</v>
      </c>
      <c r="BT92" s="11">
        <f>67440.4098637659/(10^3)</f>
        <v>67.440409863765908</v>
      </c>
      <c r="BU92" s="11">
        <f>68405.9335276821/(10^3)</f>
        <v>68.405933527682095</v>
      </c>
      <c r="BV92" s="11">
        <f>67161.266680906/(10^3)</f>
        <v>67.161266680905996</v>
      </c>
      <c r="BW92" s="11">
        <f>67313.4002736341/(10^3)</f>
        <v>67.313400273634102</v>
      </c>
      <c r="BX92" s="11">
        <f>67380.5005006226/(10^3)</f>
        <v>67.380500500622603</v>
      </c>
      <c r="BY92" s="11">
        <v>69.817102426572859</v>
      </c>
      <c r="BZ92" s="11">
        <f>69817.1024265729/(10^3)</f>
        <v>69.817102426572902</v>
      </c>
      <c r="CA92" s="11">
        <f>70906.0990522833/(10^3)</f>
        <v>70.906099052283295</v>
      </c>
      <c r="CB92" s="11">
        <f>74276.1481353842/(10^3)</f>
        <v>74.27614813538419</v>
      </c>
      <c r="CC92" s="12"/>
      <c r="DD92" s="11"/>
      <c r="DE92" s="11"/>
      <c r="DF92" s="11"/>
    </row>
    <row r="93" spans="4:110" ht="15.6" x14ac:dyDescent="0.25">
      <c r="D93" s="10" t="s">
        <v>69</v>
      </c>
      <c r="E93" s="10" t="s">
        <v>59</v>
      </c>
      <c r="F93" s="10" t="s">
        <v>149</v>
      </c>
      <c r="G93" s="10" t="s">
        <v>182</v>
      </c>
      <c r="H93" s="67" t="str">
        <f t="shared" si="3"/>
        <v>Saint Paul (피합병)</v>
      </c>
      <c r="I93" s="11">
        <f>64885.6866759937/(10^3)</f>
        <v>64.885686675993696</v>
      </c>
      <c r="J93" s="11">
        <f>67508.2438860011/(10^3)</f>
        <v>67.508243886001097</v>
      </c>
      <c r="K93" s="11">
        <v>66.479793655838378</v>
      </c>
      <c r="L93" s="11">
        <f>69520.7080471518/(10^3)</f>
        <v>69.5207080471518</v>
      </c>
      <c r="M93" s="11">
        <f>70716.0730873398/(10^3)</f>
        <v>70.716073087339794</v>
      </c>
      <c r="N93" s="11">
        <f>72615.6057365175/(10^3)</f>
        <v>72.615605736517495</v>
      </c>
      <c r="O93" s="11">
        <f>74369.6191026167/(10^3)</f>
        <v>74.36961910261671</v>
      </c>
      <c r="P93" s="11">
        <f>77158.2348172207/(10^3)</f>
        <v>77.158234817220702</v>
      </c>
      <c r="Q93" s="11">
        <v>77.016263021508109</v>
      </c>
      <c r="R93" s="11">
        <f>77745.6744447164/(10^3)</f>
        <v>77.7456744447164</v>
      </c>
      <c r="S93" s="11">
        <f>80414.8505686428/(10^3)</f>
        <v>80.414850568642791</v>
      </c>
      <c r="T93" s="11">
        <f>79878.56333686/(10^3)</f>
        <v>79.878563336859997</v>
      </c>
      <c r="U93" s="11">
        <f>79688.5323284999/(10^3)</f>
        <v>79.688532328499903</v>
      </c>
      <c r="V93" s="11">
        <f>83273.6411625181/(10^3)</f>
        <v>83.273641162518103</v>
      </c>
      <c r="W93" s="11">
        <v>84.749239000544407</v>
      </c>
      <c r="X93" s="11">
        <f>84458.1549869155/(10^3)</f>
        <v>84.458154986915503</v>
      </c>
      <c r="Y93" s="11">
        <f>85047.2794938904/(10^3)</f>
        <v>85.0472794938904</v>
      </c>
      <c r="Z93" s="11">
        <f>88011.1718552629/(10^3)</f>
        <v>88.011171855262901</v>
      </c>
      <c r="AA93" s="11">
        <f>89325.8215040037/(10^3)</f>
        <v>89.325821504003699</v>
      </c>
      <c r="AB93" s="11">
        <f>88295.2092173722/(10^3)</f>
        <v>88.295209217372204</v>
      </c>
      <c r="AC93" s="11">
        <v>91.785278183301926</v>
      </c>
      <c r="AD93" s="11">
        <f>90913.2635949574/(10^3)</f>
        <v>90.9132635949574</v>
      </c>
      <c r="AE93" s="11">
        <f>93861.5514875002/(10^3)</f>
        <v>93.861551487500194</v>
      </c>
      <c r="AF93" s="11">
        <f>96022.0988071697/(10^3)</f>
        <v>96.022098807169712</v>
      </c>
      <c r="AG93" s="11">
        <f>94948.2573442388/(10^3)</f>
        <v>94.948257344238797</v>
      </c>
      <c r="AH93" s="11">
        <f>94404.8870383917/(10^3)</f>
        <v>94.404887038391692</v>
      </c>
      <c r="AI93" s="11">
        <v>96.602551076766545</v>
      </c>
      <c r="AJ93" s="11">
        <f>95131.8116038996/(10^3)</f>
        <v>95.131811603899592</v>
      </c>
      <c r="AK93" s="11">
        <f>94467.4145386445/(10^3)</f>
        <v>94.467414538644505</v>
      </c>
      <c r="AL93" s="11">
        <f>92966.8780455443/(10^3)</f>
        <v>92.966878045544306</v>
      </c>
      <c r="AM93" s="11">
        <f>91987.8608646304/(10^3)</f>
        <v>91.987860864630406</v>
      </c>
      <c r="AN93" s="11">
        <f>91144.1611133924/(10^3)</f>
        <v>91.1441611133924</v>
      </c>
      <c r="AO93" s="11">
        <v>90.289724483852524</v>
      </c>
      <c r="AP93" s="11">
        <f>89443.2801406699/(10^3)</f>
        <v>89.443280140669899</v>
      </c>
      <c r="AQ93" s="11">
        <f>89721.9648599266/(10^3)</f>
        <v>89.721964859926587</v>
      </c>
      <c r="AR93" s="11">
        <f>90502.1279402978/(10^3)</f>
        <v>90.502127940297797</v>
      </c>
      <c r="AS93" s="11">
        <f>89554.6243202958/(10^3)</f>
        <v>89.554624320295801</v>
      </c>
      <c r="AT93" s="11">
        <f>88966.9668382262/(10^3)</f>
        <v>88.966966838226199</v>
      </c>
      <c r="AU93" s="11">
        <v>89.328244189058211</v>
      </c>
      <c r="AV93" s="11">
        <f>88627.6021619808/(10^3)</f>
        <v>88.627602161980803</v>
      </c>
      <c r="AW93" s="11">
        <f>90725.3251907378/(10^3)</f>
        <v>90.725325190737806</v>
      </c>
      <c r="AX93" s="11">
        <f>89180.0539496997/(10^3)</f>
        <v>89.180053949699698</v>
      </c>
      <c r="AY93" s="11">
        <f>91007.9898002521/(10^3)</f>
        <v>91.007989800252091</v>
      </c>
      <c r="AZ93" s="11">
        <f>89987.8670291785/(10^3)</f>
        <v>89.987867029178489</v>
      </c>
      <c r="BA93" s="11">
        <v>88.416790004532288</v>
      </c>
      <c r="BB93" s="11">
        <f>89423.5873358789/(10^3)</f>
        <v>89.423587335878892</v>
      </c>
      <c r="BC93" s="11">
        <f>91572.5436971603/(10^3)</f>
        <v>91.572543697160299</v>
      </c>
      <c r="BD93" s="11">
        <f>94148.8371026108/(10^3)</f>
        <v>94.148837102610813</v>
      </c>
      <c r="BE93" s="11">
        <f>93562.8450051693/(10^3)</f>
        <v>93.562845005169308</v>
      </c>
      <c r="BF93" s="11">
        <f>91742.9745087387/(10^3)</f>
        <v>91.742974508738698</v>
      </c>
      <c r="BG93" s="11">
        <v>90.978809602064615</v>
      </c>
      <c r="BH93" s="11">
        <f>95251.8180591058/(10^3)</f>
        <v>95.251818059105801</v>
      </c>
      <c r="BI93" s="11">
        <f>93597.2355148566/(10^3)</f>
        <v>93.597235514856592</v>
      </c>
      <c r="BJ93" s="11">
        <f>92306.7457862215/(10^3)</f>
        <v>92.306745786221498</v>
      </c>
      <c r="BK93" s="11">
        <f>94378.065403119/(10^3)</f>
        <v>94.37806540311901</v>
      </c>
      <c r="BL93" s="11">
        <f>92896.4463838048/(10^3)</f>
        <v>92.8964463838048</v>
      </c>
      <c r="BM93" s="11">
        <v>93.762049293041457</v>
      </c>
      <c r="BN93" s="11">
        <f>92551.0809656245/(10^3)</f>
        <v>92.551080965624493</v>
      </c>
      <c r="BO93" s="11">
        <f>95577.0447704221/(10^3)</f>
        <v>95.577044770422106</v>
      </c>
      <c r="BP93" s="11">
        <f>94920.4442859288/(10^3)</f>
        <v>94.920444285928795</v>
      </c>
      <c r="BQ93" s="11">
        <f>95394.6064898734/(10^3)</f>
        <v>95.394606489873411</v>
      </c>
      <c r="BR93" s="11">
        <f>95920.8431928487/(10^3)</f>
        <v>95.920843192848693</v>
      </c>
      <c r="BS93" s="11">
        <v>99.675046468995248</v>
      </c>
      <c r="BT93" s="11">
        <f>103102.593504362/(10^3)</f>
        <v>103.10259350436199</v>
      </c>
      <c r="BU93" s="11">
        <f>106339.673373817/(10^3)</f>
        <v>106.33967337381701</v>
      </c>
      <c r="BV93" s="11">
        <f>105116.0685426/(10^3)</f>
        <v>105.1160685426</v>
      </c>
      <c r="BW93" s="11">
        <f>105007.288502595/(10^3)</f>
        <v>105.00728850259499</v>
      </c>
      <c r="BX93" s="11">
        <f>104638.938528451/(10^3)</f>
        <v>104.63893852845101</v>
      </c>
      <c r="BY93" s="11">
        <v>103.84531484968068</v>
      </c>
      <c r="BZ93" s="11">
        <f>103845.314849681/(10^3)</f>
        <v>103.845314849681</v>
      </c>
      <c r="CA93" s="11">
        <f>104426.952015948/(10^3)</f>
        <v>104.426952015948</v>
      </c>
      <c r="CB93" s="11">
        <f>107620.314857919/(10^3)</f>
        <v>107.620314857919</v>
      </c>
      <c r="CC93" s="12"/>
      <c r="DD93" s="11"/>
      <c r="DE93" s="11"/>
      <c r="DF93" s="11"/>
    </row>
    <row r="94" spans="4:110" ht="15.6" x14ac:dyDescent="0.25">
      <c r="D94" s="10" t="s">
        <v>70</v>
      </c>
      <c r="E94" s="10" t="s">
        <v>8</v>
      </c>
      <c r="F94" s="10" t="s">
        <v>151</v>
      </c>
      <c r="G94" s="10" t="s">
        <v>182</v>
      </c>
      <c r="H94" s="67" t="str">
        <f t="shared" si="3"/>
        <v>Santa Fe (피합병)</v>
      </c>
      <c r="I94" s="11">
        <f>99525.9794967366/(10^3)</f>
        <v>99.525979496736596</v>
      </c>
      <c r="J94" s="11">
        <f>102579.51547774/(10^3)</f>
        <v>102.57951547774</v>
      </c>
      <c r="K94" s="11">
        <v>106.58408985991582</v>
      </c>
      <c r="L94" s="11">
        <f>105438.18991733/(10^3)</f>
        <v>105.43818991733001</v>
      </c>
      <c r="M94" s="11">
        <f>104889.787755122/(10^3)</f>
        <v>104.889787755122</v>
      </c>
      <c r="N94" s="11">
        <f>107008.94123214/(10^3)</f>
        <v>107.00894123214</v>
      </c>
      <c r="O94" s="11">
        <f>107907.645445499/(10^3)</f>
        <v>107.907645445499</v>
      </c>
      <c r="P94" s="11">
        <f>109181.465110765/(10^3)</f>
        <v>109.181465110765</v>
      </c>
      <c r="Q94" s="11">
        <v>110.2847798050515</v>
      </c>
      <c r="R94" s="11">
        <f>110945.261357802/(10^3)</f>
        <v>110.945261357802</v>
      </c>
      <c r="S94" s="11">
        <f>110640.256046188/(10^3)</f>
        <v>110.640256046188</v>
      </c>
      <c r="T94" s="11">
        <f>108634.427952897/(10^3)</f>
        <v>108.634427952897</v>
      </c>
      <c r="U94" s="11">
        <f>107003.724909261/(10^3)</f>
        <v>107.003724909261</v>
      </c>
      <c r="V94" s="11">
        <f>105740.437024165/(10^3)</f>
        <v>105.740437024165</v>
      </c>
      <c r="W94" s="11">
        <v>107.22547684868897</v>
      </c>
      <c r="X94" s="11">
        <f>106657.484100446/(10^3)</f>
        <v>106.657484100446</v>
      </c>
      <c r="Y94" s="11">
        <f>110693.302829775/(10^3)</f>
        <v>110.69330282977499</v>
      </c>
      <c r="Z94" s="11">
        <f>115772.262292447/(10^3)</f>
        <v>115.77226229244701</v>
      </c>
      <c r="AA94" s="11">
        <f>113975.42110802/(10^3)</f>
        <v>113.97542110802</v>
      </c>
      <c r="AB94" s="11">
        <f>114585.288811879/(10^3)</f>
        <v>114.585288811879</v>
      </c>
      <c r="AC94" s="11">
        <v>112.42271358540481</v>
      </c>
      <c r="AD94" s="11">
        <f>116175.137024147/(10^3)</f>
        <v>116.17513702414701</v>
      </c>
      <c r="AE94" s="11">
        <f>120209.567718029/(10^3)</f>
        <v>120.20956771802899</v>
      </c>
      <c r="AF94" s="11">
        <f>121138.885561663/(10^3)</f>
        <v>121.138885561663</v>
      </c>
      <c r="AG94" s="11">
        <f>121989.313001299/(10^3)</f>
        <v>121.989313001299</v>
      </c>
      <c r="AH94" s="11">
        <f>120619.406195549/(10^3)</f>
        <v>120.619406195549</v>
      </c>
      <c r="AI94" s="11">
        <v>120.0587203607782</v>
      </c>
      <c r="AJ94" s="11">
        <f>119253.602836467/(10^3)</f>
        <v>119.25360283646701</v>
      </c>
      <c r="AK94" s="11">
        <f>117309.259282188/(10^3)</f>
        <v>117.30925928218799</v>
      </c>
      <c r="AL94" s="11">
        <f>115141.505343005/(10^3)</f>
        <v>115.14150534300501</v>
      </c>
      <c r="AM94" s="11">
        <f>117371.867437219/(10^3)</f>
        <v>117.371867437219</v>
      </c>
      <c r="AN94" s="11">
        <f>117877.233563526/(10^3)</f>
        <v>117.87723356352599</v>
      </c>
      <c r="AO94" s="11">
        <v>116.94093444360625</v>
      </c>
      <c r="AP94" s="11">
        <f>119546.522189746/(10^3)</f>
        <v>119.546522189746</v>
      </c>
      <c r="AQ94" s="11">
        <f>119173.602544367/(10^3)</f>
        <v>119.173602544367</v>
      </c>
      <c r="AR94" s="11">
        <f>117378.582248377/(10^3)</f>
        <v>117.378582248377</v>
      </c>
      <c r="AS94" s="11">
        <f>119819.765472526/(10^3)</f>
        <v>119.819765472526</v>
      </c>
      <c r="AT94" s="11">
        <f>121553.347079261/(10^3)</f>
        <v>121.553347079261</v>
      </c>
      <c r="AU94" s="11">
        <v>119.8080606176626</v>
      </c>
      <c r="AV94" s="11">
        <f>117865.099349983/(10^3)</f>
        <v>117.865099349983</v>
      </c>
      <c r="AW94" s="11">
        <f>116914.997758293/(10^3)</f>
        <v>116.914997758293</v>
      </c>
      <c r="AX94" s="11">
        <f>117013.133199539/(10^3)</f>
        <v>117.01313319953901</v>
      </c>
      <c r="AY94" s="11">
        <f>117872.310126329/(10^3)</f>
        <v>117.872310126329</v>
      </c>
      <c r="AZ94" s="11">
        <f>115831.710264084/(10^3)</f>
        <v>115.83171026408401</v>
      </c>
      <c r="BA94" s="11">
        <v>121.53834811796384</v>
      </c>
      <c r="BB94" s="11">
        <f>124750.343303872/(10^3)</f>
        <v>124.750343303872</v>
      </c>
      <c r="BC94" s="11">
        <f>124403.06228432/(10^3)</f>
        <v>124.40306228432</v>
      </c>
      <c r="BD94" s="11">
        <f>124138.401153273/(10^3)</f>
        <v>124.13840115327299</v>
      </c>
      <c r="BE94" s="11">
        <f>126884.79110718/(10^3)</f>
        <v>126.88479110718001</v>
      </c>
      <c r="BF94" s="11">
        <f>133120.225046094/(10^3)</f>
        <v>133.12022504609402</v>
      </c>
      <c r="BG94" s="11">
        <v>133.48825354186346</v>
      </c>
      <c r="BH94" s="11">
        <f>137145.334728744/(10^3)</f>
        <v>137.14533472874399</v>
      </c>
      <c r="BI94" s="11">
        <f>143295.267032937/(10^3)</f>
        <v>143.29526703293701</v>
      </c>
      <c r="BJ94" s="11">
        <f>143754.612048807/(10^3)</f>
        <v>143.75461204880699</v>
      </c>
      <c r="BK94" s="11">
        <f>144643.734057189/(10^3)</f>
        <v>144.64373405718899</v>
      </c>
      <c r="BL94" s="11">
        <f>142939.928835935/(10^3)</f>
        <v>142.93992883593498</v>
      </c>
      <c r="BM94" s="11">
        <v>144.10522746320419</v>
      </c>
      <c r="BN94" s="11">
        <f>142817.349839781/(10^3)</f>
        <v>142.817349839781</v>
      </c>
      <c r="BO94" s="11">
        <f>145116.688163494/(10^3)</f>
        <v>145.11668816349399</v>
      </c>
      <c r="BP94" s="11">
        <f>142493.38866441/(10^3)</f>
        <v>142.49338866441002</v>
      </c>
      <c r="BQ94" s="11">
        <f>142962.402509281/(10^3)</f>
        <v>142.96240250928099</v>
      </c>
      <c r="BR94" s="11">
        <f>140380.522975031/(10^3)</f>
        <v>140.380522975031</v>
      </c>
      <c r="BS94" s="11">
        <v>147.00596124858208</v>
      </c>
      <c r="BT94" s="11">
        <f>146989.205221592/(10^3)</f>
        <v>146.98920522159202</v>
      </c>
      <c r="BU94" s="11">
        <f>149982.98286038/(10^3)</f>
        <v>149.98298286037999</v>
      </c>
      <c r="BV94" s="11">
        <f>148738.133577319/(10^3)</f>
        <v>148.73813357731902</v>
      </c>
      <c r="BW94" s="11">
        <f>147981.568916196/(10^3)</f>
        <v>147.98156891619601</v>
      </c>
      <c r="BX94" s="11">
        <f>154872.535403391/(10^3)</f>
        <v>154.872535403391</v>
      </c>
      <c r="BY94" s="11">
        <v>159.29566468710192</v>
      </c>
      <c r="BZ94" s="11">
        <f>159295.664687102/(10^3)</f>
        <v>159.295664687102</v>
      </c>
      <c r="CA94" s="11">
        <f>164259.08477099/(10^3)</f>
        <v>164.25908477099</v>
      </c>
      <c r="CB94" s="11">
        <f>168064.692563302/(10^3)</f>
        <v>168.064692563302</v>
      </c>
      <c r="CC94" s="12"/>
      <c r="DD94" s="11"/>
      <c r="DE94" s="11"/>
      <c r="DF94" s="11"/>
    </row>
    <row r="95" spans="4:110" ht="15.6" x14ac:dyDescent="0.25">
      <c r="D95" s="10" t="s">
        <v>71</v>
      </c>
      <c r="E95" s="10" t="s">
        <v>67</v>
      </c>
      <c r="F95" s="10" t="s">
        <v>149</v>
      </c>
      <c r="G95" s="10" t="s">
        <v>182</v>
      </c>
      <c r="H95" s="67" t="str">
        <f t="shared" si="3"/>
        <v>Sioux Falls (피합병)</v>
      </c>
      <c r="I95" s="11"/>
      <c r="J95" s="11"/>
      <c r="K95" s="11">
        <v>3.5089797154152627</v>
      </c>
      <c r="L95" s="11"/>
      <c r="M95" s="11"/>
      <c r="N95" s="11"/>
      <c r="O95" s="11"/>
      <c r="P95" s="11"/>
      <c r="Q95" s="11">
        <v>3.7545914888468612</v>
      </c>
      <c r="R95" s="11"/>
      <c r="S95" s="11"/>
      <c r="T95" s="11"/>
      <c r="U95" s="11"/>
      <c r="V95" s="11">
        <f>4005.80953382475/(10^3)</f>
        <v>4.0058095338247499</v>
      </c>
      <c r="W95" s="11">
        <v>4.0453110740911162</v>
      </c>
      <c r="X95" s="11">
        <f>4158.21316853242/(10^3)</f>
        <v>4.15821316853242</v>
      </c>
      <c r="Y95" s="11">
        <f>4130.19309459946/(10^3)</f>
        <v>4.13019309459946</v>
      </c>
      <c r="Z95" s="11">
        <f>4090.12963456463/(10^3)</f>
        <v>4.0901296345646303</v>
      </c>
      <c r="AA95" s="11">
        <f>4086.11508668174/(10^3)</f>
        <v>4.0861150866817404</v>
      </c>
      <c r="AB95" s="11">
        <f>4068.1199807807/(10^3)</f>
        <v>4.0681199807807005</v>
      </c>
      <c r="AC95" s="11">
        <v>4.0507112374708418</v>
      </c>
      <c r="AD95" s="11">
        <f>3976.75786439391/(10^3)</f>
        <v>3.9767578643939099</v>
      </c>
      <c r="AE95" s="11">
        <f>3903.15633091057/(10^3)</f>
        <v>3.9031563309105701</v>
      </c>
      <c r="AF95" s="11">
        <f>3880.52027600937/(10^3)</f>
        <v>3.8805202760093698</v>
      </c>
      <c r="AG95" s="11">
        <f>3885.48271607722/(10^3)</f>
        <v>3.8854827160772203</v>
      </c>
      <c r="AH95" s="11">
        <f>3825.61341928329/(10^3)</f>
        <v>3.82561341928329</v>
      </c>
      <c r="AI95" s="11">
        <v>3.8828620443650324</v>
      </c>
      <c r="AJ95" s="11">
        <f>4046.58685073769/(10^3)</f>
        <v>4.0465868507376896</v>
      </c>
      <c r="AK95" s="11">
        <f>4011.62854996715/(10^3)</f>
        <v>4.01162854996715</v>
      </c>
      <c r="AL95" s="11">
        <f>4172.5779435204/(10^3)</f>
        <v>4.1725779435204</v>
      </c>
      <c r="AM95" s="11">
        <f>4155.55065274105/(10^3)</f>
        <v>4.1555506527410495</v>
      </c>
      <c r="AN95" s="11">
        <f>4126.98426499398/(10^3)</f>
        <v>4.1269842649939799</v>
      </c>
      <c r="AO95" s="11">
        <v>4.102859973905816</v>
      </c>
      <c r="AP95" s="11">
        <f>4246.97770410384/(10^3)</f>
        <v>4.2469777041038395</v>
      </c>
      <c r="AQ95" s="11">
        <f>4309.79478564019/(10^3)</f>
        <v>4.3097947856401895</v>
      </c>
      <c r="AR95" s="11">
        <f>4384.85539730408/(10^3)</f>
        <v>4.3848553973040802</v>
      </c>
      <c r="AS95" s="11">
        <f>4315.03061565728/(10^3)</f>
        <v>4.31503061565728</v>
      </c>
      <c r="AT95" s="11">
        <f>4261.8256600612/(10^3)</f>
        <v>4.2618256600612003</v>
      </c>
      <c r="AU95" s="11">
        <v>4.2425178697404213</v>
      </c>
      <c r="AV95" s="11">
        <f>4180.4539732008/(10^3)</f>
        <v>4.1804539732007999</v>
      </c>
      <c r="AW95" s="11">
        <f>4146.90996591337/(10^3)</f>
        <v>4.1469099659133697</v>
      </c>
      <c r="AX95" s="11">
        <f>4192.60273173907/(10^3)</f>
        <v>4.1926027317390702</v>
      </c>
      <c r="AY95" s="11">
        <f>4168.80825305049/(10^3)</f>
        <v>4.1688082530504902</v>
      </c>
      <c r="AZ95" s="11">
        <f>4129.74212109984/(10^3)</f>
        <v>4.1297421210998397</v>
      </c>
      <c r="BA95" s="11">
        <v>4.2531782052035778</v>
      </c>
      <c r="BB95" s="11">
        <f>4322.91186950119/(10^3)</f>
        <v>4.3229118695011906</v>
      </c>
      <c r="BC95" s="11">
        <f>4511.3550021071/(10^3)</f>
        <v>4.5113550021070994</v>
      </c>
      <c r="BD95" s="11">
        <f>4502.47150102063/(10^3)</f>
        <v>4.5024715010206302</v>
      </c>
      <c r="BE95" s="11">
        <f>4583.56038567999/(10^3)</f>
        <v>4.5835603856799896</v>
      </c>
      <c r="BF95" s="11">
        <f>4586.42378757298/(10^3)</f>
        <v>4.5864237875729792</v>
      </c>
      <c r="BG95" s="11">
        <v>4.6965688166556312</v>
      </c>
      <c r="BH95" s="11">
        <f>4678.15923225717/(10^3)</f>
        <v>4.6781592322571699</v>
      </c>
      <c r="BI95" s="11">
        <f>4634.95919669928/(10^3)</f>
        <v>4.6349591966992802</v>
      </c>
      <c r="BJ95" s="11">
        <f>4711.0343609879/(10^3)</f>
        <v>4.7110343609878997</v>
      </c>
      <c r="BK95" s="11">
        <f>4640.52394708524/(10^3)</f>
        <v>4.6405239470852404</v>
      </c>
      <c r="BL95" s="11">
        <f>4758.89076870534/(10^3)</f>
        <v>4.7588907687053394</v>
      </c>
      <c r="BM95" s="11">
        <v>4.7755425566012706</v>
      </c>
      <c r="BN95" s="11">
        <f>4957.04567691294/(10^3)</f>
        <v>4.9570456769129398</v>
      </c>
      <c r="BO95" s="11">
        <f>5093.99947210848/(10^3)</f>
        <v>5.0939994721084805</v>
      </c>
      <c r="BP95" s="11">
        <f>5175.33715713329/(10^3)</f>
        <v>5.1753371571332902</v>
      </c>
      <c r="BQ95" s="11">
        <f>5214.48071831359/(10^3)</f>
        <v>5.2144807183135899</v>
      </c>
      <c r="BR95" s="11">
        <f>5373.78758809592/(10^3)</f>
        <v>5.3737875880959196</v>
      </c>
      <c r="BS95" s="11">
        <v>5.6261314402694298</v>
      </c>
      <c r="BT95" s="11">
        <f>5720.13166745283/(10^3)</f>
        <v>5.7201316674528302</v>
      </c>
      <c r="BU95" s="11">
        <f>5681.04562884294/(10^3)</f>
        <v>5.6810456288429396</v>
      </c>
      <c r="BV95" s="11">
        <f>5856.56955388346/(10^3)</f>
        <v>5.8565695538834595</v>
      </c>
      <c r="BW95" s="11">
        <f>5778.85720513423/(10^3)</f>
        <v>5.77885720513423</v>
      </c>
      <c r="BX95" s="11">
        <f>5903.35821012262/(10^3)</f>
        <v>5.9033582101226205</v>
      </c>
      <c r="BY95" s="11">
        <v>6.2096327191472103</v>
      </c>
      <c r="BZ95" s="11">
        <f>6209.63271914721/(10^3)</f>
        <v>6.2096327191472103</v>
      </c>
      <c r="CA95" s="11">
        <f>6280.79940951979/(10^3)</f>
        <v>6.2807994095197897</v>
      </c>
      <c r="CB95" s="11">
        <f>6427.16645410326/(10^3)</f>
        <v>6.4271664541032596</v>
      </c>
      <c r="CC95" s="12"/>
      <c r="DD95" s="11"/>
      <c r="DE95" s="11"/>
      <c r="DF95" s="11"/>
    </row>
    <row r="96" spans="4:110" ht="15.6" x14ac:dyDescent="0.25">
      <c r="D96" s="10" t="s">
        <v>72</v>
      </c>
      <c r="E96" s="10" t="s">
        <v>17</v>
      </c>
      <c r="F96" s="10" t="s">
        <v>149</v>
      </c>
      <c r="G96" s="10" t="s">
        <v>182</v>
      </c>
      <c r="H96" s="67" t="str">
        <f t="shared" si="3"/>
        <v>Springfield (피합병)</v>
      </c>
      <c r="I96" s="11">
        <f>6944.19062558331/(10^3)</f>
        <v>6.9441906255833104</v>
      </c>
      <c r="J96" s="11">
        <f>6983.83730160891/(10^3)</f>
        <v>6.9838373016089097</v>
      </c>
      <c r="K96" s="11">
        <v>7.2796291618582387</v>
      </c>
      <c r="L96" s="11">
        <f>7403.48735593951/(10^3)</f>
        <v>7.40348735593951</v>
      </c>
      <c r="M96" s="11">
        <f>7680.83500602118/(10^3)</f>
        <v>7.6808350060211801</v>
      </c>
      <c r="N96" s="11">
        <f>7848.53806843652/(10^3)</f>
        <v>7.84853806843652</v>
      </c>
      <c r="O96" s="11">
        <f>8183.06359147387/(10^3)</f>
        <v>8.1830635914738696</v>
      </c>
      <c r="P96" s="11">
        <f>8279.67367666064/(10^3)</f>
        <v>8.2796736766606394</v>
      </c>
      <c r="Q96" s="11">
        <v>8.4602774239600347</v>
      </c>
      <c r="R96" s="11">
        <f>8486.7516688121/(10^3)</f>
        <v>8.486751668812099</v>
      </c>
      <c r="S96" s="11">
        <f>8760.95165315629/(10^3)</f>
        <v>8.7609516531562903</v>
      </c>
      <c r="T96" s="11">
        <f>8705.62728968537/(10^3)</f>
        <v>8.7056272896853706</v>
      </c>
      <c r="U96" s="11">
        <f>8936.85498684782/(10^3)</f>
        <v>8.9368549868478198</v>
      </c>
      <c r="V96" s="11">
        <f>9040.84654369707/(10^3)</f>
        <v>9.0408465436970697</v>
      </c>
      <c r="W96" s="11">
        <v>8.9710943894570772</v>
      </c>
      <c r="X96" s="11">
        <f>9123.28092434782/(10^3)</f>
        <v>9.1232809243478208</v>
      </c>
      <c r="Y96" s="11">
        <f>9170.44794168368/(10^3)</f>
        <v>9.1704479416836797</v>
      </c>
      <c r="Z96" s="11">
        <f>9212.82218655618/(10^3)</f>
        <v>9.2128221865561812</v>
      </c>
      <c r="AA96" s="11">
        <f>9436.91557051731/(10^3)</f>
        <v>9.4369155705173107</v>
      </c>
      <c r="AB96" s="11">
        <f>9350.12391133897/(10^3)</f>
        <v>9.3501239113389687</v>
      </c>
      <c r="AC96" s="11">
        <v>9.2587286169858558</v>
      </c>
      <c r="AD96" s="11">
        <f>9195.75594855844/(10^3)</f>
        <v>9.1957559485584408</v>
      </c>
      <c r="AE96" s="11">
        <f>9117.34176635708/(10^3)</f>
        <v>9.1173417663570806</v>
      </c>
      <c r="AF96" s="11">
        <f>9091.40185117231/(10^3)</f>
        <v>9.0914018511723089</v>
      </c>
      <c r="AG96" s="11">
        <f>9306.62737320655/(10^3)</f>
        <v>9.306627373206549</v>
      </c>
      <c r="AH96" s="11">
        <f>9515.46529545901/(10^3)</f>
        <v>9.5154652954590091</v>
      </c>
      <c r="AI96" s="11">
        <v>9.5267730197043221</v>
      </c>
      <c r="AJ96" s="11">
        <f>9535.54351278925/(10^3)</f>
        <v>9.5355435127892498</v>
      </c>
      <c r="AK96" s="11">
        <f>9853.83561644405/(10^3)</f>
        <v>9.8538356164440497</v>
      </c>
      <c r="AL96" s="11">
        <f>9942.99267734835/(10^3)</f>
        <v>9.9429926773483501</v>
      </c>
      <c r="AM96" s="11">
        <f>10071.3808086214/(10^3)</f>
        <v>10.071380808621399</v>
      </c>
      <c r="AN96" s="11">
        <f>10006.1997480303/(10^3)</f>
        <v>10.0061997480303</v>
      </c>
      <c r="AO96" s="11">
        <v>9.819839664262382</v>
      </c>
      <c r="AP96" s="11">
        <f>9962.67406744538/(10^3)</f>
        <v>9.9626740674453789</v>
      </c>
      <c r="AQ96" s="11">
        <f>10289.4243098658/(10^3)</f>
        <v>10.289424309865801</v>
      </c>
      <c r="AR96" s="11">
        <f>10289.3544982147/(10^3)</f>
        <v>10.289354498214699</v>
      </c>
      <c r="AS96" s="11">
        <f>10269.3880708426/(10^3)</f>
        <v>10.2693880708426</v>
      </c>
      <c r="AT96" s="11">
        <f>10089.7720477381/(10^3)</f>
        <v>10.089772047738101</v>
      </c>
      <c r="AU96" s="11">
        <v>9.970603371494672</v>
      </c>
      <c r="AV96" s="11">
        <f>9811.78931375426/(10^3)</f>
        <v>9.8117893137542591</v>
      </c>
      <c r="AW96" s="11">
        <f>10014.9638843147/(10^3)</f>
        <v>10.0149638843147</v>
      </c>
      <c r="AX96" s="11">
        <f>10024.4841677014/(10^3)</f>
        <v>10.024484167701399</v>
      </c>
      <c r="AY96" s="11">
        <f>9905.4286749456/(10^3)</f>
        <v>9.9054286749456004</v>
      </c>
      <c r="AZ96" s="11">
        <f>9768.09251655207/(10^3)</f>
        <v>9.7680925165520698</v>
      </c>
      <c r="BA96" s="11">
        <v>10.002531391164213</v>
      </c>
      <c r="BB96" s="11">
        <f>10194.2302911051/(10^3)</f>
        <v>10.194230291105098</v>
      </c>
      <c r="BC96" s="11">
        <f>10431.8516750939/(10^3)</f>
        <v>10.431851675093899</v>
      </c>
      <c r="BD96" s="11">
        <f>10356.8888487635/(10^3)</f>
        <v>10.3568888487635</v>
      </c>
      <c r="BE96" s="11">
        <f>10235.0955109622/(10^3)</f>
        <v>10.2350955109622</v>
      </c>
      <c r="BF96" s="11">
        <f>10432.3920662554/(10^3)</f>
        <v>10.432392066255399</v>
      </c>
      <c r="BG96" s="11">
        <v>10.521556489768839</v>
      </c>
      <c r="BH96" s="11">
        <f>10816.3811117395/(10^3)</f>
        <v>10.816381111739499</v>
      </c>
      <c r="BI96" s="11">
        <f>10919.8692691132/(10^3)</f>
        <v>10.9198692691132</v>
      </c>
      <c r="BJ96" s="11">
        <f>10890.2699134745/(10^3)</f>
        <v>10.8902699134745</v>
      </c>
      <c r="BK96" s="11">
        <f>10921.6493550373/(10^3)</f>
        <v>10.9216493550373</v>
      </c>
      <c r="BL96" s="11">
        <f>11289.7389544616/(10^3)</f>
        <v>11.289738954461599</v>
      </c>
      <c r="BM96" s="11">
        <v>11.267482117043146</v>
      </c>
      <c r="BN96" s="11">
        <f>11221.5856612643/(10^3)</f>
        <v>11.221585661264299</v>
      </c>
      <c r="BO96" s="11">
        <f>11155.7259786642/(10^3)</f>
        <v>11.155725978664201</v>
      </c>
      <c r="BP96" s="11">
        <f>11480.611521058/(10^3)</f>
        <v>11.480611521058</v>
      </c>
      <c r="BQ96" s="11">
        <f>12025.3102866443/(10^3)</f>
        <v>12.0253102866443</v>
      </c>
      <c r="BR96" s="11">
        <f>12625.6023573709/(10^3)</f>
        <v>12.625602357370902</v>
      </c>
      <c r="BS96" s="11">
        <v>13.031922475698778</v>
      </c>
      <c r="BT96" s="11">
        <f>13567.37106599/(10^3)</f>
        <v>13.567371065990001</v>
      </c>
      <c r="BU96" s="11">
        <f>14179.6710856849/(10^3)</f>
        <v>14.1796710856849</v>
      </c>
      <c r="BV96" s="11">
        <f>14511.9804941683/(10^3)</f>
        <v>14.5119804941683</v>
      </c>
      <c r="BW96" s="11">
        <f>14805.9267134382/(10^3)</f>
        <v>14.8059267134382</v>
      </c>
      <c r="BX96" s="11">
        <f>14911.5099733417/(10^3)</f>
        <v>14.911509973341699</v>
      </c>
      <c r="BY96" s="11">
        <v>15.101271230762128</v>
      </c>
      <c r="BZ96" s="11">
        <f>15101.2712307621/(10^3)</f>
        <v>15.1012712307621</v>
      </c>
      <c r="CA96" s="11">
        <f>14888.381546597/(10^3)</f>
        <v>14.888381546597</v>
      </c>
      <c r="CB96" s="11">
        <f>14796.2504511827/(10^3)</f>
        <v>14.796250451182699</v>
      </c>
      <c r="CC96" s="12"/>
      <c r="DD96" s="11"/>
      <c r="DE96" s="11"/>
      <c r="DF96" s="11"/>
    </row>
    <row r="97" spans="4:110" ht="15.6" x14ac:dyDescent="0.25">
      <c r="D97" s="10" t="s">
        <v>73</v>
      </c>
      <c r="E97" s="10" t="s">
        <v>35</v>
      </c>
      <c r="F97" s="10" t="s">
        <v>150</v>
      </c>
      <c r="G97" s="10" t="s">
        <v>182</v>
      </c>
      <c r="H97" s="67" t="str">
        <f t="shared" si="3"/>
        <v>Tallahassee (피합병)</v>
      </c>
      <c r="I97" s="11">
        <f>8688.81946999025/(10^3)</f>
        <v>8.6888194699902499</v>
      </c>
      <c r="J97" s="11">
        <f>9028.65069938765/(10^3)</f>
        <v>9.0286506993876507</v>
      </c>
      <c r="K97" s="11">
        <v>9.3998173614103688</v>
      </c>
      <c r="L97" s="11">
        <f>9225.63375464388/(10^3)</f>
        <v>9.22563375464388</v>
      </c>
      <c r="M97" s="11">
        <f>9645.05319741976/(10^3)</f>
        <v>9.6450531974197595</v>
      </c>
      <c r="N97" s="11">
        <f>9740.27154602362/(10^3)</f>
        <v>9.7402715460236191</v>
      </c>
      <c r="O97" s="11">
        <f>9694.66578639438/(10^3)</f>
        <v>9.6946657863943795</v>
      </c>
      <c r="P97" s="11">
        <f>9515.53309921901/(10^3)</f>
        <v>9.5155330992190095</v>
      </c>
      <c r="Q97" s="11">
        <v>9.4064695987875204</v>
      </c>
      <c r="R97" s="11">
        <f>9835.35511910253/(10^3)</f>
        <v>9.8353551191025304</v>
      </c>
      <c r="S97" s="11">
        <f>10208.3736287714/(10^3)</f>
        <v>10.208373628771399</v>
      </c>
      <c r="T97" s="11">
        <f>10490.006525638/(10^3)</f>
        <v>10.490006525638</v>
      </c>
      <c r="U97" s="11">
        <f>10368.2288195963/(10^3)</f>
        <v>10.368228819596299</v>
      </c>
      <c r="V97" s="11">
        <f>10188.2229583122/(10^3)</f>
        <v>10.188222958312201</v>
      </c>
      <c r="W97" s="11">
        <v>10.168364850317451</v>
      </c>
      <c r="X97" s="11">
        <f>10159.0428556499/(10^3)</f>
        <v>10.159042855649899</v>
      </c>
      <c r="Y97" s="11">
        <f>10458.6202066788/(10^3)</f>
        <v>10.458620206678798</v>
      </c>
      <c r="Z97" s="11">
        <f>10260.8966040126/(10^3)</f>
        <v>10.260896604012599</v>
      </c>
      <c r="AA97" s="11">
        <f>10665.421809941/(10^3)</f>
        <v>10.665421809941002</v>
      </c>
      <c r="AB97" s="11">
        <f>10926.5062367338/(10^3)</f>
        <v>10.9265062367338</v>
      </c>
      <c r="AC97" s="11">
        <v>10.999863561345377</v>
      </c>
      <c r="AD97" s="11">
        <f>10942.1539195725/(10^3)</f>
        <v>10.942153919572499</v>
      </c>
      <c r="AE97" s="11">
        <f>10925.310040513/(10^3)</f>
        <v>10.925310040513001</v>
      </c>
      <c r="AF97" s="11">
        <f>11082.4163101237/(10^3)</f>
        <v>11.082416310123701</v>
      </c>
      <c r="AG97" s="11">
        <f>11043.9888856037/(10^3)</f>
        <v>11.043988885603699</v>
      </c>
      <c r="AH97" s="11">
        <f>11544.36599243/(10^3)</f>
        <v>11.544365992429999</v>
      </c>
      <c r="AI97" s="11">
        <v>11.715180074617647</v>
      </c>
      <c r="AJ97" s="11">
        <f>11685.3925675372/(10^3)</f>
        <v>11.6853925675372</v>
      </c>
      <c r="AK97" s="11">
        <f>11529.4518105735/(10^3)</f>
        <v>11.5294518105735</v>
      </c>
      <c r="AL97" s="11">
        <f>11312.2233493369/(10^3)</f>
        <v>11.3122233493369</v>
      </c>
      <c r="AM97" s="11">
        <f>11290.7903901428/(10^3)</f>
        <v>11.290790390142799</v>
      </c>
      <c r="AN97" s="11">
        <f>11193.7138121674/(10^3)</f>
        <v>11.193713812167399</v>
      </c>
      <c r="AO97" s="11">
        <v>11.092895485611624</v>
      </c>
      <c r="AP97" s="11">
        <f>11288.9819662968/(10^3)</f>
        <v>11.288981966296801</v>
      </c>
      <c r="AQ97" s="11">
        <f>11592.4688990142/(10^3)</f>
        <v>11.5924688990142</v>
      </c>
      <c r="AR97" s="11">
        <f>11397.8577408745/(10^3)</f>
        <v>11.3978577408745</v>
      </c>
      <c r="AS97" s="11">
        <f>11194.6672972655/(10^3)</f>
        <v>11.1946672972655</v>
      </c>
      <c r="AT97" s="11">
        <f>11180.6238026182/(10^3)</f>
        <v>11.1806238026182</v>
      </c>
      <c r="AU97" s="11">
        <v>11.151604493007872</v>
      </c>
      <c r="AV97" s="11">
        <f>10974.9060301615/(10^3)</f>
        <v>10.974906030161501</v>
      </c>
      <c r="AW97" s="11">
        <f>10918.7598815534/(10^3)</f>
        <v>10.918759881553401</v>
      </c>
      <c r="AX97" s="11">
        <f>11088.1119915312/(10^3)</f>
        <v>11.0881119915312</v>
      </c>
      <c r="AY97" s="11">
        <f>10956.3158362324/(10^3)</f>
        <v>10.956315836232399</v>
      </c>
      <c r="AZ97" s="11">
        <f>10979.7849389882/(10^3)</f>
        <v>10.9797849389882</v>
      </c>
      <c r="BA97" s="11">
        <v>11.427310662208214</v>
      </c>
      <c r="BB97" s="11">
        <f>11209.2518571158/(10^3)</f>
        <v>11.209251857115801</v>
      </c>
      <c r="BC97" s="11">
        <f>11658.097349242/(10^3)</f>
        <v>11.658097349242</v>
      </c>
      <c r="BD97" s="11">
        <f>12148.92763433/(10^3)</f>
        <v>12.148927634330001</v>
      </c>
      <c r="BE97" s="11">
        <f>12025.4028393011/(10^3)</f>
        <v>12.025402839301099</v>
      </c>
      <c r="BF97" s="11">
        <f>12385.7066113467/(10^3)</f>
        <v>12.3857066113467</v>
      </c>
      <c r="BG97" s="11">
        <v>12.906342950490343</v>
      </c>
      <c r="BH97" s="11">
        <f>13193.0104260478/(10^3)</f>
        <v>13.193010426047801</v>
      </c>
      <c r="BI97" s="11">
        <f>13510.470994727/(10^3)</f>
        <v>13.510470994727001</v>
      </c>
      <c r="BJ97" s="11">
        <f>13968.8996781228/(10^3)</f>
        <v>13.968899678122799</v>
      </c>
      <c r="BK97" s="11">
        <f>14482.4936283924/(10^3)</f>
        <v>14.482493628392399</v>
      </c>
      <c r="BL97" s="11">
        <f>14823.9816784299/(10^3)</f>
        <v>14.823981678429901</v>
      </c>
      <c r="BM97" s="11">
        <v>14.649668904474636</v>
      </c>
      <c r="BN97" s="11">
        <f>15277.5076603612/(10^3)</f>
        <v>15.2775076603612</v>
      </c>
      <c r="BO97" s="11">
        <f>15225.032059406/(10^3)</f>
        <v>15.225032059405999</v>
      </c>
      <c r="BP97" s="11">
        <f>15916.1871596958/(10^3)</f>
        <v>15.9161871596958</v>
      </c>
      <c r="BQ97" s="11">
        <f>15888.1486335077/(10^3)</f>
        <v>15.888148633507701</v>
      </c>
      <c r="BR97" s="11">
        <f>16506.5827890539/(10^3)</f>
        <v>16.506582789053901</v>
      </c>
      <c r="BS97" s="11">
        <v>17.055597946320805</v>
      </c>
      <c r="BT97" s="11">
        <f>17717.2496433178/(10^3)</f>
        <v>17.7172496433178</v>
      </c>
      <c r="BU97" s="11">
        <f>17513.6368660129/(10^3)</f>
        <v>17.513636866012902</v>
      </c>
      <c r="BV97" s="11">
        <f>17253.2255660639/(10^3)</f>
        <v>17.253225566063897</v>
      </c>
      <c r="BW97" s="11">
        <f>17871.1084291728/(10^3)</f>
        <v>17.8711084291728</v>
      </c>
      <c r="BX97" s="11">
        <f>18180.8647820194/(10^3)</f>
        <v>18.180864782019398</v>
      </c>
      <c r="BY97" s="11">
        <v>18.598588948874614</v>
      </c>
      <c r="BZ97" s="11">
        <f>18598.5889488746/(10^3)</f>
        <v>18.5985889488746</v>
      </c>
      <c r="CA97" s="11">
        <f>19006.1392383119/(10^3)</f>
        <v>19.006139238311899</v>
      </c>
      <c r="CB97" s="11">
        <f>18815.2698468724/(10^3)</f>
        <v>18.8152698468724</v>
      </c>
      <c r="CC97" s="12"/>
      <c r="DD97" s="11"/>
      <c r="DE97" s="11"/>
      <c r="DF97" s="11"/>
    </row>
    <row r="98" spans="4:110" ht="15.6" x14ac:dyDescent="0.25">
      <c r="D98" s="10" t="s">
        <v>74</v>
      </c>
      <c r="E98" s="10" t="s">
        <v>51</v>
      </c>
      <c r="F98" s="10" t="s">
        <v>149</v>
      </c>
      <c r="G98" s="10" t="s">
        <v>182</v>
      </c>
      <c r="H98" s="67" t="str">
        <f t="shared" si="3"/>
        <v>Topeka (피합병)</v>
      </c>
      <c r="I98" s="11">
        <f>10524.4496055219/(10^3)</f>
        <v>10.5244496055219</v>
      </c>
      <c r="J98" s="11">
        <f>10421.0285415127/(10^3)</f>
        <v>10.421028541512699</v>
      </c>
      <c r="K98" s="11">
        <v>10.300510226868608</v>
      </c>
      <c r="L98" s="11">
        <f>10800.6615544062/(10^3)</f>
        <v>10.800661554406201</v>
      </c>
      <c r="M98" s="11">
        <f>10999.4904890828/(10^3)</f>
        <v>10.999490489082801</v>
      </c>
      <c r="N98" s="11">
        <f>10876.6203243093/(10^3)</f>
        <v>10.8766203243093</v>
      </c>
      <c r="O98" s="11">
        <f>11218.6239198425/(10^3)</f>
        <v>11.2186239198425</v>
      </c>
      <c r="P98" s="11">
        <f>11714.990100499/(10^3)</f>
        <v>11.714990100499001</v>
      </c>
      <c r="Q98" s="11">
        <v>11.775512338226475</v>
      </c>
      <c r="R98" s="11">
        <f>11678.5819514853/(10^3)</f>
        <v>11.678581951485299</v>
      </c>
      <c r="S98" s="11">
        <f>11761.0540251224/(10^3)</f>
        <v>11.7610540251224</v>
      </c>
      <c r="T98" s="11">
        <f>11729.5374773553/(10^3)</f>
        <v>11.729537477355299</v>
      </c>
      <c r="U98" s="11">
        <f>11590.9528872912/(10^3)</f>
        <v>11.5909528872912</v>
      </c>
      <c r="V98" s="11">
        <f>11789.2507913111/(10^3)</f>
        <v>11.789250791311101</v>
      </c>
      <c r="W98" s="11">
        <v>12.053472249775352</v>
      </c>
      <c r="X98" s="11">
        <f>11901.1206239427/(10^3)</f>
        <v>11.901120623942699</v>
      </c>
      <c r="Y98" s="11">
        <f>11741.8930625595/(10^3)</f>
        <v>11.7418930625595</v>
      </c>
      <c r="Z98" s="11">
        <f>11590.0196629995/(10^3)</f>
        <v>11.5900196629995</v>
      </c>
      <c r="AA98" s="11">
        <f>11992.2036572061/(10^3)</f>
        <v>11.992203657206101</v>
      </c>
      <c r="AB98" s="11">
        <f>11866.6001234269/(10^3)</f>
        <v>11.866600123426901</v>
      </c>
      <c r="AC98" s="11">
        <v>11.852936741480313</v>
      </c>
      <c r="AD98" s="11">
        <f>11694.4830165325/(10^3)</f>
        <v>11.6944830165325</v>
      </c>
      <c r="AE98" s="11">
        <f>11624.8994716265/(10^3)</f>
        <v>11.624899471626501</v>
      </c>
      <c r="AF98" s="11">
        <f>11831.8980677206/(10^3)</f>
        <v>11.8318980677206</v>
      </c>
      <c r="AG98" s="11">
        <f>12000.7543223409/(10^3)</f>
        <v>12.000754322340899</v>
      </c>
      <c r="AH98" s="11">
        <f>12352.760362509/(10^3)</f>
        <v>12.352760362508999</v>
      </c>
      <c r="AI98" s="11">
        <v>12.123262427633302</v>
      </c>
      <c r="AJ98" s="11">
        <f>12624.3342464296/(10^3)</f>
        <v>12.6243342464296</v>
      </c>
      <c r="AK98" s="11">
        <f>12530.7055045576/(10^3)</f>
        <v>12.5307055045576</v>
      </c>
      <c r="AL98" s="11">
        <f>12476.9707838606/(10^3)</f>
        <v>12.476970783860599</v>
      </c>
      <c r="AM98" s="11">
        <f>12279.3505593374/(10^3)</f>
        <v>12.279350559337399</v>
      </c>
      <c r="AN98" s="11">
        <f>12062.6890861986/(10^3)</f>
        <v>12.062689086198599</v>
      </c>
      <c r="AO98" s="11">
        <v>12.310077483580365</v>
      </c>
      <c r="AP98" s="11">
        <f>12171.2856827295/(10^3)</f>
        <v>12.171285682729501</v>
      </c>
      <c r="AQ98" s="11">
        <f>12143.0661218949/(10^3)</f>
        <v>12.143066121894901</v>
      </c>
      <c r="AR98" s="11">
        <f>12088.3471302959/(10^3)</f>
        <v>12.088347130295901</v>
      </c>
      <c r="AS98" s="11">
        <f>12544.5125562701/(10^3)</f>
        <v>12.544512556270099</v>
      </c>
      <c r="AT98" s="11">
        <f>12601.7641319921/(10^3)</f>
        <v>12.6017641319921</v>
      </c>
      <c r="AU98" s="11">
        <v>12.366284925669355</v>
      </c>
      <c r="AV98" s="11">
        <f>12398.8269327136/(10^3)</f>
        <v>12.3988269327136</v>
      </c>
      <c r="AW98" s="11">
        <f>12909.7861614777/(10^3)</f>
        <v>12.909786161477699</v>
      </c>
      <c r="AX98" s="11">
        <f>13141.7937654752/(10^3)</f>
        <v>13.141793765475201</v>
      </c>
      <c r="AY98" s="11">
        <f>13066.4628305265/(10^3)</f>
        <v>13.0664628305265</v>
      </c>
      <c r="AZ98" s="11">
        <f>13073.1850097224/(10^3)</f>
        <v>13.073185009722399</v>
      </c>
      <c r="BA98" s="11">
        <v>13.701641536048768</v>
      </c>
      <c r="BB98" s="11">
        <f>13847.7069205024/(10^3)</f>
        <v>13.8477069205024</v>
      </c>
      <c r="BC98" s="11">
        <f>13788.6264997499/(10^3)</f>
        <v>13.788626499749901</v>
      </c>
      <c r="BD98" s="11">
        <f>13702.6897332531/(10^3)</f>
        <v>13.7026897332531</v>
      </c>
      <c r="BE98" s="11">
        <f>13915.8380141628/(10^3)</f>
        <v>13.9158380141628</v>
      </c>
      <c r="BF98" s="11">
        <f>14245.0733184174/(10^3)</f>
        <v>14.245073318417401</v>
      </c>
      <c r="BG98" s="11">
        <v>14.063324340664691</v>
      </c>
      <c r="BH98" s="11">
        <f>14706.4813480703/(10^3)</f>
        <v>14.7064813480703</v>
      </c>
      <c r="BI98" s="11">
        <f>14574.7914644977/(10^3)</f>
        <v>14.5747914644977</v>
      </c>
      <c r="BJ98" s="11">
        <f>14719.4426398654/(10^3)</f>
        <v>14.719442639865399</v>
      </c>
      <c r="BK98" s="11">
        <f>14749.4193259491/(10^3)</f>
        <v>14.7494193259491</v>
      </c>
      <c r="BL98" s="11">
        <f>14579.3047393934/(10^3)</f>
        <v>14.579304739393399</v>
      </c>
      <c r="BM98" s="11">
        <v>14.961232749190341</v>
      </c>
      <c r="BN98" s="11">
        <f>14728.060491657/(10^3)</f>
        <v>14.728060491656999</v>
      </c>
      <c r="BO98" s="11">
        <f>15218.7598913301/(10^3)</f>
        <v>15.218759891330102</v>
      </c>
      <c r="BP98" s="11">
        <f>15754.1812321908/(10^3)</f>
        <v>15.754181232190801</v>
      </c>
      <c r="BQ98" s="11">
        <f>15471.5731765578/(10^3)</f>
        <v>15.471573176557801</v>
      </c>
      <c r="BR98" s="11">
        <f>15232.642542699/(10^3)</f>
        <v>15.232642542699001</v>
      </c>
      <c r="BS98" s="11">
        <v>15.652431595214598</v>
      </c>
      <c r="BT98" s="11">
        <f>15884.6031085491/(10^3)</f>
        <v>15.884603108549099</v>
      </c>
      <c r="BU98" s="11">
        <f>16351.8006044733/(10^3)</f>
        <v>16.351800604473301</v>
      </c>
      <c r="BV98" s="11">
        <f>16106.7102859018/(10^3)</f>
        <v>16.106710285901798</v>
      </c>
      <c r="BW98" s="11">
        <f>16111.9965531136/(10^3)</f>
        <v>16.111996553113599</v>
      </c>
      <c r="BX98" s="11">
        <f>16791.0449169443/(10^3)</f>
        <v>16.791044916944301</v>
      </c>
      <c r="BY98" s="11">
        <v>16.626017208234597</v>
      </c>
      <c r="BZ98" s="11">
        <f>16626.0172082346/(10^3)</f>
        <v>16.6260172082346</v>
      </c>
      <c r="CA98" s="11">
        <f>16980.0038746454/(10^3)</f>
        <v>16.980003874645401</v>
      </c>
      <c r="CB98" s="11">
        <f>16910.7966516551/(10^3)</f>
        <v>16.910796651655097</v>
      </c>
      <c r="CC98" s="12"/>
      <c r="DD98" s="11"/>
      <c r="DE98" s="11"/>
      <c r="DF98" s="11"/>
    </row>
    <row r="99" spans="4:110" ht="15.6" x14ac:dyDescent="0.25">
      <c r="D99" s="10" t="s">
        <v>75</v>
      </c>
      <c r="E99" s="10" t="s">
        <v>64</v>
      </c>
      <c r="F99" s="10" t="s">
        <v>150</v>
      </c>
      <c r="G99" s="10" t="s">
        <v>182</v>
      </c>
      <c r="H99" s="67" t="str">
        <f t="shared" si="3"/>
        <v>Tulsa (피합병)</v>
      </c>
      <c r="I99" s="11">
        <f>12740.1306101033/(10^3)</f>
        <v>12.7401306101033</v>
      </c>
      <c r="J99" s="11">
        <f>13211.0914240469/(10^3)</f>
        <v>13.211091424046899</v>
      </c>
      <c r="K99" s="11">
        <v>13.834415140674267</v>
      </c>
      <c r="L99" s="11">
        <f>13863.6053377674/(10^3)</f>
        <v>13.8636053377674</v>
      </c>
      <c r="M99" s="11">
        <f>13923.7848207156/(10^3)</f>
        <v>13.9237848207156</v>
      </c>
      <c r="N99" s="11">
        <f>14378.5476290047/(10^3)</f>
        <v>14.3785476290047</v>
      </c>
      <c r="O99" s="11">
        <f>15006.9355732574/(10^3)</f>
        <v>15.006935573257401</v>
      </c>
      <c r="P99" s="11">
        <f>15234.9758233269/(10^3)</f>
        <v>15.2349758233269</v>
      </c>
      <c r="Q99" s="11">
        <v>15.283033332559315</v>
      </c>
      <c r="R99" s="11">
        <f>15028.2093092594/(10^3)</f>
        <v>15.028209309259401</v>
      </c>
      <c r="S99" s="11">
        <f>15147.4172709658/(10^3)</f>
        <v>15.1474172709658</v>
      </c>
      <c r="T99" s="11">
        <f>15552.5221616251/(10^3)</f>
        <v>15.552522161625101</v>
      </c>
      <c r="U99" s="11">
        <f>15524.4411967103/(10^3)</f>
        <v>15.524441196710301</v>
      </c>
      <c r="V99" s="11">
        <f>15316.5626593437/(10^3)</f>
        <v>15.316562659343699</v>
      </c>
      <c r="W99" s="11">
        <v>15.01708354784865</v>
      </c>
      <c r="X99" s="11">
        <f>15137.9233020875/(10^3)</f>
        <v>15.137923302087501</v>
      </c>
      <c r="Y99" s="11">
        <f>15822.7243889652/(10^3)</f>
        <v>15.822724388965201</v>
      </c>
      <c r="Z99" s="11">
        <f>15664.462390518/(10^3)</f>
        <v>15.664462390518</v>
      </c>
      <c r="AA99" s="11">
        <f>15543.3743617127/(10^3)</f>
        <v>15.543374361712701</v>
      </c>
      <c r="AB99" s="11">
        <f>15664.9262005519/(10^3)</f>
        <v>15.6649262005519</v>
      </c>
      <c r="AC99" s="11">
        <v>15.533707586872668</v>
      </c>
      <c r="AD99" s="11">
        <f>16129.259372237/(10^3)</f>
        <v>16.129259372237001</v>
      </c>
      <c r="AE99" s="11">
        <f>16547.3110285606/(10^3)</f>
        <v>16.547311028560603</v>
      </c>
      <c r="AF99" s="11">
        <f>16301.7027495551/(10^3)</f>
        <v>16.301702749555098</v>
      </c>
      <c r="AG99" s="11">
        <f>16096.0886765805/(10^3)</f>
        <v>16.0960886765805</v>
      </c>
      <c r="AH99" s="11">
        <f>16629.0898189564/(10^3)</f>
        <v>16.629089818956398</v>
      </c>
      <c r="AI99" s="11">
        <v>16.625365794354366</v>
      </c>
      <c r="AJ99" s="11">
        <f>16425.2812164493/(10^3)</f>
        <v>16.425281216449299</v>
      </c>
      <c r="AK99" s="11">
        <f>16282.0202703876/(10^3)</f>
        <v>16.282020270387601</v>
      </c>
      <c r="AL99" s="11">
        <f>16067.7789292655/(10^3)</f>
        <v>16.067778929265501</v>
      </c>
      <c r="AM99" s="11">
        <f>16014.7287694988/(10^3)</f>
        <v>16.014728769498802</v>
      </c>
      <c r="AN99" s="11">
        <f>16233.2793274897/(10^3)</f>
        <v>16.233279327489701</v>
      </c>
      <c r="AO99" s="11">
        <v>16.221724143611361</v>
      </c>
      <c r="AP99" s="11">
        <f>16608.9636751436/(10^3)</f>
        <v>16.608963675143603</v>
      </c>
      <c r="AQ99" s="11">
        <f>16281.6627212523/(10^3)</f>
        <v>16.2816627212523</v>
      </c>
      <c r="AR99" s="11">
        <f>16226.4378683772/(10^3)</f>
        <v>16.2264378683772</v>
      </c>
      <c r="AS99" s="11">
        <f>16233.5499309728/(10^3)</f>
        <v>16.233549930972799</v>
      </c>
      <c r="AT99" s="11">
        <f>16222.4748617402/(10^3)</f>
        <v>16.222474861740199</v>
      </c>
      <c r="AU99" s="11">
        <v>17.028973093196299</v>
      </c>
      <c r="AV99" s="11">
        <f>17086.9774741798/(10^3)</f>
        <v>17.0869774741798</v>
      </c>
      <c r="AW99" s="11">
        <f>16839.9567788688/(10^3)</f>
        <v>16.8399567788688</v>
      </c>
      <c r="AX99" s="11">
        <f>17056.7797806988/(10^3)</f>
        <v>17.056779780698797</v>
      </c>
      <c r="AY99" s="11">
        <f>17171.0286902099/(10^3)</f>
        <v>17.171028690209901</v>
      </c>
      <c r="AZ99" s="11">
        <f>17390.3694015692/(10^3)</f>
        <v>17.390369401569203</v>
      </c>
      <c r="BA99" s="11">
        <v>17.860437519471088</v>
      </c>
      <c r="BB99" s="11">
        <f>17843.6907212116/(10^3)</f>
        <v>17.843690721211598</v>
      </c>
      <c r="BC99" s="11">
        <f>18690.9613746195/(10^3)</f>
        <v>18.690961374619498</v>
      </c>
      <c r="BD99" s="11">
        <f>18691.7670940311/(10^3)</f>
        <v>18.6917670940311</v>
      </c>
      <c r="BE99" s="11">
        <f>18549.0688610351/(10^3)</f>
        <v>18.549068861035099</v>
      </c>
      <c r="BF99" s="11">
        <f>18610.7681221973/(10^3)</f>
        <v>18.6107681221973</v>
      </c>
      <c r="BG99" s="11">
        <v>19.272706635413893</v>
      </c>
      <c r="BH99" s="11">
        <f>19999.9971518303/(10^3)</f>
        <v>19.9999971518303</v>
      </c>
      <c r="BI99" s="11">
        <f>19643.1667276899/(10^3)</f>
        <v>19.643166727689898</v>
      </c>
      <c r="BJ99" s="11">
        <f>19663.8311970034/(10^3)</f>
        <v>19.6638311970034</v>
      </c>
      <c r="BK99" s="11">
        <f>19420.115584748/(10^3)</f>
        <v>19.420115584748</v>
      </c>
      <c r="BL99" s="11">
        <f>20315.2157858749/(10^3)</f>
        <v>20.315215785874901</v>
      </c>
      <c r="BM99" s="11">
        <v>21.263061059270498</v>
      </c>
      <c r="BN99" s="11">
        <f>22310.5030483669/(10^3)</f>
        <v>22.3105030483669</v>
      </c>
      <c r="BO99" s="11">
        <f>22460.9998804885/(10^3)</f>
        <v>22.460999880488501</v>
      </c>
      <c r="BP99" s="11">
        <f>22286.6962705473/(10^3)</f>
        <v>22.286696270547303</v>
      </c>
      <c r="BQ99" s="11">
        <f>22911.8281336624/(10^3)</f>
        <v>22.9118281336624</v>
      </c>
      <c r="BR99" s="11">
        <f>23581.4094826985/(10^3)</f>
        <v>23.581409482698497</v>
      </c>
      <c r="BS99" s="11">
        <v>23.820989217443881</v>
      </c>
      <c r="BT99" s="11">
        <f>23908.4347650443/(10^3)</f>
        <v>23.908434765044301</v>
      </c>
      <c r="BU99" s="11">
        <f>24394.0036921418/(10^3)</f>
        <v>24.394003692141801</v>
      </c>
      <c r="BV99" s="11">
        <f>25611.4699019662/(10^3)</f>
        <v>25.611469901966199</v>
      </c>
      <c r="BW99" s="11">
        <f>26053.363228642/(10^3)</f>
        <v>26.053363228641999</v>
      </c>
      <c r="BX99" s="11">
        <f>25868.985163799/(10^3)</f>
        <v>25.868985163799</v>
      </c>
      <c r="BY99" s="11">
        <v>26.307212872853171</v>
      </c>
      <c r="BZ99" s="11">
        <f>26307.2128728532/(10^3)</f>
        <v>26.307212872853199</v>
      </c>
      <c r="CA99" s="11">
        <f>25797.5632799002/(10^3)</f>
        <v>25.797563279900203</v>
      </c>
      <c r="CB99" s="11">
        <f>26513.2646260593/(10^3)</f>
        <v>26.5132646260593</v>
      </c>
      <c r="CC99" s="12"/>
      <c r="DD99" s="11"/>
      <c r="DE99" s="11"/>
      <c r="DF99" s="11"/>
    </row>
    <row r="100" spans="4:110" ht="15.6" x14ac:dyDescent="0.25">
      <c r="D100" s="10" t="s">
        <v>76</v>
      </c>
      <c r="E100" s="10" t="s">
        <v>51</v>
      </c>
      <c r="F100" s="10" t="s">
        <v>149</v>
      </c>
      <c r="G100" s="10" t="s">
        <v>182</v>
      </c>
      <c r="H100" s="67" t="str">
        <f t="shared" si="3"/>
        <v>Wichita (피합병)</v>
      </c>
      <c r="I100" s="11">
        <f>14246.614340886/(10^3)</f>
        <v>14.246614340886001</v>
      </c>
      <c r="J100" s="11">
        <f>14737.0066997465/(10^3)</f>
        <v>14.7370066997465</v>
      </c>
      <c r="K100" s="11">
        <v>15.269905837855816</v>
      </c>
      <c r="L100" s="11">
        <f>15181.5211737506/(10^3)</f>
        <v>15.1815211737506</v>
      </c>
      <c r="M100" s="11">
        <f>15058.6152275359/(10^3)</f>
        <v>15.058615227535899</v>
      </c>
      <c r="N100" s="11">
        <f>15595.2887067571/(10^3)</f>
        <v>15.595288706757099</v>
      </c>
      <c r="O100" s="11">
        <f>15956.6094225096/(10^3)</f>
        <v>15.956609422509601</v>
      </c>
      <c r="P100" s="11">
        <f>16012.0731229858/(10^3)</f>
        <v>16.0120731229858</v>
      </c>
      <c r="Q100" s="11">
        <v>16.43882386008265</v>
      </c>
      <c r="R100" s="11">
        <f>16472.7922540953/(10^3)</f>
        <v>16.4727922540953</v>
      </c>
      <c r="S100" s="11">
        <f>16575.5734392343/(10^3)</f>
        <v>16.575573439234301</v>
      </c>
      <c r="T100" s="11">
        <f>17333.1372371502/(10^3)</f>
        <v>17.333137237150201</v>
      </c>
      <c r="U100" s="11">
        <f>17902.3721255116/(10^3)</f>
        <v>17.902372125511601</v>
      </c>
      <c r="V100" s="11">
        <f>17974.913418019/(10^3)</f>
        <v>17.974913418019</v>
      </c>
      <c r="W100" s="11">
        <v>17.877365965168746</v>
      </c>
      <c r="X100" s="11">
        <f>17749.0023950032/(10^3)</f>
        <v>17.749002395003203</v>
      </c>
      <c r="Y100" s="11">
        <f>17693.4446005718/(10^3)</f>
        <v>17.693444600571798</v>
      </c>
      <c r="Z100" s="11">
        <f>17766.1520235827/(10^3)</f>
        <v>17.766152023582702</v>
      </c>
      <c r="AA100" s="11">
        <f>17648.7387263738/(10^3)</f>
        <v>17.6487387263738</v>
      </c>
      <c r="AB100" s="11">
        <f>17668.6053604078/(10^3)</f>
        <v>17.668605360407799</v>
      </c>
      <c r="AC100" s="11">
        <v>17.599181198394255</v>
      </c>
      <c r="AD100" s="11">
        <f>17753.5224683304/(10^3)</f>
        <v>17.753522468330399</v>
      </c>
      <c r="AE100" s="11">
        <f>17711.6965944459/(10^3)</f>
        <v>17.7116965944459</v>
      </c>
      <c r="AF100" s="11">
        <f>17882.6924520109/(10^3)</f>
        <v>17.8826924520109</v>
      </c>
      <c r="AG100" s="11">
        <f>17940.9217952085/(10^3)</f>
        <v>17.940921795208499</v>
      </c>
      <c r="AH100" s="11">
        <f>17673.7882718039/(10^3)</f>
        <v>17.6737882718039</v>
      </c>
      <c r="AI100" s="11">
        <v>17.988260423978328</v>
      </c>
      <c r="AJ100" s="11">
        <f>18400.029786263/(10^3)</f>
        <v>18.400029786262998</v>
      </c>
      <c r="AK100" s="11">
        <f>19235.1676608631/(10^3)</f>
        <v>19.235167660863098</v>
      </c>
      <c r="AL100" s="11">
        <f>20149.5890610825/(10^3)</f>
        <v>20.149589061082501</v>
      </c>
      <c r="AM100" s="11">
        <f>20313.0525396326/(10^3)</f>
        <v>20.313052539632601</v>
      </c>
      <c r="AN100" s="11">
        <f>19936.0212368367/(10^3)</f>
        <v>19.936021236836698</v>
      </c>
      <c r="AO100" s="11">
        <v>20.299642495777515</v>
      </c>
      <c r="AP100" s="11">
        <f>20075.8154112423/(10^3)</f>
        <v>20.075815411242299</v>
      </c>
      <c r="AQ100" s="11">
        <f>19682.5530038385/(10^3)</f>
        <v>19.6825530038385</v>
      </c>
      <c r="AR100" s="11">
        <f>19839.6038403616/(10^3)</f>
        <v>19.839603840361601</v>
      </c>
      <c r="AS100" s="11">
        <f>20787.2658600072/(10^3)</f>
        <v>20.787265860007199</v>
      </c>
      <c r="AT100" s="11">
        <f>20704.9434133976/(10^3)</f>
        <v>20.704943413397601</v>
      </c>
      <c r="AU100" s="11">
        <v>20.563191351581107</v>
      </c>
      <c r="AV100" s="11">
        <f>20166.3566146012/(10^3)</f>
        <v>20.166356614601202</v>
      </c>
      <c r="AW100" s="11">
        <f>19868.5167599765/(10^3)</f>
        <v>19.868516759976501</v>
      </c>
      <c r="AX100" s="11">
        <f>19963.7420608827/(10^3)</f>
        <v>19.963742060882701</v>
      </c>
      <c r="AY100" s="11">
        <f>20912.509838867/(10^3)</f>
        <v>20.912509838867003</v>
      </c>
      <c r="AZ100" s="11">
        <f>21528.0749009244/(10^3)</f>
        <v>21.528074900924398</v>
      </c>
      <c r="BA100" s="11">
        <v>21.739293085565652</v>
      </c>
      <c r="BB100" s="11">
        <f>21474.8104374624/(10^3)</f>
        <v>21.474810437462402</v>
      </c>
      <c r="BC100" s="11">
        <f>22524.9101409334/(10^3)</f>
        <v>22.5249101409334</v>
      </c>
      <c r="BD100" s="11">
        <f>22462.0949871687/(10^3)</f>
        <v>22.462094987168701</v>
      </c>
      <c r="BE100" s="11">
        <f>23569.9983125371/(10^3)</f>
        <v>23.569998312537098</v>
      </c>
      <c r="BF100" s="11">
        <f>23295.1393618545/(10^3)</f>
        <v>23.295139361854499</v>
      </c>
      <c r="BG100" s="11">
        <v>24.20135687224866</v>
      </c>
      <c r="BH100" s="11">
        <f>25160.145428076/(10^3)</f>
        <v>25.160145428076</v>
      </c>
      <c r="BI100" s="11">
        <f>24698.7783943222/(10^3)</f>
        <v>24.698778394322197</v>
      </c>
      <c r="BJ100" s="11">
        <f>25603.780199393/(10^3)</f>
        <v>25.603780199393</v>
      </c>
      <c r="BK100" s="11">
        <f>25416.3923080726/(10^3)</f>
        <v>25.416392308072602</v>
      </c>
      <c r="BL100" s="11">
        <f>25375.9039258912/(10^3)</f>
        <v>25.375903925891201</v>
      </c>
      <c r="BM100" s="11">
        <v>25.986077748882231</v>
      </c>
      <c r="BN100" s="11">
        <f>27097.7124533716/(10^3)</f>
        <v>27.097712453371603</v>
      </c>
      <c r="BO100" s="11">
        <f>27360.7299819715/(10^3)</f>
        <v>27.360729981971502</v>
      </c>
      <c r="BP100" s="11">
        <f>28507.862335906/(10^3)</f>
        <v>28.507862335906001</v>
      </c>
      <c r="BQ100" s="11">
        <f>28430.4457716954/(10^3)</f>
        <v>28.4304457716954</v>
      </c>
      <c r="BR100" s="11">
        <f>27893.1587653881/(10^3)</f>
        <v>27.893158765388101</v>
      </c>
      <c r="BS100" s="11">
        <v>28.945027355682381</v>
      </c>
      <c r="BT100" s="11">
        <f>29555.9544172705/(10^3)</f>
        <v>29.555954417270499</v>
      </c>
      <c r="BU100" s="11">
        <f>30201.0040939331/(10^3)</f>
        <v>30.201004093933101</v>
      </c>
      <c r="BV100" s="11">
        <f>30400.9502548616/(10^3)</f>
        <v>30.400950254861598</v>
      </c>
      <c r="BW100" s="11">
        <f>30755.9855386441/(10^3)</f>
        <v>30.755985538644101</v>
      </c>
      <c r="BX100" s="11">
        <f>32052.8016483422/(10^3)</f>
        <v>32.052801648342196</v>
      </c>
      <c r="BY100" s="11">
        <v>32.731834793793894</v>
      </c>
      <c r="BZ100" s="11">
        <f>32731.8347937939/(10^3)</f>
        <v>32.731834793793901</v>
      </c>
      <c r="CA100" s="11">
        <f>32516.0663308112/(10^3)</f>
        <v>32.516066330811199</v>
      </c>
      <c r="CB100" s="11">
        <f>32097.9524747106/(10^3)</f>
        <v>32.097952474710603</v>
      </c>
      <c r="CC100" s="12"/>
      <c r="DD100" s="11"/>
      <c r="DE100" s="11"/>
      <c r="DF100" s="11"/>
    </row>
    <row r="101" spans="4:110" ht="14.4" x14ac:dyDescent="0.3">
      <c r="I101" s="11"/>
      <c r="J101" s="15"/>
    </row>
    <row r="102" spans="4:110" ht="14.4" x14ac:dyDescent="0.3">
      <c r="I102" s="11"/>
      <c r="J102" s="15"/>
    </row>
    <row r="103" spans="4:110" ht="14.4" x14ac:dyDescent="0.3">
      <c r="D103" s="16" t="s">
        <v>152</v>
      </c>
      <c r="E103" s="17"/>
      <c r="F103" s="17"/>
      <c r="G103" s="17"/>
      <c r="H103" s="17"/>
      <c r="I103" s="18"/>
      <c r="J103" s="19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</row>
    <row r="104" spans="4:110" ht="14.4" x14ac:dyDescent="0.3">
      <c r="D104" s="4"/>
      <c r="I104" s="11"/>
      <c r="J104" s="15"/>
    </row>
    <row r="105" spans="4:110" x14ac:dyDescent="0.25">
      <c r="D105" s="20"/>
      <c r="CC105" s="6" t="s">
        <v>218</v>
      </c>
    </row>
    <row r="106" spans="4:110" x14ac:dyDescent="0.25">
      <c r="D106" s="4"/>
      <c r="H106" s="9"/>
      <c r="I106" s="9">
        <v>42035</v>
      </c>
      <c r="J106" s="9">
        <v>42063</v>
      </c>
      <c r="K106" s="9">
        <v>42094</v>
      </c>
      <c r="L106" s="9">
        <v>42124</v>
      </c>
      <c r="M106" s="9">
        <v>42155</v>
      </c>
      <c r="N106" s="9">
        <v>42185</v>
      </c>
      <c r="O106" s="9">
        <v>42216</v>
      </c>
      <c r="P106" s="9">
        <v>42247</v>
      </c>
      <c r="Q106" s="9">
        <v>42277</v>
      </c>
      <c r="R106" s="9">
        <v>42308</v>
      </c>
      <c r="S106" s="9">
        <v>42338</v>
      </c>
      <c r="T106" s="9">
        <v>42369</v>
      </c>
      <c r="U106" s="9">
        <v>42400</v>
      </c>
      <c r="V106" s="9">
        <v>42429</v>
      </c>
      <c r="W106" s="9">
        <v>42460</v>
      </c>
      <c r="X106" s="9">
        <v>42490</v>
      </c>
      <c r="Y106" s="9">
        <v>42521</v>
      </c>
      <c r="Z106" s="9">
        <v>42551</v>
      </c>
      <c r="AA106" s="9">
        <v>42582</v>
      </c>
      <c r="AB106" s="9">
        <v>42613</v>
      </c>
      <c r="AC106" s="9">
        <v>42643</v>
      </c>
      <c r="AD106" s="9">
        <v>42674</v>
      </c>
      <c r="AE106" s="9">
        <v>42704</v>
      </c>
      <c r="AF106" s="9">
        <v>42735</v>
      </c>
      <c r="AG106" s="9">
        <v>42766</v>
      </c>
      <c r="AH106" s="9">
        <v>42794</v>
      </c>
      <c r="AI106" s="9">
        <v>42825</v>
      </c>
      <c r="AJ106" s="9">
        <v>42855</v>
      </c>
      <c r="AK106" s="9">
        <v>42886</v>
      </c>
      <c r="AL106" s="9">
        <v>42916</v>
      </c>
      <c r="AM106" s="9">
        <v>42947</v>
      </c>
      <c r="AN106" s="9">
        <v>42978</v>
      </c>
      <c r="AO106" s="9">
        <v>43008</v>
      </c>
      <c r="AP106" s="9">
        <v>43039</v>
      </c>
      <c r="AQ106" s="9">
        <v>43069</v>
      </c>
      <c r="AR106" s="9">
        <v>43100</v>
      </c>
      <c r="AS106" s="9">
        <v>43131</v>
      </c>
      <c r="AT106" s="9">
        <v>43159</v>
      </c>
      <c r="AU106" s="9">
        <v>43190</v>
      </c>
      <c r="AV106" s="9">
        <v>43220</v>
      </c>
      <c r="AW106" s="9">
        <v>43251</v>
      </c>
      <c r="AX106" s="9">
        <v>43281</v>
      </c>
      <c r="AY106" s="9">
        <v>43312</v>
      </c>
      <c r="AZ106" s="9">
        <v>43343</v>
      </c>
      <c r="BA106" s="9">
        <v>43373</v>
      </c>
      <c r="BB106" s="9">
        <v>43404</v>
      </c>
      <c r="BC106" s="9">
        <v>43434</v>
      </c>
      <c r="BD106" s="9">
        <v>43465</v>
      </c>
      <c r="BE106" s="9">
        <v>43496</v>
      </c>
      <c r="BF106" s="9">
        <v>43524</v>
      </c>
      <c r="BG106" s="9">
        <v>43555</v>
      </c>
      <c r="BH106" s="9">
        <v>43585</v>
      </c>
      <c r="BI106" s="9">
        <v>43616</v>
      </c>
      <c r="BJ106" s="9">
        <v>43646</v>
      </c>
      <c r="BK106" s="9">
        <v>43677</v>
      </c>
      <c r="BL106" s="9">
        <v>43708</v>
      </c>
      <c r="BM106" s="9">
        <v>43738</v>
      </c>
      <c r="BN106" s="9">
        <v>43769</v>
      </c>
      <c r="BO106" s="9">
        <v>43799</v>
      </c>
      <c r="BP106" s="9">
        <v>43830</v>
      </c>
      <c r="BQ106" s="9">
        <v>43861</v>
      </c>
      <c r="BR106" s="9">
        <v>43890</v>
      </c>
      <c r="BS106" s="9">
        <v>43921</v>
      </c>
      <c r="BT106" s="9">
        <v>43951</v>
      </c>
      <c r="BU106" s="9">
        <v>43982</v>
      </c>
      <c r="BV106" s="9">
        <v>44012</v>
      </c>
      <c r="BW106" s="9">
        <v>44043</v>
      </c>
      <c r="BX106" s="9">
        <v>44074</v>
      </c>
      <c r="BY106" s="9">
        <v>44104</v>
      </c>
      <c r="BZ106" s="9">
        <v>44135</v>
      </c>
      <c r="CA106" s="9">
        <v>44165</v>
      </c>
      <c r="CB106" s="9">
        <v>44196</v>
      </c>
      <c r="CC106" s="9">
        <f>EOMONTH(CB6,1)</f>
        <v>44227</v>
      </c>
      <c r="CD106" s="9">
        <f t="shared" ref="CD106:CN106" si="4">EOMONTH(CC106,1)</f>
        <v>44255</v>
      </c>
      <c r="CE106" s="9">
        <f t="shared" si="4"/>
        <v>44286</v>
      </c>
      <c r="CF106" s="9">
        <f t="shared" si="4"/>
        <v>44316</v>
      </c>
      <c r="CG106" s="9">
        <f t="shared" si="4"/>
        <v>44347</v>
      </c>
      <c r="CH106" s="9">
        <f t="shared" si="4"/>
        <v>44377</v>
      </c>
      <c r="CI106" s="9">
        <f t="shared" si="4"/>
        <v>44408</v>
      </c>
      <c r="CJ106" s="9">
        <f t="shared" si="4"/>
        <v>44439</v>
      </c>
      <c r="CK106" s="9">
        <f t="shared" si="4"/>
        <v>44469</v>
      </c>
      <c r="CL106" s="9">
        <f t="shared" si="4"/>
        <v>44500</v>
      </c>
      <c r="CM106" s="9">
        <f t="shared" si="4"/>
        <v>44530</v>
      </c>
      <c r="CN106" s="9">
        <f t="shared" si="4"/>
        <v>44561</v>
      </c>
    </row>
    <row r="107" spans="4:110" x14ac:dyDescent="0.25">
      <c r="D107" s="6" t="s">
        <v>153</v>
      </c>
      <c r="H107" s="10" t="s">
        <v>153</v>
      </c>
      <c r="I107" s="68">
        <f t="shared" ref="I107:AN107" si="5">SUM(I7:I100)</f>
        <v>23333.97430479684</v>
      </c>
      <c r="J107" s="68">
        <f t="shared" si="5"/>
        <v>23814.354579571875</v>
      </c>
      <c r="K107" s="68">
        <f t="shared" si="5"/>
        <v>24108.581925957271</v>
      </c>
      <c r="L107" s="68">
        <f t="shared" si="5"/>
        <v>24390.500897697719</v>
      </c>
      <c r="M107" s="68">
        <f t="shared" si="5"/>
        <v>24701.719838839374</v>
      </c>
      <c r="N107" s="68">
        <f t="shared" si="5"/>
        <v>25775.081708877711</v>
      </c>
      <c r="O107" s="68">
        <f t="shared" si="5"/>
        <v>26382.244850996376</v>
      </c>
      <c r="P107" s="68">
        <f t="shared" si="5"/>
        <v>26869.361706436564</v>
      </c>
      <c r="Q107" s="68">
        <f t="shared" si="5"/>
        <v>27448.452616795275</v>
      </c>
      <c r="R107" s="68">
        <f t="shared" si="5"/>
        <v>27648.894852152222</v>
      </c>
      <c r="S107" s="68">
        <f t="shared" si="5"/>
        <v>27315.126679944067</v>
      </c>
      <c r="T107" s="68">
        <f t="shared" si="5"/>
        <v>27054.382074347443</v>
      </c>
      <c r="U107" s="68">
        <f t="shared" si="5"/>
        <v>26760.591373067335</v>
      </c>
      <c r="V107" s="68">
        <f t="shared" si="5"/>
        <v>26801.144124341688</v>
      </c>
      <c r="W107" s="68">
        <f t="shared" si="5"/>
        <v>26761.067500773886</v>
      </c>
      <c r="X107" s="68">
        <f t="shared" si="5"/>
        <v>26931.286786743738</v>
      </c>
      <c r="Y107" s="68">
        <f t="shared" si="5"/>
        <v>27114.305231302853</v>
      </c>
      <c r="Z107" s="68">
        <f t="shared" si="5"/>
        <v>27732.301688411164</v>
      </c>
      <c r="AA107" s="68">
        <f t="shared" si="5"/>
        <v>28111.596975273354</v>
      </c>
      <c r="AB107" s="68">
        <f t="shared" si="5"/>
        <v>28493.838335038075</v>
      </c>
      <c r="AC107" s="68">
        <f t="shared" si="5"/>
        <v>29035.629819855392</v>
      </c>
      <c r="AD107" s="68">
        <f t="shared" si="5"/>
        <v>29388.365320384113</v>
      </c>
      <c r="AE107" s="68">
        <f t="shared" si="5"/>
        <v>29519.685401982217</v>
      </c>
      <c r="AF107" s="68">
        <f t="shared" si="5"/>
        <v>29756.792102474185</v>
      </c>
      <c r="AG107" s="68">
        <f t="shared" si="5"/>
        <v>30019.394729853109</v>
      </c>
      <c r="AH107" s="68">
        <f t="shared" si="5"/>
        <v>30640.318131090262</v>
      </c>
      <c r="AI107" s="68">
        <f t="shared" si="5"/>
        <v>31132.859898929371</v>
      </c>
      <c r="AJ107" s="68">
        <f t="shared" si="5"/>
        <v>31505.641865090267</v>
      </c>
      <c r="AK107" s="68">
        <f t="shared" si="5"/>
        <v>31940.649875825518</v>
      </c>
      <c r="AL107" s="68">
        <f t="shared" si="5"/>
        <v>32450.117142627005</v>
      </c>
      <c r="AM107" s="68">
        <f t="shared" si="5"/>
        <v>32969.261037529286</v>
      </c>
      <c r="AN107" s="68">
        <f t="shared" si="5"/>
        <v>33403.59172331338</v>
      </c>
      <c r="AO107" s="68">
        <f t="shared" ref="AO107:BT107" si="6">SUM(AO7:AO100)</f>
        <v>33938.346493098667</v>
      </c>
      <c r="AP107" s="68">
        <f t="shared" si="6"/>
        <v>34180.471482053079</v>
      </c>
      <c r="AQ107" s="68">
        <f t="shared" si="6"/>
        <v>33360.638780774578</v>
      </c>
      <c r="AR107" s="68">
        <f t="shared" si="6"/>
        <v>32873.930991379115</v>
      </c>
      <c r="AS107" s="68">
        <f t="shared" si="6"/>
        <v>32603.623935047224</v>
      </c>
      <c r="AT107" s="68">
        <f t="shared" si="6"/>
        <v>32504.999540048571</v>
      </c>
      <c r="AU107" s="68">
        <f t="shared" si="6"/>
        <v>32428.346344567908</v>
      </c>
      <c r="AV107" s="68">
        <f t="shared" si="6"/>
        <v>32253.689191356654</v>
      </c>
      <c r="AW107" s="68">
        <f t="shared" si="6"/>
        <v>32341.899871458438</v>
      </c>
      <c r="AX107" s="68">
        <f t="shared" si="6"/>
        <v>32722.5306720673</v>
      </c>
      <c r="AY107" s="68">
        <f t="shared" si="6"/>
        <v>32814.838718434279</v>
      </c>
      <c r="AZ107" s="68">
        <f t="shared" si="6"/>
        <v>32989.320308722214</v>
      </c>
      <c r="BA107" s="68">
        <f t="shared" si="6"/>
        <v>33279.462461895455</v>
      </c>
      <c r="BB107" s="68">
        <f t="shared" si="6"/>
        <v>33648.915506081103</v>
      </c>
      <c r="BC107" s="68">
        <f t="shared" si="6"/>
        <v>33157.665655694946</v>
      </c>
      <c r="BD107" s="68">
        <f t="shared" si="6"/>
        <v>32752.701564662002</v>
      </c>
      <c r="BE107" s="68">
        <f t="shared" si="6"/>
        <v>32631.083804997928</v>
      </c>
      <c r="BF107" s="68">
        <f t="shared" si="6"/>
        <v>33163.201440528675</v>
      </c>
      <c r="BG107" s="68">
        <f t="shared" si="6"/>
        <v>33554.006785358768</v>
      </c>
      <c r="BH107" s="68">
        <f t="shared" si="6"/>
        <v>34219.417852399522</v>
      </c>
      <c r="BI107" s="68">
        <f t="shared" si="6"/>
        <v>34837.823595480717</v>
      </c>
      <c r="BJ107" s="68">
        <f t="shared" si="6"/>
        <v>36114.592365589619</v>
      </c>
      <c r="BK107" s="68">
        <f t="shared" si="6"/>
        <v>36830.588041917064</v>
      </c>
      <c r="BL107" s="68">
        <f t="shared" si="6"/>
        <v>37680.295962500073</v>
      </c>
      <c r="BM107" s="68">
        <f t="shared" si="6"/>
        <v>38654.174430678264</v>
      </c>
      <c r="BN107" s="68">
        <f t="shared" si="6"/>
        <v>39191.081331404013</v>
      </c>
      <c r="BO107" s="68">
        <f t="shared" si="6"/>
        <v>38332.294500828764</v>
      </c>
      <c r="BP107" s="68">
        <f t="shared" si="6"/>
        <v>37989.448287839354</v>
      </c>
      <c r="BQ107" s="68">
        <f t="shared" si="6"/>
        <v>37732.215141150322</v>
      </c>
      <c r="BR107" s="68">
        <f t="shared" si="6"/>
        <v>38053.245095076818</v>
      </c>
      <c r="BS107" s="68">
        <f t="shared" si="6"/>
        <v>38019.966558861095</v>
      </c>
      <c r="BT107" s="68">
        <f t="shared" si="6"/>
        <v>38108.411349682792</v>
      </c>
      <c r="BU107" s="68">
        <f t="shared" ref="BU107:CB107" si="7">SUM(BU7:BU100)</f>
        <v>38383.086687610186</v>
      </c>
      <c r="BV107" s="68">
        <f t="shared" si="7"/>
        <v>39187.838930325968</v>
      </c>
      <c r="BW107" s="68">
        <f t="shared" si="7"/>
        <v>39886.998042867002</v>
      </c>
      <c r="BX107" s="68">
        <f t="shared" si="7"/>
        <v>40526.076538089525</v>
      </c>
      <c r="BY107" s="68">
        <f t="shared" si="7"/>
        <v>41355.157949181921</v>
      </c>
      <c r="BZ107" s="68">
        <f t="shared" si="7"/>
        <v>41612.717240387654</v>
      </c>
      <c r="CA107" s="68">
        <f t="shared" si="7"/>
        <v>40418.614201557888</v>
      </c>
      <c r="CB107" s="68">
        <f t="shared" si="7"/>
        <v>40227.452458665386</v>
      </c>
      <c r="CC107" s="64">
        <f t="shared" ref="CC107:CN107" si="8">+H322</f>
        <v>38186.620013588414</v>
      </c>
      <c r="CD107" s="64">
        <f t="shared" si="8"/>
        <v>38124.884216517319</v>
      </c>
      <c r="CE107" s="64">
        <f t="shared" si="8"/>
        <v>38250.323144000002</v>
      </c>
      <c r="CF107" s="64">
        <f t="shared" si="8"/>
        <v>38393.165104803244</v>
      </c>
      <c r="CG107" s="64">
        <f t="shared" si="8"/>
        <v>38729.784093444672</v>
      </c>
      <c r="CH107" s="64">
        <f t="shared" si="8"/>
        <v>39317.41048522343</v>
      </c>
      <c r="CI107" s="64">
        <f t="shared" si="8"/>
        <v>40341.255064107892</v>
      </c>
      <c r="CJ107" s="64">
        <f t="shared" si="8"/>
        <v>41330.494700359392</v>
      </c>
      <c r="CK107" s="64">
        <f t="shared" si="8"/>
        <v>41621.444911897001</v>
      </c>
      <c r="CL107" s="64">
        <f t="shared" si="8"/>
        <v>41740.386243246088</v>
      </c>
      <c r="CM107" s="64">
        <f t="shared" si="8"/>
        <v>41073.284539005763</v>
      </c>
      <c r="CN107" s="64">
        <f t="shared" si="8"/>
        <v>40600.525823927062</v>
      </c>
    </row>
    <row r="108" spans="4:110" outlineLevel="1" x14ac:dyDescent="0.25">
      <c r="D108" s="6"/>
      <c r="G108" s="11"/>
      <c r="H108" s="6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</row>
    <row r="109" spans="4:110" outlineLevel="1" x14ac:dyDescent="0.25">
      <c r="D109" s="6"/>
      <c r="G109" s="11"/>
      <c r="H109" s="6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</row>
    <row r="110" spans="4:110" outlineLevel="1" x14ac:dyDescent="0.25">
      <c r="D110" s="6"/>
      <c r="G110" s="11"/>
      <c r="H110" s="6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</row>
    <row r="111" spans="4:110" outlineLevel="1" x14ac:dyDescent="0.25">
      <c r="D111" s="6"/>
      <c r="G111" s="11"/>
      <c r="H111" s="6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</row>
    <row r="112" spans="4:110" outlineLevel="1" x14ac:dyDescent="0.25">
      <c r="D112" s="6"/>
      <c r="G112" s="11"/>
      <c r="H112" s="6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</row>
    <row r="113" spans="4:79" outlineLevel="1" x14ac:dyDescent="0.25">
      <c r="D113" s="6"/>
      <c r="G113" s="11"/>
      <c r="H113" s="6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</row>
    <row r="114" spans="4:79" outlineLevel="1" x14ac:dyDescent="0.25">
      <c r="D114" s="6"/>
      <c r="G114" s="11"/>
      <c r="H114" s="6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</row>
    <row r="115" spans="4:79" outlineLevel="1" x14ac:dyDescent="0.25">
      <c r="D115" s="6"/>
      <c r="G115" s="11"/>
      <c r="H115" s="6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</row>
    <row r="116" spans="4:79" outlineLevel="1" x14ac:dyDescent="0.25">
      <c r="D116" s="6"/>
      <c r="G116" s="11"/>
      <c r="H116" s="6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</row>
    <row r="117" spans="4:79" outlineLevel="1" x14ac:dyDescent="0.25">
      <c r="D117" s="6"/>
      <c r="G117" s="11"/>
      <c r="H117" s="6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</row>
    <row r="118" spans="4:79" outlineLevel="1" x14ac:dyDescent="0.25">
      <c r="D118" s="6"/>
      <c r="G118" s="11"/>
      <c r="H118" s="6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</row>
    <row r="119" spans="4:79" outlineLevel="1" x14ac:dyDescent="0.25">
      <c r="D119" s="6"/>
      <c r="G119" s="11"/>
      <c r="H119" s="6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</row>
    <row r="120" spans="4:79" outlineLevel="1" x14ac:dyDescent="0.25">
      <c r="D120" s="6"/>
      <c r="G120" s="11"/>
      <c r="H120" s="6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</row>
    <row r="121" spans="4:79" outlineLevel="1" x14ac:dyDescent="0.25">
      <c r="D121" s="6"/>
      <c r="G121" s="11"/>
      <c r="H121" s="6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</row>
    <row r="122" spans="4:79" outlineLevel="1" x14ac:dyDescent="0.25">
      <c r="D122" s="6"/>
      <c r="G122" s="11"/>
      <c r="H122" s="6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</row>
    <row r="123" spans="4:79" outlineLevel="1" x14ac:dyDescent="0.25">
      <c r="D123" s="6"/>
      <c r="G123" s="11"/>
      <c r="H123" s="6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</row>
    <row r="124" spans="4:79" outlineLevel="1" x14ac:dyDescent="0.25">
      <c r="D124" s="6"/>
      <c r="G124" s="11"/>
      <c r="H124" s="6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</row>
    <row r="125" spans="4:79" outlineLevel="1" x14ac:dyDescent="0.25">
      <c r="D125" s="5"/>
      <c r="G125" s="11"/>
      <c r="H125" s="5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</row>
    <row r="126" spans="4:79" x14ac:dyDescent="0.25">
      <c r="D126" s="6"/>
      <c r="G126" s="11"/>
      <c r="H126" s="10"/>
      <c r="I126" s="11"/>
      <c r="J126" s="14"/>
      <c r="K126" s="14" t="str">
        <f t="shared" ref="K126:AN126" si="9">IF(L107&lt;K107*95%,"체크","")</f>
        <v/>
      </c>
      <c r="L126" s="14" t="str">
        <f t="shared" si="9"/>
        <v/>
      </c>
      <c r="M126" s="14" t="str">
        <f t="shared" si="9"/>
        <v/>
      </c>
      <c r="N126" s="14" t="str">
        <f t="shared" si="9"/>
        <v/>
      </c>
      <c r="O126" s="14" t="str">
        <f t="shared" si="9"/>
        <v/>
      </c>
      <c r="P126" s="14" t="str">
        <f t="shared" si="9"/>
        <v/>
      </c>
      <c r="Q126" s="14" t="str">
        <f t="shared" si="9"/>
        <v/>
      </c>
      <c r="R126" s="14" t="str">
        <f t="shared" si="9"/>
        <v/>
      </c>
      <c r="S126" s="14" t="str">
        <f t="shared" si="9"/>
        <v/>
      </c>
      <c r="T126" s="14" t="str">
        <f t="shared" si="9"/>
        <v/>
      </c>
      <c r="U126" s="14" t="str">
        <f t="shared" si="9"/>
        <v/>
      </c>
      <c r="V126" s="14" t="str">
        <f t="shared" si="9"/>
        <v/>
      </c>
      <c r="W126" s="14" t="str">
        <f t="shared" si="9"/>
        <v/>
      </c>
      <c r="X126" s="14" t="str">
        <f t="shared" si="9"/>
        <v/>
      </c>
      <c r="Y126" s="14" t="str">
        <f t="shared" si="9"/>
        <v/>
      </c>
      <c r="Z126" s="14" t="str">
        <f t="shared" si="9"/>
        <v/>
      </c>
      <c r="AA126" s="14" t="str">
        <f t="shared" si="9"/>
        <v/>
      </c>
      <c r="AB126" s="14" t="str">
        <f t="shared" si="9"/>
        <v/>
      </c>
      <c r="AC126" s="14" t="str">
        <f t="shared" si="9"/>
        <v/>
      </c>
      <c r="AD126" s="14" t="str">
        <f t="shared" si="9"/>
        <v/>
      </c>
      <c r="AE126" s="14" t="str">
        <f t="shared" si="9"/>
        <v/>
      </c>
      <c r="AF126" s="14" t="str">
        <f t="shared" si="9"/>
        <v/>
      </c>
      <c r="AG126" s="14" t="str">
        <f t="shared" si="9"/>
        <v/>
      </c>
      <c r="AH126" s="14" t="str">
        <f t="shared" si="9"/>
        <v/>
      </c>
      <c r="AI126" s="14" t="str">
        <f t="shared" si="9"/>
        <v/>
      </c>
      <c r="AJ126" s="14" t="str">
        <f t="shared" si="9"/>
        <v/>
      </c>
      <c r="AK126" s="14" t="str">
        <f t="shared" si="9"/>
        <v/>
      </c>
      <c r="AL126" s="14" t="str">
        <f t="shared" si="9"/>
        <v/>
      </c>
      <c r="AM126" s="14" t="str">
        <f t="shared" si="9"/>
        <v/>
      </c>
      <c r="AN126" s="14" t="str">
        <f t="shared" si="9"/>
        <v/>
      </c>
      <c r="AO126" s="14" t="str">
        <f t="shared" ref="AO126:BT126" si="10">IF(AP107&lt;AO107*95%,"체크","")</f>
        <v/>
      </c>
      <c r="AP126" s="14" t="str">
        <f t="shared" si="10"/>
        <v/>
      </c>
      <c r="AQ126" s="14" t="str">
        <f t="shared" si="10"/>
        <v/>
      </c>
      <c r="AR126" s="14" t="str">
        <f t="shared" si="10"/>
        <v/>
      </c>
      <c r="AS126" s="14" t="str">
        <f t="shared" si="10"/>
        <v/>
      </c>
      <c r="AT126" s="14" t="str">
        <f t="shared" si="10"/>
        <v/>
      </c>
      <c r="AU126" s="14" t="str">
        <f t="shared" si="10"/>
        <v/>
      </c>
      <c r="AV126" s="14" t="str">
        <f t="shared" si="10"/>
        <v/>
      </c>
      <c r="AW126" s="14" t="str">
        <f t="shared" si="10"/>
        <v/>
      </c>
      <c r="AX126" s="14" t="str">
        <f t="shared" si="10"/>
        <v/>
      </c>
      <c r="AY126" s="14" t="str">
        <f t="shared" si="10"/>
        <v/>
      </c>
      <c r="AZ126" s="14" t="str">
        <f t="shared" si="10"/>
        <v/>
      </c>
      <c r="BA126" s="14" t="str">
        <f t="shared" si="10"/>
        <v/>
      </c>
      <c r="BB126" s="14" t="str">
        <f t="shared" si="10"/>
        <v/>
      </c>
      <c r="BC126" s="14" t="str">
        <f t="shared" si="10"/>
        <v/>
      </c>
      <c r="BD126" s="14" t="str">
        <f t="shared" si="10"/>
        <v/>
      </c>
      <c r="BE126" s="14" t="str">
        <f t="shared" si="10"/>
        <v/>
      </c>
      <c r="BF126" s="14" t="str">
        <f t="shared" si="10"/>
        <v/>
      </c>
      <c r="BG126" s="14" t="str">
        <f t="shared" si="10"/>
        <v/>
      </c>
      <c r="BH126" s="14" t="str">
        <f t="shared" si="10"/>
        <v/>
      </c>
      <c r="BI126" s="14" t="str">
        <f t="shared" si="10"/>
        <v/>
      </c>
      <c r="BJ126" s="14" t="str">
        <f t="shared" si="10"/>
        <v/>
      </c>
      <c r="BK126" s="14" t="str">
        <f t="shared" si="10"/>
        <v/>
      </c>
      <c r="BL126" s="14" t="str">
        <f t="shared" si="10"/>
        <v/>
      </c>
      <c r="BM126" s="14" t="str">
        <f t="shared" si="10"/>
        <v/>
      </c>
      <c r="BN126" s="14" t="str">
        <f t="shared" si="10"/>
        <v/>
      </c>
      <c r="BO126" s="14" t="str">
        <f t="shared" si="10"/>
        <v/>
      </c>
      <c r="BP126" s="14" t="str">
        <f t="shared" si="10"/>
        <v/>
      </c>
      <c r="BQ126" s="14" t="str">
        <f t="shared" si="10"/>
        <v/>
      </c>
      <c r="BR126" s="14" t="str">
        <f t="shared" si="10"/>
        <v/>
      </c>
      <c r="BS126" s="14" t="str">
        <f t="shared" si="10"/>
        <v/>
      </c>
      <c r="BT126" s="14" t="str">
        <f t="shared" si="10"/>
        <v/>
      </c>
      <c r="BU126" s="14" t="str">
        <f t="shared" ref="BU126:CA126" si="11">IF(BV107&lt;BU107*95%,"체크","")</f>
        <v/>
      </c>
      <c r="BV126" s="14" t="str">
        <f t="shared" si="11"/>
        <v/>
      </c>
      <c r="BW126" s="14" t="str">
        <f t="shared" si="11"/>
        <v/>
      </c>
      <c r="BX126" s="14" t="str">
        <f t="shared" si="11"/>
        <v/>
      </c>
      <c r="BY126" s="14" t="str">
        <f t="shared" si="11"/>
        <v/>
      </c>
      <c r="BZ126" s="14" t="str">
        <f t="shared" si="11"/>
        <v/>
      </c>
      <c r="CA126" s="14" t="str">
        <f t="shared" si="11"/>
        <v/>
      </c>
    </row>
    <row r="127" spans="4:79" outlineLevel="1" x14ac:dyDescent="0.25">
      <c r="D127" s="6"/>
      <c r="G127" s="11"/>
      <c r="H127" s="6"/>
      <c r="I127" s="11"/>
      <c r="J127" s="11"/>
      <c r="K127" s="11" t="str">
        <f t="shared" ref="K127:BU127" si="12">IF(L107&lt;K107*95%,1,"")</f>
        <v/>
      </c>
      <c r="L127" s="11" t="str">
        <f t="shared" si="12"/>
        <v/>
      </c>
      <c r="M127" s="11" t="str">
        <f t="shared" si="12"/>
        <v/>
      </c>
      <c r="N127" s="11" t="str">
        <f t="shared" si="12"/>
        <v/>
      </c>
      <c r="O127" s="11" t="str">
        <f t="shared" si="12"/>
        <v/>
      </c>
      <c r="P127" s="11" t="str">
        <f t="shared" si="12"/>
        <v/>
      </c>
      <c r="Q127" s="11" t="str">
        <f t="shared" si="12"/>
        <v/>
      </c>
      <c r="R127" s="11" t="str">
        <f t="shared" si="12"/>
        <v/>
      </c>
      <c r="S127" s="11" t="str">
        <f t="shared" si="12"/>
        <v/>
      </c>
      <c r="T127" s="11" t="str">
        <f t="shared" si="12"/>
        <v/>
      </c>
      <c r="U127" s="11" t="str">
        <f t="shared" si="12"/>
        <v/>
      </c>
      <c r="V127" s="11" t="str">
        <f t="shared" si="12"/>
        <v/>
      </c>
      <c r="W127" s="11" t="str">
        <f t="shared" si="12"/>
        <v/>
      </c>
      <c r="X127" s="11" t="str">
        <f t="shared" si="12"/>
        <v/>
      </c>
      <c r="Y127" s="11" t="str">
        <f t="shared" si="12"/>
        <v/>
      </c>
      <c r="Z127" s="11" t="str">
        <f t="shared" si="12"/>
        <v/>
      </c>
      <c r="AA127" s="11" t="str">
        <f t="shared" si="12"/>
        <v/>
      </c>
      <c r="AB127" s="11" t="str">
        <f t="shared" si="12"/>
        <v/>
      </c>
      <c r="AC127" s="11" t="str">
        <f t="shared" si="12"/>
        <v/>
      </c>
      <c r="AD127" s="11" t="str">
        <f t="shared" si="12"/>
        <v/>
      </c>
      <c r="AE127" s="11" t="str">
        <f t="shared" si="12"/>
        <v/>
      </c>
      <c r="AF127" s="11" t="str">
        <f t="shared" si="12"/>
        <v/>
      </c>
      <c r="AG127" s="11" t="str">
        <f t="shared" si="12"/>
        <v/>
      </c>
      <c r="AH127" s="11" t="str">
        <f t="shared" si="12"/>
        <v/>
      </c>
      <c r="AI127" s="11" t="str">
        <f t="shared" si="12"/>
        <v/>
      </c>
      <c r="AJ127" s="11" t="str">
        <f t="shared" si="12"/>
        <v/>
      </c>
      <c r="AK127" s="11" t="str">
        <f t="shared" si="12"/>
        <v/>
      </c>
      <c r="AL127" s="11" t="str">
        <f t="shared" si="12"/>
        <v/>
      </c>
      <c r="AM127" s="11" t="str">
        <f t="shared" si="12"/>
        <v/>
      </c>
      <c r="AN127" s="11" t="str">
        <f t="shared" si="12"/>
        <v/>
      </c>
      <c r="AO127" s="11" t="str">
        <f t="shared" si="12"/>
        <v/>
      </c>
      <c r="AP127" s="11" t="str">
        <f t="shared" si="12"/>
        <v/>
      </c>
      <c r="AQ127" s="11" t="str">
        <f t="shared" si="12"/>
        <v/>
      </c>
      <c r="AR127" s="11" t="str">
        <f t="shared" si="12"/>
        <v/>
      </c>
      <c r="AS127" s="11" t="str">
        <f t="shared" si="12"/>
        <v/>
      </c>
      <c r="AT127" s="11" t="str">
        <f t="shared" si="12"/>
        <v/>
      </c>
      <c r="AU127" s="11" t="str">
        <f t="shared" si="12"/>
        <v/>
      </c>
      <c r="AV127" s="11" t="str">
        <f t="shared" si="12"/>
        <v/>
      </c>
      <c r="AW127" s="11" t="str">
        <f t="shared" si="12"/>
        <v/>
      </c>
      <c r="AX127" s="11" t="str">
        <f t="shared" si="12"/>
        <v/>
      </c>
      <c r="AY127" s="11" t="str">
        <f t="shared" si="12"/>
        <v/>
      </c>
      <c r="AZ127" s="11" t="str">
        <f t="shared" si="12"/>
        <v/>
      </c>
      <c r="BA127" s="11" t="str">
        <f t="shared" si="12"/>
        <v/>
      </c>
      <c r="BB127" s="11" t="str">
        <f t="shared" si="12"/>
        <v/>
      </c>
      <c r="BC127" s="11" t="str">
        <f t="shared" si="12"/>
        <v/>
      </c>
      <c r="BD127" s="11" t="str">
        <f t="shared" si="12"/>
        <v/>
      </c>
      <c r="BE127" s="11" t="str">
        <f t="shared" si="12"/>
        <v/>
      </c>
      <c r="BF127" s="11" t="str">
        <f t="shared" si="12"/>
        <v/>
      </c>
      <c r="BG127" s="11" t="str">
        <f t="shared" si="12"/>
        <v/>
      </c>
      <c r="BH127" s="11" t="str">
        <f t="shared" si="12"/>
        <v/>
      </c>
      <c r="BI127" s="11" t="str">
        <f t="shared" si="12"/>
        <v/>
      </c>
      <c r="BJ127" s="11" t="str">
        <f t="shared" si="12"/>
        <v/>
      </c>
      <c r="BK127" s="11" t="str">
        <f t="shared" si="12"/>
        <v/>
      </c>
      <c r="BL127" s="11" t="str">
        <f t="shared" si="12"/>
        <v/>
      </c>
      <c r="BM127" s="11" t="str">
        <f t="shared" si="12"/>
        <v/>
      </c>
      <c r="BN127" s="11" t="str">
        <f t="shared" si="12"/>
        <v/>
      </c>
      <c r="BO127" s="11" t="str">
        <f t="shared" si="12"/>
        <v/>
      </c>
      <c r="BP127" s="11" t="str">
        <f t="shared" si="12"/>
        <v/>
      </c>
      <c r="BQ127" s="11" t="str">
        <f t="shared" si="12"/>
        <v/>
      </c>
      <c r="BR127" s="11" t="str">
        <f t="shared" si="12"/>
        <v/>
      </c>
      <c r="BS127" s="11" t="str">
        <f t="shared" si="12"/>
        <v/>
      </c>
      <c r="BT127" s="11" t="str">
        <f t="shared" si="12"/>
        <v/>
      </c>
      <c r="BU127" s="11" t="str">
        <f t="shared" si="12"/>
        <v/>
      </c>
      <c r="BV127" s="11" t="str">
        <f t="shared" ref="BV127:CA127" si="13">IF(BW107&lt;BV107*95%,1,"")</f>
        <v/>
      </c>
      <c r="BW127" s="11" t="str">
        <f t="shared" si="13"/>
        <v/>
      </c>
      <c r="BX127" s="11" t="str">
        <f t="shared" si="13"/>
        <v/>
      </c>
      <c r="BY127" s="11" t="str">
        <f t="shared" si="13"/>
        <v/>
      </c>
      <c r="BZ127" s="11" t="str">
        <f t="shared" si="13"/>
        <v/>
      </c>
      <c r="CA127" s="11" t="str">
        <f t="shared" si="13"/>
        <v/>
      </c>
    </row>
    <row r="128" spans="4:79" outlineLevel="1" x14ac:dyDescent="0.25">
      <c r="D128" s="6"/>
      <c r="G128" s="11"/>
      <c r="H128" s="6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</row>
    <row r="129" spans="4:79" outlineLevel="1" x14ac:dyDescent="0.25">
      <c r="D129" s="6"/>
      <c r="G129" s="11"/>
      <c r="H129" s="6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</row>
    <row r="130" spans="4:79" outlineLevel="1" x14ac:dyDescent="0.25">
      <c r="D130" s="6"/>
      <c r="G130" s="11"/>
      <c r="H130" s="6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</row>
    <row r="131" spans="4:79" outlineLevel="1" x14ac:dyDescent="0.25">
      <c r="D131" s="6"/>
      <c r="G131" s="11"/>
      <c r="H131" s="6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</row>
    <row r="132" spans="4:79" outlineLevel="1" x14ac:dyDescent="0.25">
      <c r="D132" s="6"/>
      <c r="G132" s="11"/>
      <c r="H132" s="6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</row>
    <row r="133" spans="4:79" outlineLevel="1" x14ac:dyDescent="0.25">
      <c r="D133" s="6"/>
      <c r="G133" s="11"/>
      <c r="H133" s="6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</row>
    <row r="134" spans="4:79" outlineLevel="1" x14ac:dyDescent="0.25">
      <c r="D134" s="6"/>
      <c r="G134" s="11"/>
      <c r="H134" s="6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</row>
    <row r="135" spans="4:79" outlineLevel="1" x14ac:dyDescent="0.25">
      <c r="D135" s="6"/>
      <c r="G135" s="11"/>
      <c r="H135" s="6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</row>
    <row r="136" spans="4:79" outlineLevel="1" x14ac:dyDescent="0.25">
      <c r="D136" s="6"/>
      <c r="G136" s="11"/>
      <c r="H136" s="6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</row>
    <row r="137" spans="4:79" outlineLevel="1" x14ac:dyDescent="0.25">
      <c r="D137" s="6"/>
      <c r="G137" s="11"/>
      <c r="H137" s="6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</row>
    <row r="138" spans="4:79" outlineLevel="1" x14ac:dyDescent="0.25">
      <c r="D138" s="6"/>
      <c r="G138" s="11"/>
      <c r="H138" s="6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</row>
    <row r="139" spans="4:79" outlineLevel="1" x14ac:dyDescent="0.25">
      <c r="D139" s="6"/>
      <c r="G139" s="11"/>
      <c r="H139" s="6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</row>
    <row r="140" spans="4:79" outlineLevel="1" x14ac:dyDescent="0.25">
      <c r="D140" s="6"/>
      <c r="G140" s="11"/>
      <c r="H140" s="6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</row>
    <row r="141" spans="4:79" outlineLevel="1" x14ac:dyDescent="0.25">
      <c r="D141" s="6"/>
      <c r="G141" s="11"/>
      <c r="H141" s="6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</row>
    <row r="142" spans="4:79" outlineLevel="1" x14ac:dyDescent="0.25">
      <c r="D142" s="6"/>
      <c r="G142" s="11"/>
      <c r="H142" s="6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</row>
    <row r="143" spans="4:79" outlineLevel="1" x14ac:dyDescent="0.25">
      <c r="D143" s="6"/>
      <c r="G143" s="11"/>
      <c r="H143" s="6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</row>
    <row r="144" spans="4:79" outlineLevel="1" x14ac:dyDescent="0.25">
      <c r="D144" s="6"/>
      <c r="G144" s="11"/>
      <c r="H144" s="6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</row>
    <row r="145" spans="4:80" outlineLevel="1" x14ac:dyDescent="0.25">
      <c r="D145" s="6"/>
      <c r="G145" s="11"/>
      <c r="H145" s="6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</row>
    <row r="146" spans="4:80" outlineLevel="1" x14ac:dyDescent="0.25">
      <c r="D146" s="6"/>
      <c r="G146" s="11"/>
      <c r="H146" s="6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</row>
    <row r="147" spans="4:80" ht="14.4" x14ac:dyDescent="0.3">
      <c r="D147" s="6"/>
      <c r="G147" s="11"/>
      <c r="H147" s="10"/>
      <c r="I147" s="15"/>
      <c r="J147" s="21"/>
      <c r="K147" s="21" t="str">
        <f t="shared" ref="K147:AN147" si="14">IF(OR(L107&lt;K107*95%,L107&gt;K107*105%),"체크","")</f>
        <v/>
      </c>
      <c r="L147" s="21" t="str">
        <f t="shared" si="14"/>
        <v/>
      </c>
      <c r="M147" s="21" t="str">
        <f t="shared" si="14"/>
        <v/>
      </c>
      <c r="N147" s="21" t="str">
        <f t="shared" si="14"/>
        <v/>
      </c>
      <c r="O147" s="21" t="str">
        <f t="shared" si="14"/>
        <v/>
      </c>
      <c r="P147" s="21" t="str">
        <f t="shared" si="14"/>
        <v/>
      </c>
      <c r="Q147" s="21" t="str">
        <f t="shared" si="14"/>
        <v/>
      </c>
      <c r="R147" s="21" t="str">
        <f t="shared" si="14"/>
        <v/>
      </c>
      <c r="S147" s="21" t="str">
        <f t="shared" si="14"/>
        <v/>
      </c>
      <c r="T147" s="21" t="str">
        <f t="shared" si="14"/>
        <v/>
      </c>
      <c r="U147" s="21" t="str">
        <f t="shared" si="14"/>
        <v/>
      </c>
      <c r="V147" s="21" t="str">
        <f t="shared" si="14"/>
        <v/>
      </c>
      <c r="W147" s="21" t="str">
        <f t="shared" si="14"/>
        <v/>
      </c>
      <c r="X147" s="21" t="str">
        <f t="shared" si="14"/>
        <v/>
      </c>
      <c r="Y147" s="21" t="str">
        <f t="shared" si="14"/>
        <v/>
      </c>
      <c r="Z147" s="21" t="str">
        <f t="shared" si="14"/>
        <v/>
      </c>
      <c r="AA147" s="21" t="str">
        <f t="shared" si="14"/>
        <v/>
      </c>
      <c r="AB147" s="21" t="str">
        <f t="shared" si="14"/>
        <v/>
      </c>
      <c r="AC147" s="21" t="str">
        <f t="shared" si="14"/>
        <v/>
      </c>
      <c r="AD147" s="21" t="str">
        <f t="shared" si="14"/>
        <v/>
      </c>
      <c r="AE147" s="21" t="str">
        <f t="shared" si="14"/>
        <v/>
      </c>
      <c r="AF147" s="21" t="str">
        <f t="shared" si="14"/>
        <v/>
      </c>
      <c r="AG147" s="21" t="str">
        <f t="shared" si="14"/>
        <v/>
      </c>
      <c r="AH147" s="21" t="str">
        <f t="shared" si="14"/>
        <v/>
      </c>
      <c r="AI147" s="21" t="str">
        <f t="shared" si="14"/>
        <v/>
      </c>
      <c r="AJ147" s="21" t="str">
        <f t="shared" si="14"/>
        <v/>
      </c>
      <c r="AK147" s="21" t="str">
        <f t="shared" si="14"/>
        <v/>
      </c>
      <c r="AL147" s="21" t="str">
        <f t="shared" si="14"/>
        <v/>
      </c>
      <c r="AM147" s="21" t="str">
        <f t="shared" si="14"/>
        <v/>
      </c>
      <c r="AN147" s="21" t="str">
        <f t="shared" si="14"/>
        <v/>
      </c>
      <c r="AO147" s="21" t="str">
        <f t="shared" ref="AO147:BT147" si="15">IF(OR(AP107&lt;AO107*95%,AP107&gt;AO107*105%),"체크","")</f>
        <v/>
      </c>
      <c r="AP147" s="21" t="str">
        <f t="shared" si="15"/>
        <v/>
      </c>
      <c r="AQ147" s="21" t="str">
        <f t="shared" si="15"/>
        <v/>
      </c>
      <c r="AR147" s="21" t="str">
        <f t="shared" si="15"/>
        <v/>
      </c>
      <c r="AS147" s="21" t="str">
        <f t="shared" si="15"/>
        <v/>
      </c>
      <c r="AT147" s="21" t="str">
        <f t="shared" si="15"/>
        <v/>
      </c>
      <c r="AU147" s="21" t="str">
        <f t="shared" si="15"/>
        <v/>
      </c>
      <c r="AV147" s="21" t="str">
        <f t="shared" si="15"/>
        <v/>
      </c>
      <c r="AW147" s="21" t="str">
        <f t="shared" si="15"/>
        <v/>
      </c>
      <c r="AX147" s="21" t="str">
        <f t="shared" si="15"/>
        <v/>
      </c>
      <c r="AY147" s="21" t="str">
        <f t="shared" si="15"/>
        <v/>
      </c>
      <c r="AZ147" s="21" t="str">
        <f t="shared" si="15"/>
        <v/>
      </c>
      <c r="BA147" s="21" t="str">
        <f t="shared" si="15"/>
        <v/>
      </c>
      <c r="BB147" s="21" t="str">
        <f t="shared" si="15"/>
        <v/>
      </c>
      <c r="BC147" s="21" t="str">
        <f t="shared" si="15"/>
        <v/>
      </c>
      <c r="BD147" s="21" t="str">
        <f t="shared" si="15"/>
        <v/>
      </c>
      <c r="BE147" s="21" t="str">
        <f t="shared" si="15"/>
        <v/>
      </c>
      <c r="BF147" s="21" t="str">
        <f t="shared" si="15"/>
        <v/>
      </c>
      <c r="BG147" s="21" t="str">
        <f t="shared" si="15"/>
        <v/>
      </c>
      <c r="BH147" s="21" t="str">
        <f t="shared" si="15"/>
        <v/>
      </c>
      <c r="BI147" s="21" t="str">
        <f t="shared" si="15"/>
        <v/>
      </c>
      <c r="BJ147" s="21" t="str">
        <f t="shared" si="15"/>
        <v/>
      </c>
      <c r="BK147" s="21" t="str">
        <f t="shared" si="15"/>
        <v/>
      </c>
      <c r="BL147" s="21" t="str">
        <f t="shared" si="15"/>
        <v/>
      </c>
      <c r="BM147" s="21" t="str">
        <f t="shared" si="15"/>
        <v/>
      </c>
      <c r="BN147" s="21" t="str">
        <f t="shared" si="15"/>
        <v/>
      </c>
      <c r="BO147" s="21" t="str">
        <f t="shared" si="15"/>
        <v/>
      </c>
      <c r="BP147" s="21" t="str">
        <f t="shared" si="15"/>
        <v/>
      </c>
      <c r="BQ147" s="21" t="str">
        <f t="shared" si="15"/>
        <v/>
      </c>
      <c r="BR147" s="21" t="str">
        <f t="shared" si="15"/>
        <v/>
      </c>
      <c r="BS147" s="21" t="str">
        <f t="shared" si="15"/>
        <v/>
      </c>
      <c r="BT147" s="21" t="str">
        <f t="shared" si="15"/>
        <v/>
      </c>
      <c r="BU147" s="21" t="str">
        <f t="shared" ref="BU147:CA147" si="16">IF(OR(BV107&lt;BU107*95%,BV107&gt;BU107*105%),"체크","")</f>
        <v/>
      </c>
      <c r="BV147" s="21" t="str">
        <f t="shared" si="16"/>
        <v/>
      </c>
      <c r="BW147" s="21" t="str">
        <f t="shared" si="16"/>
        <v/>
      </c>
      <c r="BX147" s="21" t="str">
        <f t="shared" si="16"/>
        <v/>
      </c>
      <c r="BY147" s="21" t="str">
        <f t="shared" si="16"/>
        <v/>
      </c>
      <c r="BZ147" s="21" t="str">
        <f t="shared" si="16"/>
        <v/>
      </c>
      <c r="CA147" s="21" t="str">
        <f t="shared" si="16"/>
        <v/>
      </c>
    </row>
    <row r="148" spans="4:80" x14ac:dyDescent="0.25">
      <c r="D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</row>
    <row r="149" spans="4:80" x14ac:dyDescent="0.25">
      <c r="D149" s="6"/>
      <c r="H149" s="10"/>
    </row>
    <row r="150" spans="4:80" x14ac:dyDescent="0.25">
      <c r="G150" s="11"/>
    </row>
    <row r="151" spans="4:80" ht="14.4" x14ac:dyDescent="0.3">
      <c r="D151" s="16" t="s">
        <v>168</v>
      </c>
      <c r="E151" s="17"/>
      <c r="F151" s="17"/>
      <c r="G151" s="17"/>
      <c r="H151" s="17"/>
      <c r="I151" s="18"/>
      <c r="J151" s="19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</row>
    <row r="152" spans="4:80" ht="14.4" x14ac:dyDescent="0.3">
      <c r="I152" s="15"/>
    </row>
    <row r="153" spans="4:80" x14ac:dyDescent="0.25">
      <c r="D153" s="6" t="s">
        <v>142</v>
      </c>
    </row>
    <row r="154" spans="4:80" ht="15.6" x14ac:dyDescent="0.35">
      <c r="D154" s="7" t="s">
        <v>0</v>
      </c>
      <c r="E154" s="7" t="s">
        <v>1</v>
      </c>
      <c r="F154" s="22" t="s">
        <v>140</v>
      </c>
      <c r="G154" s="7" t="s">
        <v>170</v>
      </c>
      <c r="H154" s="7" t="s">
        <v>171</v>
      </c>
      <c r="I154" s="7">
        <v>2015</v>
      </c>
      <c r="J154" s="7">
        <f>+I154+1</f>
        <v>2016</v>
      </c>
      <c r="K154" s="7">
        <f t="shared" ref="K154:N154" si="17">+J154+1</f>
        <v>2017</v>
      </c>
      <c r="L154" s="7">
        <f t="shared" si="17"/>
        <v>2018</v>
      </c>
      <c r="M154" s="7">
        <f t="shared" si="17"/>
        <v>2019</v>
      </c>
      <c r="N154" s="7">
        <f t="shared" si="17"/>
        <v>2020</v>
      </c>
    </row>
    <row r="155" spans="4:80" x14ac:dyDescent="0.25">
      <c r="D155" s="10" t="s">
        <v>78</v>
      </c>
      <c r="E155" s="10" t="s">
        <v>48</v>
      </c>
      <c r="F155" s="10" t="s">
        <v>180</v>
      </c>
      <c r="G155" s="10"/>
      <c r="H155" s="10" t="str">
        <f t="shared" ref="H155:H218" si="18">CONCATENATE(D155," ",G155)</f>
        <v xml:space="preserve">Hartford </v>
      </c>
      <c r="I155" s="63">
        <f>SUMIF($I$5:$CB$5,I$154,$I7:$CB7)</f>
        <v>11527.917370647556</v>
      </c>
      <c r="J155" s="63">
        <f t="shared" ref="J155:N155" si="19">SUMIF($I$5:$CB$5,J$154,$I7:$CB7)</f>
        <v>12500.858111342613</v>
      </c>
      <c r="K155" s="63">
        <f t="shared" si="19"/>
        <v>12549.732698283762</v>
      </c>
      <c r="L155" s="63">
        <f t="shared" si="19"/>
        <v>13807.835327980119</v>
      </c>
      <c r="M155" s="63">
        <f t="shared" si="19"/>
        <v>15532.371490003317</v>
      </c>
      <c r="N155" s="63">
        <f t="shared" si="19"/>
        <v>17873.56636067912</v>
      </c>
    </row>
    <row r="156" spans="4:80" x14ac:dyDescent="0.25">
      <c r="D156" s="10" t="s">
        <v>79</v>
      </c>
      <c r="E156" s="10" t="s">
        <v>48</v>
      </c>
      <c r="F156" s="10" t="s">
        <v>180</v>
      </c>
      <c r="G156" s="10"/>
      <c r="H156" s="10" t="str">
        <f t="shared" si="18"/>
        <v xml:space="preserve">Bridgeport </v>
      </c>
      <c r="I156" s="63">
        <f t="shared" ref="I156:N171" si="20">SUMIF($I$5:$CB$5,I$154,$I8:$CB8)</f>
        <v>9716.9223591719019</v>
      </c>
      <c r="J156" s="63">
        <f t="shared" si="20"/>
        <v>9739.9029868450525</v>
      </c>
      <c r="K156" s="63">
        <f t="shared" si="20"/>
        <v>10216.28677933214</v>
      </c>
      <c r="L156" s="63">
        <f t="shared" si="20"/>
        <v>10624.001194825483</v>
      </c>
      <c r="M156" s="63">
        <f t="shared" si="20"/>
        <v>11828.460968710475</v>
      </c>
      <c r="N156" s="63">
        <f t="shared" si="20"/>
        <v>12573.579146028333</v>
      </c>
    </row>
    <row r="157" spans="4:80" x14ac:dyDescent="0.25">
      <c r="D157" s="10" t="s">
        <v>80</v>
      </c>
      <c r="E157" s="10" t="s">
        <v>49</v>
      </c>
      <c r="F157" s="10" t="s">
        <v>150</v>
      </c>
      <c r="G157" s="10"/>
      <c r="H157" s="10" t="str">
        <f t="shared" si="18"/>
        <v xml:space="preserve">Dover </v>
      </c>
      <c r="I157" s="63">
        <f t="shared" si="20"/>
        <v>2712.3459342976321</v>
      </c>
      <c r="J157" s="63">
        <f t="shared" si="20"/>
        <v>2794.1194699749913</v>
      </c>
      <c r="K157" s="63">
        <f t="shared" si="20"/>
        <v>3309.7393028355532</v>
      </c>
      <c r="L157" s="63">
        <f t="shared" si="20"/>
        <v>4033.2615909912543</v>
      </c>
      <c r="M157" s="63">
        <f t="shared" si="20"/>
        <v>4392.2321889104787</v>
      </c>
      <c r="N157" s="63">
        <f t="shared" si="20"/>
        <v>4633.6103562253238</v>
      </c>
    </row>
    <row r="158" spans="4:80" x14ac:dyDescent="0.25">
      <c r="D158" s="10" t="s">
        <v>81</v>
      </c>
      <c r="E158" s="10" t="s">
        <v>49</v>
      </c>
      <c r="F158" s="10" t="s">
        <v>150</v>
      </c>
      <c r="G158" s="10"/>
      <c r="H158" s="10" t="str">
        <f t="shared" si="18"/>
        <v xml:space="preserve">Wilmington </v>
      </c>
      <c r="I158" s="63">
        <f t="shared" si="20"/>
        <v>3027.9383270458652</v>
      </c>
      <c r="J158" s="63">
        <f t="shared" si="20"/>
        <v>2912.0099683803528</v>
      </c>
      <c r="K158" s="63">
        <f t="shared" si="20"/>
        <v>2910.8466319538707</v>
      </c>
      <c r="L158" s="63">
        <f t="shared" si="20"/>
        <v>3367.5955627981448</v>
      </c>
      <c r="M158" s="63">
        <f t="shared" si="20"/>
        <v>3339.1255831199037</v>
      </c>
      <c r="N158" s="63">
        <f t="shared" si="20"/>
        <v>3081.0727934628562</v>
      </c>
    </row>
    <row r="159" spans="4:80" x14ac:dyDescent="0.25">
      <c r="D159" s="10" t="s">
        <v>82</v>
      </c>
      <c r="E159" s="10" t="s">
        <v>52</v>
      </c>
      <c r="F159" s="10" t="s">
        <v>180</v>
      </c>
      <c r="G159" s="10"/>
      <c r="H159" s="10" t="str">
        <f t="shared" si="18"/>
        <v xml:space="preserve">Boston </v>
      </c>
      <c r="I159" s="63">
        <f t="shared" si="20"/>
        <v>5605.3268091025639</v>
      </c>
      <c r="J159" s="63">
        <f t="shared" si="20"/>
        <v>6128.2282470947757</v>
      </c>
      <c r="K159" s="63">
        <f t="shared" si="20"/>
        <v>6432.2230141795626</v>
      </c>
      <c r="L159" s="63">
        <f t="shared" si="20"/>
        <v>7519.7361637198901</v>
      </c>
      <c r="M159" s="63">
        <f t="shared" si="20"/>
        <v>8158.8914318387688</v>
      </c>
      <c r="N159" s="63">
        <f t="shared" si="20"/>
        <v>9166.9534532477937</v>
      </c>
    </row>
    <row r="160" spans="4:80" x14ac:dyDescent="0.25">
      <c r="D160" s="10" t="s">
        <v>84</v>
      </c>
      <c r="E160" s="10" t="s">
        <v>53</v>
      </c>
      <c r="F160" s="10" t="s">
        <v>150</v>
      </c>
      <c r="G160" s="10"/>
      <c r="H160" s="10" t="str">
        <f t="shared" si="18"/>
        <v xml:space="preserve">Annapolis </v>
      </c>
      <c r="I160" s="63">
        <f t="shared" si="20"/>
        <v>12901.183965403432</v>
      </c>
      <c r="J160" s="63">
        <f t="shared" si="20"/>
        <v>13459.872365115005</v>
      </c>
      <c r="K160" s="63">
        <f t="shared" si="20"/>
        <v>14692.103656543366</v>
      </c>
      <c r="L160" s="63">
        <f t="shared" si="20"/>
        <v>16472.642086774729</v>
      </c>
      <c r="M160" s="63">
        <f t="shared" si="20"/>
        <v>17937.696965534476</v>
      </c>
      <c r="N160" s="63">
        <f t="shared" si="20"/>
        <v>18803.958363140184</v>
      </c>
    </row>
    <row r="161" spans="4:14" x14ac:dyDescent="0.25">
      <c r="D161" s="10" t="s">
        <v>85</v>
      </c>
      <c r="E161" s="10" t="s">
        <v>53</v>
      </c>
      <c r="F161" s="10" t="s">
        <v>150</v>
      </c>
      <c r="G161" s="10"/>
      <c r="H161" s="10" t="str">
        <f t="shared" si="18"/>
        <v xml:space="preserve">Baltimore </v>
      </c>
      <c r="I161" s="63">
        <f t="shared" si="20"/>
        <v>15645.046247939332</v>
      </c>
      <c r="J161" s="63">
        <f t="shared" si="20"/>
        <v>16492.214221496051</v>
      </c>
      <c r="K161" s="63">
        <f t="shared" si="20"/>
        <v>20473.023558667723</v>
      </c>
      <c r="L161" s="63">
        <f t="shared" si="20"/>
        <v>21840.297296793622</v>
      </c>
      <c r="M161" s="63">
        <f t="shared" si="20"/>
        <v>26382.460915064916</v>
      </c>
      <c r="N161" s="63">
        <f t="shared" si="20"/>
        <v>30544.308158316715</v>
      </c>
    </row>
    <row r="162" spans="4:14" x14ac:dyDescent="0.25">
      <c r="D162" s="10" t="s">
        <v>87</v>
      </c>
      <c r="E162" s="10" t="s">
        <v>77</v>
      </c>
      <c r="F162" s="10" t="s">
        <v>180</v>
      </c>
      <c r="G162" s="10"/>
      <c r="H162" s="10" t="str">
        <f t="shared" si="18"/>
        <v xml:space="preserve">Augusta </v>
      </c>
      <c r="I162" s="63">
        <f t="shared" si="20"/>
        <v>8664.5318642607326</v>
      </c>
      <c r="J162" s="63">
        <f t="shared" si="20"/>
        <v>8482.0547162041184</v>
      </c>
      <c r="K162" s="63">
        <f t="shared" si="20"/>
        <v>11078.902157950839</v>
      </c>
      <c r="L162" s="63">
        <f t="shared" si="20"/>
        <v>11313.722139169748</v>
      </c>
      <c r="M162" s="63">
        <f t="shared" si="20"/>
        <v>12624.556267310501</v>
      </c>
      <c r="N162" s="63">
        <f t="shared" si="20"/>
        <v>14668.739569384363</v>
      </c>
    </row>
    <row r="163" spans="4:14" x14ac:dyDescent="0.25">
      <c r="D163" s="10" t="s">
        <v>89</v>
      </c>
      <c r="E163" s="10" t="s">
        <v>77</v>
      </c>
      <c r="F163" s="10" t="s">
        <v>180</v>
      </c>
      <c r="G163" s="10"/>
      <c r="H163" s="10" t="str">
        <f t="shared" si="18"/>
        <v xml:space="preserve">Portland </v>
      </c>
      <c r="I163" s="63">
        <f t="shared" si="20"/>
        <v>5331.7240338594938</v>
      </c>
      <c r="J163" s="63">
        <f t="shared" si="20"/>
        <v>6110.8945029529841</v>
      </c>
      <c r="K163" s="63">
        <f t="shared" si="20"/>
        <v>8539.3658293015487</v>
      </c>
      <c r="L163" s="63">
        <f t="shared" si="20"/>
        <v>7918.5387950464201</v>
      </c>
      <c r="M163" s="63">
        <f t="shared" si="20"/>
        <v>8262.9887090574721</v>
      </c>
      <c r="N163" s="63">
        <f t="shared" si="20"/>
        <v>8726.1135162483606</v>
      </c>
    </row>
    <row r="164" spans="4:14" x14ac:dyDescent="0.25">
      <c r="D164" s="10" t="s">
        <v>90</v>
      </c>
      <c r="E164" s="10" t="s">
        <v>83</v>
      </c>
      <c r="F164" s="10" t="s">
        <v>150</v>
      </c>
      <c r="G164" s="10"/>
      <c r="H164" s="10" t="str">
        <f t="shared" si="18"/>
        <v xml:space="preserve">Raleigh </v>
      </c>
      <c r="I164" s="63">
        <f t="shared" si="20"/>
        <v>19289.41725694036</v>
      </c>
      <c r="J164" s="63">
        <f t="shared" si="20"/>
        <v>22318.91350443468</v>
      </c>
      <c r="K164" s="63">
        <f t="shared" si="20"/>
        <v>30978.134513169687</v>
      </c>
      <c r="L164" s="63">
        <f t="shared" si="20"/>
        <v>27656.641175819106</v>
      </c>
      <c r="M164" s="63">
        <f t="shared" si="20"/>
        <v>26491.912357898898</v>
      </c>
      <c r="N164" s="63">
        <f t="shared" si="20"/>
        <v>30164.635567401805</v>
      </c>
    </row>
    <row r="165" spans="4:14" x14ac:dyDescent="0.25">
      <c r="D165" s="10" t="s">
        <v>92</v>
      </c>
      <c r="E165" s="10" t="s">
        <v>83</v>
      </c>
      <c r="F165" s="10" t="s">
        <v>150</v>
      </c>
      <c r="G165" s="10"/>
      <c r="H165" s="10" t="str">
        <f t="shared" si="18"/>
        <v xml:space="preserve">Charlotte </v>
      </c>
      <c r="I165" s="63">
        <f t="shared" si="20"/>
        <v>15769.80676617614</v>
      </c>
      <c r="J165" s="63">
        <f t="shared" si="20"/>
        <v>18015.890972485566</v>
      </c>
      <c r="K165" s="63">
        <f t="shared" si="20"/>
        <v>25668.770754883488</v>
      </c>
      <c r="L165" s="63">
        <f t="shared" si="20"/>
        <v>23655.015819940418</v>
      </c>
      <c r="M165" s="63">
        <f t="shared" si="20"/>
        <v>24159.067188016084</v>
      </c>
      <c r="N165" s="63">
        <f t="shared" si="20"/>
        <v>27088.99759831687</v>
      </c>
    </row>
    <row r="166" spans="4:14" x14ac:dyDescent="0.25">
      <c r="D166" s="10" t="s">
        <v>94</v>
      </c>
      <c r="E166" s="10" t="s">
        <v>86</v>
      </c>
      <c r="F166" s="10" t="s">
        <v>180</v>
      </c>
      <c r="G166" s="10"/>
      <c r="H166" s="10" t="str">
        <f t="shared" si="18"/>
        <v xml:space="preserve">Concord </v>
      </c>
      <c r="I166" s="63">
        <f t="shared" si="20"/>
        <v>18599.863324638511</v>
      </c>
      <c r="J166" s="63">
        <f t="shared" si="20"/>
        <v>21368.700016377417</v>
      </c>
      <c r="K166" s="63">
        <f t="shared" si="20"/>
        <v>27153.060251319592</v>
      </c>
      <c r="L166" s="63">
        <f t="shared" si="20"/>
        <v>25378.609987838368</v>
      </c>
      <c r="M166" s="63">
        <f t="shared" si="20"/>
        <v>26340.699775136734</v>
      </c>
      <c r="N166" s="63">
        <f t="shared" si="20"/>
        <v>23017.236451034947</v>
      </c>
    </row>
    <row r="167" spans="4:14" x14ac:dyDescent="0.25">
      <c r="D167" s="10" t="s">
        <v>96</v>
      </c>
      <c r="E167" s="10" t="s">
        <v>86</v>
      </c>
      <c r="F167" s="10" t="s">
        <v>180</v>
      </c>
      <c r="G167" s="10"/>
      <c r="H167" s="10" t="str">
        <f t="shared" si="18"/>
        <v xml:space="preserve">Manchester </v>
      </c>
      <c r="I167" s="63">
        <f t="shared" si="20"/>
        <v>21301.134445580909</v>
      </c>
      <c r="J167" s="63">
        <f t="shared" si="20"/>
        <v>22845.90856811083</v>
      </c>
      <c r="K167" s="63">
        <f t="shared" si="20"/>
        <v>29051.243786602678</v>
      </c>
      <c r="L167" s="63">
        <f t="shared" si="20"/>
        <v>26869.164625544876</v>
      </c>
      <c r="M167" s="63">
        <f t="shared" si="20"/>
        <v>29393.501929341222</v>
      </c>
      <c r="N167" s="63">
        <f t="shared" si="20"/>
        <v>23342.807525697062</v>
      </c>
    </row>
    <row r="168" spans="4:14" x14ac:dyDescent="0.25">
      <c r="D168" s="10" t="s">
        <v>97</v>
      </c>
      <c r="E168" s="10" t="s">
        <v>88</v>
      </c>
      <c r="F168" s="10" t="s">
        <v>180</v>
      </c>
      <c r="G168" s="10"/>
      <c r="H168" s="10" t="str">
        <f t="shared" si="18"/>
        <v xml:space="preserve">Trenton </v>
      </c>
      <c r="I168" s="63">
        <f t="shared" si="20"/>
        <v>8345.8053654956475</v>
      </c>
      <c r="J168" s="63">
        <f t="shared" si="20"/>
        <v>9438.8728577433867</v>
      </c>
      <c r="K168" s="63">
        <f t="shared" si="20"/>
        <v>13104.560785565765</v>
      </c>
      <c r="L168" s="63">
        <f t="shared" si="20"/>
        <v>12894.224817232922</v>
      </c>
      <c r="M168" s="63">
        <f t="shared" si="20"/>
        <v>13585.337852856101</v>
      </c>
      <c r="N168" s="63">
        <f t="shared" si="20"/>
        <v>10921.976937292173</v>
      </c>
    </row>
    <row r="169" spans="4:14" x14ac:dyDescent="0.25">
      <c r="D169" s="10" t="s">
        <v>99</v>
      </c>
      <c r="E169" s="10" t="s">
        <v>88</v>
      </c>
      <c r="F169" s="10" t="s">
        <v>180</v>
      </c>
      <c r="G169" s="10"/>
      <c r="H169" s="10" t="str">
        <f t="shared" si="18"/>
        <v xml:space="preserve">Newark </v>
      </c>
      <c r="I169" s="63">
        <f t="shared" si="20"/>
        <v>1807.7221350977907</v>
      </c>
      <c r="J169" s="63">
        <f t="shared" si="20"/>
        <v>1923.3505471089215</v>
      </c>
      <c r="K169" s="63">
        <f t="shared" si="20"/>
        <v>2439.4845659519178</v>
      </c>
      <c r="L169" s="63">
        <f t="shared" si="20"/>
        <v>2157.0472059868603</v>
      </c>
      <c r="M169" s="63">
        <f t="shared" si="20"/>
        <v>1903.4988914555263</v>
      </c>
      <c r="N169" s="63">
        <f t="shared" si="20"/>
        <v>1458.6959983202621</v>
      </c>
    </row>
    <row r="170" spans="4:14" x14ac:dyDescent="0.25">
      <c r="D170" s="10" t="s">
        <v>102</v>
      </c>
      <c r="E170" s="10" t="s">
        <v>93</v>
      </c>
      <c r="F170" s="10" t="s">
        <v>180</v>
      </c>
      <c r="G170" s="10"/>
      <c r="H170" s="10" t="str">
        <f t="shared" si="18"/>
        <v xml:space="preserve">Albany </v>
      </c>
      <c r="I170" s="63">
        <f t="shared" si="20"/>
        <v>1633.365628754435</v>
      </c>
      <c r="J170" s="63">
        <f t="shared" si="20"/>
        <v>1827.5583344072554</v>
      </c>
      <c r="K170" s="63">
        <f t="shared" si="20"/>
        <v>2546.2614267521526</v>
      </c>
      <c r="L170" s="63">
        <f t="shared" si="20"/>
        <v>2237.8607759645051</v>
      </c>
      <c r="M170" s="63">
        <f t="shared" si="20"/>
        <v>1890.8737895509896</v>
      </c>
      <c r="N170" s="63">
        <f t="shared" si="20"/>
        <v>1357.1929276549695</v>
      </c>
    </row>
    <row r="171" spans="4:14" x14ac:dyDescent="0.25">
      <c r="D171" s="10" t="s">
        <v>101</v>
      </c>
      <c r="E171" s="10" t="s">
        <v>93</v>
      </c>
      <c r="F171" s="10" t="s">
        <v>180</v>
      </c>
      <c r="G171" s="10"/>
      <c r="H171" s="10" t="str">
        <f t="shared" si="18"/>
        <v xml:space="preserve">New York </v>
      </c>
      <c r="I171" s="63">
        <f t="shared" si="20"/>
        <v>604.35698066917655</v>
      </c>
      <c r="J171" s="63">
        <f t="shared" si="20"/>
        <v>669.57494544105873</v>
      </c>
      <c r="K171" s="63">
        <f t="shared" si="20"/>
        <v>932.72307641908628</v>
      </c>
      <c r="L171" s="63">
        <f t="shared" si="20"/>
        <v>839.66896354015421</v>
      </c>
      <c r="M171" s="63">
        <f t="shared" si="20"/>
        <v>851.63925549914677</v>
      </c>
      <c r="N171" s="63">
        <f t="shared" si="20"/>
        <v>633.4889684312966</v>
      </c>
    </row>
    <row r="172" spans="4:14" x14ac:dyDescent="0.25">
      <c r="D172" s="10" t="s">
        <v>105</v>
      </c>
      <c r="E172" s="10" t="s">
        <v>95</v>
      </c>
      <c r="F172" s="10" t="s">
        <v>149</v>
      </c>
      <c r="G172" s="10"/>
      <c r="H172" s="10" t="str">
        <f t="shared" si="18"/>
        <v xml:space="preserve">Columbus </v>
      </c>
      <c r="I172" s="63">
        <f t="shared" ref="I172:N187" si="21">SUMIF($I$5:$CB$5,I$154,$I24:$CB24)</f>
        <v>961.45461479853429</v>
      </c>
      <c r="J172" s="63">
        <f t="shared" si="21"/>
        <v>1119.1738566249269</v>
      </c>
      <c r="K172" s="63">
        <f t="shared" si="21"/>
        <v>1519.3408377053956</v>
      </c>
      <c r="L172" s="63">
        <f t="shared" si="21"/>
        <v>1272.5049990806224</v>
      </c>
      <c r="M172" s="63">
        <f t="shared" si="21"/>
        <v>1037.6549667315207</v>
      </c>
      <c r="N172" s="63">
        <f t="shared" si="21"/>
        <v>904.65600956364506</v>
      </c>
    </row>
    <row r="173" spans="4:14" x14ac:dyDescent="0.25">
      <c r="D173" s="10" t="s">
        <v>106</v>
      </c>
      <c r="E173" s="10" t="s">
        <v>95</v>
      </c>
      <c r="F173" s="10" t="s">
        <v>149</v>
      </c>
      <c r="G173" s="10"/>
      <c r="H173" s="10" t="str">
        <f t="shared" si="18"/>
        <v xml:space="preserve">Cleveland </v>
      </c>
      <c r="I173" s="63">
        <f t="shared" si="21"/>
        <v>1693.020620884555</v>
      </c>
      <c r="J173" s="63">
        <f t="shared" si="21"/>
        <v>1996.8810680901927</v>
      </c>
      <c r="K173" s="63">
        <f t="shared" si="21"/>
        <v>2138.5841578060977</v>
      </c>
      <c r="L173" s="63">
        <f t="shared" si="21"/>
        <v>1868.311572862805</v>
      </c>
      <c r="M173" s="63">
        <f t="shared" si="21"/>
        <v>1589.0343093763413</v>
      </c>
      <c r="N173" s="63">
        <f t="shared" si="21"/>
        <v>1102.3338088173032</v>
      </c>
    </row>
    <row r="174" spans="4:14" x14ac:dyDescent="0.25">
      <c r="D174" s="10" t="s">
        <v>107</v>
      </c>
      <c r="E174" s="10" t="s">
        <v>95</v>
      </c>
      <c r="F174" s="10" t="s">
        <v>149</v>
      </c>
      <c r="G174" s="10"/>
      <c r="H174" s="10" t="str">
        <f t="shared" si="18"/>
        <v xml:space="preserve">Cincinnati </v>
      </c>
      <c r="I174" s="63">
        <f t="shared" si="21"/>
        <v>698.51336053438388</v>
      </c>
      <c r="J174" s="63">
        <f t="shared" si="21"/>
        <v>759.84268707685908</v>
      </c>
      <c r="K174" s="63">
        <f t="shared" si="21"/>
        <v>774.85826814451832</v>
      </c>
      <c r="L174" s="63">
        <f t="shared" si="21"/>
        <v>685.11436950604877</v>
      </c>
      <c r="M174" s="63">
        <f t="shared" si="21"/>
        <v>707.26500172856709</v>
      </c>
      <c r="N174" s="63">
        <f t="shared" si="21"/>
        <v>653.42908243544446</v>
      </c>
    </row>
    <row r="175" spans="4:14" x14ac:dyDescent="0.25">
      <c r="D175" s="10" t="s">
        <v>108</v>
      </c>
      <c r="E175" s="10" t="s">
        <v>95</v>
      </c>
      <c r="F175" s="10" t="s">
        <v>149</v>
      </c>
      <c r="G175" s="10"/>
      <c r="H175" s="10" t="str">
        <f t="shared" si="18"/>
        <v xml:space="preserve">Toledo </v>
      </c>
      <c r="I175" s="63">
        <f t="shared" si="21"/>
        <v>611.85563115179298</v>
      </c>
      <c r="J175" s="63">
        <f t="shared" si="21"/>
        <v>620.85251207949705</v>
      </c>
      <c r="K175" s="63">
        <f t="shared" si="21"/>
        <v>586.19357227142859</v>
      </c>
      <c r="L175" s="63">
        <f t="shared" si="21"/>
        <v>543.46853413965084</v>
      </c>
      <c r="M175" s="63">
        <f t="shared" si="21"/>
        <v>581.06147128979603</v>
      </c>
      <c r="N175" s="63">
        <f t="shared" si="21"/>
        <v>561.01352735130149</v>
      </c>
    </row>
    <row r="176" spans="4:14" x14ac:dyDescent="0.25">
      <c r="D176" s="10" t="s">
        <v>110</v>
      </c>
      <c r="E176" s="10" t="s">
        <v>100</v>
      </c>
      <c r="F176" s="10" t="s">
        <v>180</v>
      </c>
      <c r="G176" s="10"/>
      <c r="H176" s="10" t="str">
        <f t="shared" si="18"/>
        <v xml:space="preserve">Harrisburg </v>
      </c>
      <c r="I176" s="63">
        <f t="shared" si="21"/>
        <v>438.86482135324417</v>
      </c>
      <c r="J176" s="63">
        <f t="shared" si="21"/>
        <v>476.71068431299591</v>
      </c>
      <c r="K176" s="63">
        <f t="shared" si="21"/>
        <v>559.06641692770393</v>
      </c>
      <c r="L176" s="63">
        <f t="shared" si="21"/>
        <v>541.15176166808442</v>
      </c>
      <c r="M176" s="63">
        <f t="shared" si="21"/>
        <v>537.40277891453889</v>
      </c>
      <c r="N176" s="63">
        <f t="shared" si="21"/>
        <v>484.02899628072203</v>
      </c>
    </row>
    <row r="177" spans="4:79" x14ac:dyDescent="0.25">
      <c r="D177" s="10" t="s">
        <v>112</v>
      </c>
      <c r="E177" s="10" t="s">
        <v>100</v>
      </c>
      <c r="F177" s="10" t="s">
        <v>180</v>
      </c>
      <c r="G177" s="10"/>
      <c r="H177" s="10" t="str">
        <f t="shared" si="18"/>
        <v xml:space="preserve">Philadelphia </v>
      </c>
      <c r="I177" s="63">
        <f t="shared" si="21"/>
        <v>1405.179896884453</v>
      </c>
      <c r="J177" s="63">
        <f t="shared" si="21"/>
        <v>1483.6273817311048</v>
      </c>
      <c r="K177" s="63">
        <f t="shared" si="21"/>
        <v>1412.8518971262474</v>
      </c>
      <c r="L177" s="63">
        <f t="shared" si="21"/>
        <v>1367.2116193596285</v>
      </c>
      <c r="M177" s="63">
        <f t="shared" si="21"/>
        <v>1449.4686596627707</v>
      </c>
      <c r="N177" s="63">
        <f t="shared" si="21"/>
        <v>1368.7334655639177</v>
      </c>
    </row>
    <row r="178" spans="4:79" x14ac:dyDescent="0.25">
      <c r="D178" s="10" t="s">
        <v>114</v>
      </c>
      <c r="E178" s="10" t="s">
        <v>103</v>
      </c>
      <c r="F178" s="10" t="s">
        <v>180</v>
      </c>
      <c r="G178" s="10"/>
      <c r="H178" s="10" t="str">
        <f t="shared" si="18"/>
        <v xml:space="preserve">Providence </v>
      </c>
      <c r="I178" s="63">
        <f t="shared" si="21"/>
        <v>151.9974253432008</v>
      </c>
      <c r="J178" s="63">
        <f t="shared" si="21"/>
        <v>143.79338060544569</v>
      </c>
      <c r="K178" s="63">
        <f t="shared" si="21"/>
        <v>135.52632145754239</v>
      </c>
      <c r="L178" s="63">
        <f t="shared" si="21"/>
        <v>156.85007414702213</v>
      </c>
      <c r="M178" s="63">
        <f t="shared" si="21"/>
        <v>157.19503775721503</v>
      </c>
      <c r="N178" s="63">
        <f t="shared" si="21"/>
        <v>142.46120702600743</v>
      </c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</row>
    <row r="179" spans="4:79" x14ac:dyDescent="0.25">
      <c r="D179" s="10" t="s">
        <v>116</v>
      </c>
      <c r="E179" s="10" t="s">
        <v>104</v>
      </c>
      <c r="F179" s="10" t="s">
        <v>150</v>
      </c>
      <c r="G179" s="10"/>
      <c r="H179" s="10" t="str">
        <f t="shared" si="18"/>
        <v xml:space="preserve">Columbia </v>
      </c>
      <c r="I179" s="63">
        <f t="shared" si="21"/>
        <v>130.42732458438613</v>
      </c>
      <c r="J179" s="63">
        <f t="shared" si="21"/>
        <v>131.5938548381192</v>
      </c>
      <c r="K179" s="63">
        <f t="shared" si="21"/>
        <v>124.93521338904002</v>
      </c>
      <c r="L179" s="63">
        <f t="shared" si="21"/>
        <v>150.62797162850319</v>
      </c>
      <c r="M179" s="63">
        <f t="shared" si="21"/>
        <v>139.43990566758629</v>
      </c>
      <c r="N179" s="63">
        <f t="shared" si="21"/>
        <v>135.25693178448543</v>
      </c>
    </row>
    <row r="180" spans="4:79" x14ac:dyDescent="0.25">
      <c r="D180" s="10" t="s">
        <v>117</v>
      </c>
      <c r="E180" s="10" t="s">
        <v>104</v>
      </c>
      <c r="F180" s="10" t="s">
        <v>150</v>
      </c>
      <c r="G180" s="10"/>
      <c r="H180" s="10" t="str">
        <f t="shared" si="18"/>
        <v xml:space="preserve">Charleston </v>
      </c>
      <c r="I180" s="63">
        <f t="shared" si="21"/>
        <v>74.56610649613549</v>
      </c>
      <c r="J180" s="63">
        <f t="shared" si="21"/>
        <v>80.664980005156323</v>
      </c>
      <c r="K180" s="63">
        <f t="shared" si="21"/>
        <v>79.788002920755389</v>
      </c>
      <c r="L180" s="63">
        <f t="shared" si="21"/>
        <v>83.92122950830715</v>
      </c>
      <c r="M180" s="63">
        <f t="shared" si="21"/>
        <v>89.371519759525697</v>
      </c>
      <c r="N180" s="63">
        <f t="shared" si="21"/>
        <v>85.976092825717501</v>
      </c>
    </row>
    <row r="181" spans="4:79" x14ac:dyDescent="0.25">
      <c r="D181" s="10" t="s">
        <v>118</v>
      </c>
      <c r="E181" s="10" t="s">
        <v>111</v>
      </c>
      <c r="F181" s="10" t="s">
        <v>150</v>
      </c>
      <c r="G181" s="10"/>
      <c r="H181" s="10" t="str">
        <f t="shared" si="18"/>
        <v xml:space="preserve">Richmond </v>
      </c>
      <c r="I181" s="63">
        <f t="shared" si="21"/>
        <v>172.0778509303465</v>
      </c>
      <c r="J181" s="63">
        <f t="shared" si="21"/>
        <v>197.88223002262913</v>
      </c>
      <c r="K181" s="63">
        <f t="shared" si="21"/>
        <v>209.78613719396304</v>
      </c>
      <c r="L181" s="63">
        <f t="shared" si="21"/>
        <v>255.69428326681364</v>
      </c>
      <c r="M181" s="63">
        <f t="shared" si="21"/>
        <v>242.5417751063834</v>
      </c>
      <c r="N181" s="63">
        <f t="shared" si="21"/>
        <v>272.29335019437167</v>
      </c>
    </row>
    <row r="182" spans="4:79" x14ac:dyDescent="0.25">
      <c r="D182" s="10" t="s">
        <v>119</v>
      </c>
      <c r="E182" s="10" t="s">
        <v>111</v>
      </c>
      <c r="F182" s="10" t="s">
        <v>150</v>
      </c>
      <c r="G182" s="10"/>
      <c r="H182" s="10" t="str">
        <f t="shared" si="18"/>
        <v xml:space="preserve">Virginia Beach </v>
      </c>
      <c r="I182" s="63">
        <f t="shared" si="21"/>
        <v>86.57032477901636</v>
      </c>
      <c r="J182" s="63">
        <f t="shared" si="21"/>
        <v>90.08233795257317</v>
      </c>
      <c r="K182" s="63">
        <f t="shared" si="21"/>
        <v>96.771168205652543</v>
      </c>
      <c r="L182" s="63">
        <f t="shared" si="21"/>
        <v>112.67982903666197</v>
      </c>
      <c r="M182" s="63">
        <f t="shared" si="21"/>
        <v>108.3464489428988</v>
      </c>
      <c r="N182" s="63">
        <f t="shared" si="21"/>
        <v>139.99762456023464</v>
      </c>
    </row>
    <row r="183" spans="4:79" x14ac:dyDescent="0.25">
      <c r="D183" s="10" t="s">
        <v>120</v>
      </c>
      <c r="E183" s="10" t="s">
        <v>113</v>
      </c>
      <c r="F183" s="10" t="s">
        <v>180</v>
      </c>
      <c r="G183" s="10"/>
      <c r="H183" s="10" t="str">
        <f t="shared" si="18"/>
        <v xml:space="preserve">Montpelier </v>
      </c>
      <c r="I183" s="63">
        <f t="shared" si="21"/>
        <v>205.77013038400685</v>
      </c>
      <c r="J183" s="63">
        <f t="shared" si="21"/>
        <v>235.89719737753262</v>
      </c>
      <c r="K183" s="63">
        <f t="shared" si="21"/>
        <v>268.56077118215461</v>
      </c>
      <c r="L183" s="63">
        <f t="shared" si="21"/>
        <v>290.09972291936674</v>
      </c>
      <c r="M183" s="63">
        <f t="shared" si="21"/>
        <v>296.07532069085448</v>
      </c>
      <c r="N183" s="63">
        <f t="shared" si="21"/>
        <v>311.50616968539873</v>
      </c>
    </row>
    <row r="184" spans="4:79" x14ac:dyDescent="0.25">
      <c r="D184" s="10" t="s">
        <v>121</v>
      </c>
      <c r="E184" s="10" t="s">
        <v>113</v>
      </c>
      <c r="F184" s="10" t="s">
        <v>180</v>
      </c>
      <c r="G184" s="10"/>
      <c r="H184" s="10" t="str">
        <f t="shared" si="18"/>
        <v xml:space="preserve">Burlington </v>
      </c>
      <c r="I184" s="63">
        <f t="shared" si="21"/>
        <v>119.20467324048148</v>
      </c>
      <c r="J184" s="63">
        <f t="shared" si="21"/>
        <v>133.69347233104816</v>
      </c>
      <c r="K184" s="63">
        <f t="shared" si="21"/>
        <v>141.87882341086424</v>
      </c>
      <c r="L184" s="63">
        <f t="shared" si="21"/>
        <v>167.97445759623636</v>
      </c>
      <c r="M184" s="63">
        <f t="shared" si="21"/>
        <v>184.95487843404666</v>
      </c>
      <c r="N184" s="63">
        <f t="shared" si="21"/>
        <v>190.94853003119209</v>
      </c>
    </row>
    <row r="185" spans="4:79" x14ac:dyDescent="0.25">
      <c r="D185" s="13" t="s">
        <v>9</v>
      </c>
      <c r="E185" s="13" t="s">
        <v>8</v>
      </c>
      <c r="F185" s="10" t="s">
        <v>151</v>
      </c>
      <c r="G185" s="13"/>
      <c r="H185" s="10" t="str">
        <f t="shared" si="18"/>
        <v xml:space="preserve">Albuquerque </v>
      </c>
      <c r="I185" s="63">
        <f t="shared" si="21"/>
        <v>839.47988020054743</v>
      </c>
      <c r="J185" s="63">
        <f t="shared" si="21"/>
        <v>905.01804460756603</v>
      </c>
      <c r="K185" s="63">
        <f t="shared" si="21"/>
        <v>844.74755946627363</v>
      </c>
      <c r="L185" s="63">
        <f t="shared" si="21"/>
        <v>950.26090670485598</v>
      </c>
      <c r="M185" s="63">
        <f t="shared" si="21"/>
        <v>1006.8784977780715</v>
      </c>
      <c r="N185" s="63">
        <f t="shared" si="21"/>
        <v>1067.2930752254233</v>
      </c>
    </row>
    <row r="186" spans="4:79" x14ac:dyDescent="0.25">
      <c r="D186" s="13" t="s">
        <v>11</v>
      </c>
      <c r="E186" s="13" t="s">
        <v>10</v>
      </c>
      <c r="F186" s="10" t="s">
        <v>150</v>
      </c>
      <c r="G186" s="13"/>
      <c r="H186" s="10" t="str">
        <f t="shared" si="18"/>
        <v xml:space="preserve">Atlanta </v>
      </c>
      <c r="I186" s="63">
        <f t="shared" si="21"/>
        <v>465.83228460822454</v>
      </c>
      <c r="J186" s="63">
        <f t="shared" si="21"/>
        <v>462.06499523855337</v>
      </c>
      <c r="K186" s="63">
        <f t="shared" si="21"/>
        <v>511.56214029500177</v>
      </c>
      <c r="L186" s="63">
        <f t="shared" si="21"/>
        <v>641.20919547640631</v>
      </c>
      <c r="M186" s="63">
        <f t="shared" si="21"/>
        <v>740.90369428243991</v>
      </c>
      <c r="N186" s="63">
        <f t="shared" si="21"/>
        <v>769.56648270739481</v>
      </c>
    </row>
    <row r="187" spans="4:79" x14ac:dyDescent="0.25">
      <c r="D187" s="13" t="s">
        <v>13</v>
      </c>
      <c r="E187" s="13" t="s">
        <v>12</v>
      </c>
      <c r="F187" s="10" t="s">
        <v>150</v>
      </c>
      <c r="G187" s="13"/>
      <c r="H187" s="10" t="str">
        <f t="shared" si="18"/>
        <v xml:space="preserve">Austin </v>
      </c>
      <c r="I187" s="63">
        <f t="shared" si="21"/>
        <v>1652.4749866794184</v>
      </c>
      <c r="J187" s="63">
        <f t="shared" si="21"/>
        <v>1538.4326995706924</v>
      </c>
      <c r="K187" s="63">
        <f t="shared" si="21"/>
        <v>1603.5911214710466</v>
      </c>
      <c r="L187" s="63">
        <f t="shared" si="21"/>
        <v>1756.0333059954935</v>
      </c>
      <c r="M187" s="63">
        <f t="shared" si="21"/>
        <v>1920.1508130007267</v>
      </c>
      <c r="N187" s="63">
        <f t="shared" si="21"/>
        <v>2125.3504398569403</v>
      </c>
    </row>
    <row r="188" spans="4:79" x14ac:dyDescent="0.25">
      <c r="D188" s="13" t="s">
        <v>15</v>
      </c>
      <c r="E188" s="13" t="s">
        <v>14</v>
      </c>
      <c r="F188" s="10" t="s">
        <v>150</v>
      </c>
      <c r="G188" s="13"/>
      <c r="H188" s="10" t="str">
        <f t="shared" si="18"/>
        <v xml:space="preserve">Baton Rouge </v>
      </c>
      <c r="I188" s="63">
        <f t="shared" ref="I188:N203" si="22">SUMIF($I$5:$CB$5,I$154,$I40:$CB40)</f>
        <v>499.61238660762427</v>
      </c>
      <c r="J188" s="63">
        <f t="shared" si="22"/>
        <v>589.61327172819824</v>
      </c>
      <c r="K188" s="63">
        <f t="shared" si="22"/>
        <v>701.23329623372274</v>
      </c>
      <c r="L188" s="63">
        <f t="shared" si="22"/>
        <v>872.74310924243468</v>
      </c>
      <c r="M188" s="63">
        <f t="shared" si="22"/>
        <v>910.08387792330325</v>
      </c>
      <c r="N188" s="63">
        <f t="shared" si="22"/>
        <v>954.11632445150121</v>
      </c>
    </row>
    <row r="189" spans="4:79" x14ac:dyDescent="0.25">
      <c r="D189" s="13" t="s">
        <v>16</v>
      </c>
      <c r="E189" s="13" t="s">
        <v>2</v>
      </c>
      <c r="F189" s="10" t="s">
        <v>150</v>
      </c>
      <c r="G189" s="13"/>
      <c r="H189" s="10" t="str">
        <f t="shared" si="18"/>
        <v xml:space="preserve">Birmingham </v>
      </c>
      <c r="I189" s="63">
        <f t="shared" si="22"/>
        <v>1099.3175386890666</v>
      </c>
      <c r="J189" s="63">
        <f t="shared" si="22"/>
        <v>1172.8173331892208</v>
      </c>
      <c r="K189" s="63">
        <f t="shared" si="22"/>
        <v>1461.3187659285893</v>
      </c>
      <c r="L189" s="63">
        <f t="shared" si="22"/>
        <v>1693.0555938553323</v>
      </c>
      <c r="M189" s="63">
        <f t="shared" si="22"/>
        <v>1848.978358904583</v>
      </c>
      <c r="N189" s="63">
        <f t="shared" si="22"/>
        <v>2045.694936528869</v>
      </c>
    </row>
    <row r="190" spans="4:79" x14ac:dyDescent="0.25">
      <c r="D190" s="13" t="s">
        <v>18</v>
      </c>
      <c r="E190" s="13" t="s">
        <v>17</v>
      </c>
      <c r="F190" s="10" t="s">
        <v>149</v>
      </c>
      <c r="G190" s="13"/>
      <c r="H190" s="10" t="str">
        <f t="shared" si="18"/>
        <v xml:space="preserve">Chicago </v>
      </c>
      <c r="I190" s="63">
        <f t="shared" si="22"/>
        <v>151.90338427899081</v>
      </c>
      <c r="J190" s="63">
        <f t="shared" si="22"/>
        <v>171.34413473118093</v>
      </c>
      <c r="K190" s="63">
        <f t="shared" si="22"/>
        <v>210.48806339204293</v>
      </c>
      <c r="L190" s="63">
        <f t="shared" si="22"/>
        <v>243.98540688222468</v>
      </c>
      <c r="M190" s="63">
        <f t="shared" si="22"/>
        <v>286.9894035537306</v>
      </c>
      <c r="N190" s="63">
        <f t="shared" si="22"/>
        <v>294.76707757317689</v>
      </c>
    </row>
    <row r="191" spans="4:79" x14ac:dyDescent="0.25">
      <c r="D191" s="13" t="s">
        <v>20</v>
      </c>
      <c r="E191" s="13" t="s">
        <v>19</v>
      </c>
      <c r="F191" s="10" t="s">
        <v>151</v>
      </c>
      <c r="G191" s="13"/>
      <c r="H191" s="10" t="str">
        <f t="shared" si="18"/>
        <v xml:space="preserve">Colorado Springs </v>
      </c>
      <c r="I191" s="63">
        <f t="shared" si="22"/>
        <v>104.90207929716165</v>
      </c>
      <c r="J191" s="63">
        <f t="shared" si="22"/>
        <v>106.49796878650089</v>
      </c>
      <c r="K191" s="63">
        <f t="shared" si="22"/>
        <v>124.09359379907816</v>
      </c>
      <c r="L191" s="63">
        <f t="shared" si="22"/>
        <v>141.38228269607396</v>
      </c>
      <c r="M191" s="63">
        <f t="shared" si="22"/>
        <v>162.50699344350835</v>
      </c>
      <c r="N191" s="63">
        <f t="shared" si="22"/>
        <v>182.15853859341144</v>
      </c>
    </row>
    <row r="192" spans="4:79" x14ac:dyDescent="0.25">
      <c r="D192" s="13" t="s">
        <v>21</v>
      </c>
      <c r="E192" s="13" t="s">
        <v>12</v>
      </c>
      <c r="F192" s="10" t="s">
        <v>150</v>
      </c>
      <c r="G192" s="13"/>
      <c r="H192" s="10" t="str">
        <f t="shared" si="18"/>
        <v xml:space="preserve">Dallas </v>
      </c>
      <c r="I192" s="63">
        <f t="shared" si="22"/>
        <v>53.376329593730603</v>
      </c>
      <c r="J192" s="63">
        <f t="shared" si="22"/>
        <v>60.96393372590309</v>
      </c>
      <c r="K192" s="63">
        <f t="shared" si="22"/>
        <v>66.113348216924649</v>
      </c>
      <c r="L192" s="63">
        <f t="shared" si="22"/>
        <v>72.023395144905322</v>
      </c>
      <c r="M192" s="63">
        <f t="shared" si="22"/>
        <v>86.231639591504901</v>
      </c>
      <c r="N192" s="63">
        <f t="shared" si="22"/>
        <v>108.27380269200661</v>
      </c>
    </row>
    <row r="193" spans="4:14" x14ac:dyDescent="0.25">
      <c r="D193" s="13" t="s">
        <v>22</v>
      </c>
      <c r="E193" s="13" t="s">
        <v>19</v>
      </c>
      <c r="F193" s="10" t="s">
        <v>151</v>
      </c>
      <c r="G193" s="13"/>
      <c r="H193" s="10" t="str">
        <f t="shared" si="18"/>
        <v xml:space="preserve">Denver </v>
      </c>
      <c r="I193" s="63">
        <f t="shared" si="22"/>
        <v>181.86330730676113</v>
      </c>
      <c r="J193" s="63">
        <f t="shared" si="22"/>
        <v>209.97498487413725</v>
      </c>
      <c r="K193" s="63">
        <f t="shared" si="22"/>
        <v>243.96587073448924</v>
      </c>
      <c r="L193" s="63">
        <f t="shared" si="22"/>
        <v>339.34847644058254</v>
      </c>
      <c r="M193" s="63">
        <f t="shared" si="22"/>
        <v>372.93795253104878</v>
      </c>
      <c r="N193" s="63">
        <f t="shared" si="22"/>
        <v>390.54716296613435</v>
      </c>
    </row>
    <row r="194" spans="4:14" x14ac:dyDescent="0.25">
      <c r="D194" s="13" t="s">
        <v>24</v>
      </c>
      <c r="E194" s="13" t="s">
        <v>23</v>
      </c>
      <c r="F194" s="10" t="s">
        <v>149</v>
      </c>
      <c r="G194" s="13"/>
      <c r="H194" s="10" t="str">
        <f t="shared" si="18"/>
        <v xml:space="preserve">Des Moines </v>
      </c>
      <c r="I194" s="63">
        <f t="shared" si="22"/>
        <v>106.1431522660418</v>
      </c>
      <c r="J194" s="63">
        <f t="shared" si="22"/>
        <v>112.80668942551962</v>
      </c>
      <c r="K194" s="63">
        <f t="shared" si="22"/>
        <v>132.78752204407044</v>
      </c>
      <c r="L194" s="63">
        <f t="shared" si="22"/>
        <v>153.50192223009699</v>
      </c>
      <c r="M194" s="63">
        <f t="shared" si="22"/>
        <v>182.7733826085169</v>
      </c>
      <c r="N194" s="63">
        <f t="shared" si="22"/>
        <v>183.75358856708201</v>
      </c>
    </row>
    <row r="195" spans="4:14" x14ac:dyDescent="0.25">
      <c r="D195" s="13" t="s">
        <v>26</v>
      </c>
      <c r="E195" s="13" t="s">
        <v>25</v>
      </c>
      <c r="F195" s="10" t="s">
        <v>149</v>
      </c>
      <c r="G195" s="13"/>
      <c r="H195" s="10" t="str">
        <f t="shared" si="18"/>
        <v xml:space="preserve">Detroit </v>
      </c>
      <c r="I195" s="63">
        <f t="shared" si="22"/>
        <v>40.15791034969908</v>
      </c>
      <c r="J195" s="63">
        <f t="shared" si="22"/>
        <v>48.199559969147565</v>
      </c>
      <c r="K195" s="63">
        <f t="shared" si="22"/>
        <v>56.690268370789681</v>
      </c>
      <c r="L195" s="63">
        <f t="shared" si="22"/>
        <v>69.45332122801355</v>
      </c>
      <c r="M195" s="63">
        <f t="shared" si="22"/>
        <v>74.997985083037534</v>
      </c>
      <c r="N195" s="63">
        <f t="shared" si="22"/>
        <v>81.305141836402541</v>
      </c>
    </row>
    <row r="196" spans="4:14" x14ac:dyDescent="0.25">
      <c r="D196" s="13" t="s">
        <v>28</v>
      </c>
      <c r="E196" s="13" t="s">
        <v>27</v>
      </c>
      <c r="F196" s="10" t="s">
        <v>149</v>
      </c>
      <c r="G196" s="13"/>
      <c r="H196" s="10" t="str">
        <f t="shared" si="18"/>
        <v xml:space="preserve">Fort Wayne </v>
      </c>
      <c r="I196" s="63">
        <f t="shared" si="22"/>
        <v>124.66080313275216</v>
      </c>
      <c r="J196" s="63">
        <f t="shared" si="22"/>
        <v>156.15993268629654</v>
      </c>
      <c r="K196" s="63">
        <f t="shared" si="22"/>
        <v>190.9386467665515</v>
      </c>
      <c r="L196" s="63">
        <f t="shared" si="22"/>
        <v>213.94815603912866</v>
      </c>
      <c r="M196" s="63">
        <f t="shared" si="22"/>
        <v>211.28683078347436</v>
      </c>
      <c r="N196" s="63">
        <f t="shared" si="22"/>
        <v>227.77803396700472</v>
      </c>
    </row>
    <row r="197" spans="4:14" x14ac:dyDescent="0.25">
      <c r="D197" s="13" t="s">
        <v>30</v>
      </c>
      <c r="E197" s="13" t="s">
        <v>29</v>
      </c>
      <c r="F197" s="10" t="s">
        <v>150</v>
      </c>
      <c r="G197" s="13"/>
      <c r="H197" s="10" t="str">
        <f t="shared" si="18"/>
        <v xml:space="preserve">Frankfort </v>
      </c>
      <c r="I197" s="70"/>
      <c r="J197" s="70"/>
      <c r="K197" s="70"/>
      <c r="L197" s="70"/>
      <c r="M197" s="70"/>
      <c r="N197" s="63">
        <f t="shared" si="22"/>
        <v>2.1509773890753983</v>
      </c>
    </row>
    <row r="198" spans="4:14" x14ac:dyDescent="0.25">
      <c r="D198" s="13" t="s">
        <v>31</v>
      </c>
      <c r="E198" s="13" t="s">
        <v>12</v>
      </c>
      <c r="F198" s="10" t="s">
        <v>150</v>
      </c>
      <c r="G198" s="13"/>
      <c r="H198" s="10" t="str">
        <f t="shared" si="18"/>
        <v xml:space="preserve">Houston </v>
      </c>
      <c r="I198" s="63">
        <f t="shared" si="22"/>
        <v>16.574160135723798</v>
      </c>
      <c r="J198" s="63">
        <f t="shared" si="22"/>
        <v>19.358804633303524</v>
      </c>
      <c r="K198" s="63">
        <f t="shared" si="22"/>
        <v>20.354745405010291</v>
      </c>
      <c r="L198" s="63">
        <f t="shared" si="22"/>
        <v>23.385246313909708</v>
      </c>
      <c r="M198" s="63">
        <f t="shared" si="22"/>
        <v>25.676354240649221</v>
      </c>
      <c r="N198" s="63">
        <f t="shared" si="22"/>
        <v>26.357201344167244</v>
      </c>
    </row>
    <row r="199" spans="4:14" x14ac:dyDescent="0.25">
      <c r="D199" s="13" t="s">
        <v>32</v>
      </c>
      <c r="E199" s="13" t="s">
        <v>27</v>
      </c>
      <c r="F199" s="10" t="s">
        <v>149</v>
      </c>
      <c r="G199" s="13"/>
      <c r="H199" s="10" t="str">
        <f t="shared" si="18"/>
        <v xml:space="preserve">Indianapolis </v>
      </c>
      <c r="I199" s="63">
        <f t="shared" si="22"/>
        <v>1.5220141637067692</v>
      </c>
      <c r="J199" s="63">
        <f t="shared" si="22"/>
        <v>2.0475115148704308</v>
      </c>
      <c r="K199" s="63">
        <f t="shared" si="22"/>
        <v>2.1245743158754369</v>
      </c>
      <c r="L199" s="63">
        <f t="shared" si="22"/>
        <v>11.866436658887748</v>
      </c>
      <c r="M199" s="63">
        <f t="shared" si="22"/>
        <v>13.109883999357622</v>
      </c>
      <c r="N199" s="63">
        <f t="shared" si="22"/>
        <v>13.845099089764538</v>
      </c>
    </row>
    <row r="200" spans="4:14" x14ac:dyDescent="0.25">
      <c r="D200" s="13" t="s">
        <v>34</v>
      </c>
      <c r="E200" s="13" t="s">
        <v>33</v>
      </c>
      <c r="F200" s="10" t="s">
        <v>150</v>
      </c>
      <c r="G200" s="13"/>
      <c r="H200" s="10" t="str">
        <f t="shared" si="18"/>
        <v xml:space="preserve">Jackson </v>
      </c>
      <c r="I200" s="63">
        <f t="shared" si="22"/>
        <v>1.2428571160261823</v>
      </c>
      <c r="J200" s="63">
        <f t="shared" si="22"/>
        <v>1.4661851754454047</v>
      </c>
      <c r="K200" s="63">
        <f t="shared" si="22"/>
        <v>1.6819370925929085</v>
      </c>
      <c r="L200" s="63">
        <f t="shared" si="22"/>
        <v>4.2155736610825691</v>
      </c>
      <c r="M200" s="63">
        <f t="shared" si="22"/>
        <v>10.790036839672487</v>
      </c>
      <c r="N200" s="63">
        <f t="shared" si="22"/>
        <v>11.544156664557157</v>
      </c>
    </row>
    <row r="201" spans="4:14" x14ac:dyDescent="0.25">
      <c r="D201" s="13" t="s">
        <v>36</v>
      </c>
      <c r="E201" s="13" t="s">
        <v>35</v>
      </c>
      <c r="F201" s="10" t="s">
        <v>150</v>
      </c>
      <c r="G201" s="13"/>
      <c r="H201" s="10" t="str">
        <f t="shared" si="18"/>
        <v xml:space="preserve">Jacksonville </v>
      </c>
      <c r="I201" s="63">
        <f t="shared" si="22"/>
        <v>12.28502681891004</v>
      </c>
      <c r="J201" s="63">
        <f t="shared" si="22"/>
        <v>14.052924785423549</v>
      </c>
      <c r="K201" s="63">
        <f t="shared" si="22"/>
        <v>15.696542357673071</v>
      </c>
      <c r="L201" s="63">
        <f t="shared" si="22"/>
        <v>18.023065947490107</v>
      </c>
      <c r="M201" s="63">
        <f t="shared" si="22"/>
        <v>18.714161749317721</v>
      </c>
      <c r="N201" s="63">
        <f t="shared" si="22"/>
        <v>21.04031959337885</v>
      </c>
    </row>
    <row r="202" spans="4:14" x14ac:dyDescent="0.25">
      <c r="D202" s="13" t="s">
        <v>38</v>
      </c>
      <c r="E202" s="13" t="s">
        <v>37</v>
      </c>
      <c r="F202" s="10" t="s">
        <v>149</v>
      </c>
      <c r="G202" s="13"/>
      <c r="H202" s="10" t="str">
        <f t="shared" si="18"/>
        <v xml:space="preserve">Jefferson City </v>
      </c>
      <c r="I202" s="63"/>
      <c r="J202" s="63"/>
      <c r="K202" s="63"/>
      <c r="L202" s="63"/>
      <c r="M202" s="63"/>
      <c r="N202" s="63">
        <f t="shared" si="22"/>
        <v>2.2699156445140947</v>
      </c>
    </row>
    <row r="203" spans="4:14" x14ac:dyDescent="0.25">
      <c r="D203" s="13" t="s">
        <v>39</v>
      </c>
      <c r="E203" s="13" t="s">
        <v>37</v>
      </c>
      <c r="F203" s="10" t="s">
        <v>149</v>
      </c>
      <c r="G203" s="13"/>
      <c r="H203" s="10" t="str">
        <f t="shared" si="18"/>
        <v xml:space="preserve">Kansas City </v>
      </c>
      <c r="I203" s="63">
        <f t="shared" si="22"/>
        <v>11.093091350482551</v>
      </c>
      <c r="J203" s="63">
        <f t="shared" si="22"/>
        <v>12.848281343368088</v>
      </c>
      <c r="K203" s="63">
        <f t="shared" si="22"/>
        <v>14.466830278694037</v>
      </c>
      <c r="L203" s="63">
        <f t="shared" si="22"/>
        <v>16.78961761699577</v>
      </c>
      <c r="M203" s="63">
        <f t="shared" si="22"/>
        <v>16.162042589581002</v>
      </c>
      <c r="N203" s="63">
        <f t="shared" si="22"/>
        <v>15.616108562823715</v>
      </c>
    </row>
    <row r="204" spans="4:14" x14ac:dyDescent="0.25">
      <c r="D204" s="13" t="s">
        <v>40</v>
      </c>
      <c r="E204" s="13" t="s">
        <v>25</v>
      </c>
      <c r="F204" s="10" t="s">
        <v>149</v>
      </c>
      <c r="G204" s="13"/>
      <c r="H204" s="10" t="str">
        <f t="shared" si="18"/>
        <v xml:space="preserve">Lansing </v>
      </c>
      <c r="I204" s="63">
        <f t="shared" ref="I204:N219" si="23">SUMIF($I$5:$CB$5,I$154,$I56:$CB56)</f>
        <v>20.575632307092004</v>
      </c>
      <c r="J204" s="63">
        <f t="shared" si="23"/>
        <v>24.597100264906846</v>
      </c>
      <c r="K204" s="63">
        <f t="shared" si="23"/>
        <v>28.069578799662526</v>
      </c>
      <c r="L204" s="63">
        <f t="shared" si="23"/>
        <v>30.825959882418712</v>
      </c>
      <c r="M204" s="63">
        <f t="shared" si="23"/>
        <v>33.774152838178736</v>
      </c>
      <c r="N204" s="63">
        <f t="shared" si="23"/>
        <v>39.740776186959998</v>
      </c>
    </row>
    <row r="205" spans="4:14" x14ac:dyDescent="0.25">
      <c r="D205" s="13" t="s">
        <v>42</v>
      </c>
      <c r="E205" s="13" t="s">
        <v>41</v>
      </c>
      <c r="F205" s="10" t="s">
        <v>149</v>
      </c>
      <c r="G205" s="13"/>
      <c r="H205" s="10" t="str">
        <f t="shared" si="18"/>
        <v xml:space="preserve">Lincoln </v>
      </c>
      <c r="I205" s="63">
        <f t="shared" si="23"/>
        <v>16.737917040601236</v>
      </c>
      <c r="J205" s="63">
        <f t="shared" si="23"/>
        <v>21.549179500581886</v>
      </c>
      <c r="K205" s="63">
        <f t="shared" si="23"/>
        <v>24.398616308290876</v>
      </c>
      <c r="L205" s="63">
        <f t="shared" si="23"/>
        <v>27.351650176760092</v>
      </c>
      <c r="M205" s="63">
        <f t="shared" si="23"/>
        <v>29.65020081117153</v>
      </c>
      <c r="N205" s="63">
        <f t="shared" si="23"/>
        <v>35.681681719496666</v>
      </c>
    </row>
    <row r="206" spans="4:14" x14ac:dyDescent="0.25">
      <c r="D206" s="13" t="s">
        <v>44</v>
      </c>
      <c r="E206" s="13" t="s">
        <v>43</v>
      </c>
      <c r="F206" s="10" t="s">
        <v>150</v>
      </c>
      <c r="G206" s="13"/>
      <c r="H206" s="10" t="str">
        <f t="shared" si="18"/>
        <v xml:space="preserve">Little Rock </v>
      </c>
      <c r="I206" s="70"/>
      <c r="J206" s="70"/>
      <c r="K206" s="63">
        <f t="shared" si="23"/>
        <v>2.3725207371394932</v>
      </c>
      <c r="L206" s="63">
        <f t="shared" si="23"/>
        <v>8.059384496235074</v>
      </c>
      <c r="M206" s="63">
        <f t="shared" si="23"/>
        <v>9.3618531160556309</v>
      </c>
      <c r="N206" s="63">
        <f t="shared" si="23"/>
        <v>10.794379329360499</v>
      </c>
    </row>
    <row r="207" spans="4:14" x14ac:dyDescent="0.25">
      <c r="D207" s="13" t="s">
        <v>45</v>
      </c>
      <c r="E207" s="13" t="s">
        <v>29</v>
      </c>
      <c r="F207" s="10" t="s">
        <v>150</v>
      </c>
      <c r="G207" s="13"/>
      <c r="H207" s="10" t="str">
        <f t="shared" si="18"/>
        <v xml:space="preserve">Louisville </v>
      </c>
      <c r="I207" s="63"/>
      <c r="J207" s="63"/>
      <c r="K207" s="63"/>
      <c r="L207" s="63"/>
      <c r="M207" s="63">
        <f t="shared" si="23"/>
        <v>1.3693332987169067</v>
      </c>
      <c r="N207" s="63">
        <f t="shared" si="23"/>
        <v>4.1212383466523939</v>
      </c>
    </row>
    <row r="208" spans="4:14" ht="15.6" x14ac:dyDescent="0.25">
      <c r="D208" s="10" t="s">
        <v>122</v>
      </c>
      <c r="E208" s="10" t="s">
        <v>46</v>
      </c>
      <c r="F208" s="10" t="s">
        <v>151</v>
      </c>
      <c r="G208" s="10" t="s">
        <v>182</v>
      </c>
      <c r="H208" s="10" t="str">
        <f t="shared" si="18"/>
        <v>Phoenix (피합병)</v>
      </c>
      <c r="I208" s="63">
        <f t="shared" si="23"/>
        <v>6872.324868755064</v>
      </c>
      <c r="J208" s="63">
        <f t="shared" si="23"/>
        <v>7274.859507985635</v>
      </c>
      <c r="K208" s="63">
        <f t="shared" si="23"/>
        <v>7336.978061397389</v>
      </c>
      <c r="L208" s="63">
        <f t="shared" si="23"/>
        <v>8339.5547403342534</v>
      </c>
      <c r="M208" s="63">
        <f t="shared" si="23"/>
        <v>9721.7100626315951</v>
      </c>
      <c r="N208" s="63">
        <f t="shared" si="23"/>
        <v>11062.286582714982</v>
      </c>
    </row>
    <row r="209" spans="4:14" ht="15.6" x14ac:dyDescent="0.25">
      <c r="D209" s="10" t="s">
        <v>123</v>
      </c>
      <c r="E209" s="10" t="s">
        <v>46</v>
      </c>
      <c r="F209" s="10" t="s">
        <v>151</v>
      </c>
      <c r="G209" s="10" t="s">
        <v>182</v>
      </c>
      <c r="H209" s="10" t="str">
        <f t="shared" si="18"/>
        <v>Tucson (피합병)</v>
      </c>
      <c r="I209" s="63">
        <f t="shared" si="23"/>
        <v>15904.296788426909</v>
      </c>
      <c r="J209" s="63">
        <f t="shared" si="23"/>
        <v>17770.182257203374</v>
      </c>
      <c r="K209" s="63">
        <f t="shared" si="23"/>
        <v>19010.136809099316</v>
      </c>
      <c r="L209" s="63">
        <f t="shared" si="23"/>
        <v>19584.311164890867</v>
      </c>
      <c r="M209" s="63">
        <f t="shared" si="23"/>
        <v>22122.640290777625</v>
      </c>
      <c r="N209" s="63">
        <f t="shared" si="23"/>
        <v>26704.857079926034</v>
      </c>
    </row>
    <row r="210" spans="4:14" ht="15.6" x14ac:dyDescent="0.25">
      <c r="D210" s="10" t="s">
        <v>124</v>
      </c>
      <c r="E210" s="10" t="s">
        <v>46</v>
      </c>
      <c r="F210" s="10" t="s">
        <v>151</v>
      </c>
      <c r="G210" s="10" t="s">
        <v>182</v>
      </c>
      <c r="H210" s="10" t="str">
        <f t="shared" si="18"/>
        <v>Mesa (피합병)</v>
      </c>
      <c r="I210" s="63">
        <f t="shared" si="23"/>
        <v>9475.5606598811155</v>
      </c>
      <c r="J210" s="63">
        <f t="shared" si="23"/>
        <v>9224.1782050250677</v>
      </c>
      <c r="K210" s="63">
        <f t="shared" si="23"/>
        <v>9814.0618366994804</v>
      </c>
      <c r="L210" s="63">
        <f t="shared" si="23"/>
        <v>10334.794716211187</v>
      </c>
      <c r="M210" s="63">
        <f t="shared" si="23"/>
        <v>12155.406063223656</v>
      </c>
      <c r="N210" s="63">
        <f t="shared" si="23"/>
        <v>15097.594764673688</v>
      </c>
    </row>
    <row r="211" spans="4:14" ht="15.6" x14ac:dyDescent="0.25">
      <c r="D211" s="10" t="s">
        <v>125</v>
      </c>
      <c r="E211" s="10" t="s">
        <v>47</v>
      </c>
      <c r="F211" s="10" t="s">
        <v>151</v>
      </c>
      <c r="G211" s="10" t="s">
        <v>182</v>
      </c>
      <c r="H211" s="10" t="str">
        <f t="shared" si="18"/>
        <v>Los Angeles (피합병)</v>
      </c>
      <c r="I211" s="63">
        <f t="shared" si="23"/>
        <v>11507.077132666731</v>
      </c>
      <c r="J211" s="63">
        <f t="shared" si="23"/>
        <v>13104.634734023733</v>
      </c>
      <c r="K211" s="63">
        <f t="shared" si="23"/>
        <v>13380.079581103246</v>
      </c>
      <c r="L211" s="63">
        <f t="shared" si="23"/>
        <v>13481.432094583603</v>
      </c>
      <c r="M211" s="63">
        <f t="shared" si="23"/>
        <v>15687.059617095714</v>
      </c>
      <c r="N211" s="63">
        <f t="shared" si="23"/>
        <v>18311.271583925693</v>
      </c>
    </row>
    <row r="212" spans="4:14" ht="15.6" x14ac:dyDescent="0.25">
      <c r="D212" s="10" t="s">
        <v>126</v>
      </c>
      <c r="E212" s="10" t="s">
        <v>47</v>
      </c>
      <c r="F212" s="10" t="s">
        <v>151</v>
      </c>
      <c r="G212" s="10" t="s">
        <v>182</v>
      </c>
      <c r="H212" s="10" t="str">
        <f t="shared" si="18"/>
        <v>Sacramento (피합병)</v>
      </c>
      <c r="I212" s="63">
        <f t="shared" si="23"/>
        <v>4626.9258194653739</v>
      </c>
      <c r="J212" s="63">
        <f t="shared" si="23"/>
        <v>5087.9312733879842</v>
      </c>
      <c r="K212" s="63">
        <f t="shared" si="23"/>
        <v>5708.9084557323422</v>
      </c>
      <c r="L212" s="63">
        <f t="shared" si="23"/>
        <v>6201.2131276246691</v>
      </c>
      <c r="M212" s="63">
        <f t="shared" si="23"/>
        <v>7535.9640467851723</v>
      </c>
      <c r="N212" s="63">
        <f t="shared" si="23"/>
        <v>9959.1344877569172</v>
      </c>
    </row>
    <row r="213" spans="4:14" ht="15.6" x14ac:dyDescent="0.25">
      <c r="D213" s="10" t="s">
        <v>127</v>
      </c>
      <c r="E213" s="10" t="s">
        <v>47</v>
      </c>
      <c r="F213" s="10" t="s">
        <v>151</v>
      </c>
      <c r="G213" s="10" t="s">
        <v>182</v>
      </c>
      <c r="H213" s="10" t="str">
        <f t="shared" si="18"/>
        <v>San Francisco (피합병)</v>
      </c>
      <c r="I213" s="63">
        <f t="shared" si="23"/>
        <v>8877.0193254736514</v>
      </c>
      <c r="J213" s="63">
        <f t="shared" si="23"/>
        <v>9662.0392102873502</v>
      </c>
      <c r="K213" s="63">
        <f t="shared" si="23"/>
        <v>10212.902288400966</v>
      </c>
      <c r="L213" s="63">
        <f t="shared" si="23"/>
        <v>10642.962372879789</v>
      </c>
      <c r="M213" s="63">
        <f t="shared" si="23"/>
        <v>11786.304992917952</v>
      </c>
      <c r="N213" s="63">
        <f t="shared" si="23"/>
        <v>13224.46181677186</v>
      </c>
    </row>
    <row r="214" spans="4:14" ht="15.6" x14ac:dyDescent="0.25">
      <c r="D214" s="10" t="s">
        <v>128</v>
      </c>
      <c r="E214" s="10" t="s">
        <v>47</v>
      </c>
      <c r="F214" s="10" t="s">
        <v>151</v>
      </c>
      <c r="G214" s="10" t="s">
        <v>182</v>
      </c>
      <c r="H214" s="10" t="str">
        <f t="shared" si="18"/>
        <v>San Diego (피합병)</v>
      </c>
      <c r="I214" s="63">
        <f t="shared" si="23"/>
        <v>14376.008545286346</v>
      </c>
      <c r="J214" s="63">
        <f t="shared" si="23"/>
        <v>15140.359988117627</v>
      </c>
      <c r="K214" s="63">
        <f t="shared" si="23"/>
        <v>15280.744386388911</v>
      </c>
      <c r="L214" s="63">
        <f t="shared" si="23"/>
        <v>15554.445640440774</v>
      </c>
      <c r="M214" s="63">
        <f t="shared" si="23"/>
        <v>16846.183917638191</v>
      </c>
      <c r="N214" s="63">
        <f t="shared" si="23"/>
        <v>19569.941364373914</v>
      </c>
    </row>
    <row r="215" spans="4:14" ht="15.6" x14ac:dyDescent="0.25">
      <c r="D215" s="10" t="s">
        <v>129</v>
      </c>
      <c r="E215" s="10" t="s">
        <v>47</v>
      </c>
      <c r="F215" s="10" t="s">
        <v>151</v>
      </c>
      <c r="G215" s="10" t="s">
        <v>182</v>
      </c>
      <c r="H215" s="10" t="str">
        <f t="shared" si="18"/>
        <v>San Jose (피합병)</v>
      </c>
      <c r="I215" s="63">
        <f t="shared" si="23"/>
        <v>6488.9272473918418</v>
      </c>
      <c r="J215" s="63">
        <f t="shared" si="23"/>
        <v>7408.9141882012509</v>
      </c>
      <c r="K215" s="63">
        <f t="shared" si="23"/>
        <v>8363.7827368039507</v>
      </c>
      <c r="L215" s="63">
        <f t="shared" si="23"/>
        <v>8954.3400951005369</v>
      </c>
      <c r="M215" s="63">
        <f t="shared" si="23"/>
        <v>11532.296458246548</v>
      </c>
      <c r="N215" s="63">
        <f t="shared" si="23"/>
        <v>14449.79957421307</v>
      </c>
    </row>
    <row r="216" spans="4:14" ht="15.6" x14ac:dyDescent="0.25">
      <c r="D216" s="10" t="s">
        <v>130</v>
      </c>
      <c r="E216" s="10" t="s">
        <v>50</v>
      </c>
      <c r="F216" s="10" t="s">
        <v>151</v>
      </c>
      <c r="G216" s="10" t="s">
        <v>182</v>
      </c>
      <c r="H216" s="10" t="str">
        <f t="shared" si="18"/>
        <v>Boise (피합병)</v>
      </c>
      <c r="I216" s="63">
        <f t="shared" si="23"/>
        <v>5223.5146883411189</v>
      </c>
      <c r="J216" s="63">
        <f t="shared" si="23"/>
        <v>6086.6157865253381</v>
      </c>
      <c r="K216" s="63">
        <f t="shared" si="23"/>
        <v>6344.2337058207113</v>
      </c>
      <c r="L216" s="63">
        <f t="shared" si="23"/>
        <v>7193.2204480028031</v>
      </c>
      <c r="M216" s="63">
        <f t="shared" si="23"/>
        <v>8475.9143524205501</v>
      </c>
      <c r="N216" s="63">
        <f t="shared" si="23"/>
        <v>9517.2582862103791</v>
      </c>
    </row>
    <row r="217" spans="4:14" ht="15.6" x14ac:dyDescent="0.25">
      <c r="D217" s="10" t="s">
        <v>131</v>
      </c>
      <c r="E217" s="10" t="s">
        <v>91</v>
      </c>
      <c r="F217" s="10" t="s">
        <v>151</v>
      </c>
      <c r="G217" s="10" t="s">
        <v>182</v>
      </c>
      <c r="H217" s="10" t="str">
        <f t="shared" si="18"/>
        <v>Carson City (피합병)</v>
      </c>
      <c r="I217" s="63">
        <f t="shared" si="23"/>
        <v>7296.2049644510926</v>
      </c>
      <c r="J217" s="63">
        <f t="shared" si="23"/>
        <v>6971.7723529884897</v>
      </c>
      <c r="K217" s="63">
        <f t="shared" si="23"/>
        <v>7278.3731196477938</v>
      </c>
      <c r="L217" s="63">
        <f t="shared" si="23"/>
        <v>7664.5840209297521</v>
      </c>
      <c r="M217" s="63">
        <f t="shared" si="23"/>
        <v>8481.4272762981127</v>
      </c>
      <c r="N217" s="63">
        <f t="shared" si="23"/>
        <v>9986.5632161896574</v>
      </c>
    </row>
    <row r="218" spans="4:14" ht="15.6" x14ac:dyDescent="0.25">
      <c r="D218" s="10" t="s">
        <v>132</v>
      </c>
      <c r="E218" s="10" t="s">
        <v>91</v>
      </c>
      <c r="F218" s="10" t="s">
        <v>151</v>
      </c>
      <c r="G218" s="10" t="s">
        <v>182</v>
      </c>
      <c r="H218" s="10" t="str">
        <f t="shared" si="18"/>
        <v>Las Vegas (피합병)</v>
      </c>
      <c r="I218" s="63">
        <f t="shared" si="23"/>
        <v>9346.6887270099614</v>
      </c>
      <c r="J218" s="63">
        <f t="shared" si="23"/>
        <v>10157.610934617571</v>
      </c>
      <c r="K218" s="63">
        <f t="shared" si="23"/>
        <v>9629.8232055549142</v>
      </c>
      <c r="L218" s="63">
        <f t="shared" si="23"/>
        <v>10080.050868002743</v>
      </c>
      <c r="M218" s="63">
        <f t="shared" si="23"/>
        <v>12089.860898450857</v>
      </c>
      <c r="N218" s="63">
        <f t="shared" si="23"/>
        <v>13958.903257915355</v>
      </c>
    </row>
    <row r="219" spans="4:14" ht="15.6" x14ac:dyDescent="0.25">
      <c r="D219" s="10" t="s">
        <v>133</v>
      </c>
      <c r="E219" s="10" t="s">
        <v>98</v>
      </c>
      <c r="F219" s="10" t="s">
        <v>151</v>
      </c>
      <c r="G219" s="10" t="s">
        <v>182</v>
      </c>
      <c r="H219" s="10" t="str">
        <f t="shared" ref="H219:H248" si="24">CONCATENATE(D219," ",G219)</f>
        <v>Salem (피합병)</v>
      </c>
      <c r="I219" s="63">
        <f t="shared" si="23"/>
        <v>2652.0776037015298</v>
      </c>
      <c r="J219" s="63">
        <f t="shared" si="23"/>
        <v>2988.5360200266723</v>
      </c>
      <c r="K219" s="63">
        <f t="shared" si="23"/>
        <v>3411.6065593048929</v>
      </c>
      <c r="L219" s="63">
        <f t="shared" si="23"/>
        <v>3795.3519958723577</v>
      </c>
      <c r="M219" s="63">
        <f t="shared" si="23"/>
        <v>4558.4873094935665</v>
      </c>
      <c r="N219" s="63">
        <f t="shared" si="23"/>
        <v>5363.270707834281</v>
      </c>
    </row>
    <row r="220" spans="4:14" ht="15.6" x14ac:dyDescent="0.25">
      <c r="D220" s="10" t="s">
        <v>89</v>
      </c>
      <c r="E220" s="10" t="s">
        <v>98</v>
      </c>
      <c r="F220" s="10" t="s">
        <v>151</v>
      </c>
      <c r="G220" s="10" t="s">
        <v>182</v>
      </c>
      <c r="H220" s="10" t="str">
        <f t="shared" si="24"/>
        <v>Portland (피합병)</v>
      </c>
      <c r="I220" s="63">
        <f t="shared" ref="I220:N235" si="25">SUMIF($I$5:$CB$5,I$154,$I72:$CB72)</f>
        <v>4646.0914602216199</v>
      </c>
      <c r="J220" s="63">
        <f t="shared" si="25"/>
        <v>4808.0645674834732</v>
      </c>
      <c r="K220" s="63">
        <f t="shared" si="25"/>
        <v>5029.6074420682235</v>
      </c>
      <c r="L220" s="63">
        <f t="shared" si="25"/>
        <v>5218.2224683391887</v>
      </c>
      <c r="M220" s="63">
        <f t="shared" si="25"/>
        <v>6489.527261005318</v>
      </c>
      <c r="N220" s="63">
        <f t="shared" si="25"/>
        <v>8314.0765799584806</v>
      </c>
    </row>
    <row r="221" spans="4:14" ht="15.6" x14ac:dyDescent="0.25">
      <c r="D221" s="10" t="s">
        <v>134</v>
      </c>
      <c r="E221" s="10" t="s">
        <v>109</v>
      </c>
      <c r="F221" s="10" t="s">
        <v>151</v>
      </c>
      <c r="G221" s="10" t="s">
        <v>182</v>
      </c>
      <c r="H221" s="10" t="str">
        <f t="shared" si="24"/>
        <v>Salt Lake City (피합병)</v>
      </c>
      <c r="I221" s="63">
        <f t="shared" si="25"/>
        <v>15510.839397700964</v>
      </c>
      <c r="J221" s="63">
        <f t="shared" si="25"/>
        <v>17823.469859559573</v>
      </c>
      <c r="K221" s="63">
        <f t="shared" si="25"/>
        <v>17788.803129229593</v>
      </c>
      <c r="L221" s="63">
        <f t="shared" si="25"/>
        <v>19103.942068202865</v>
      </c>
      <c r="M221" s="63">
        <f t="shared" si="25"/>
        <v>21815.656911056489</v>
      </c>
      <c r="N221" s="63">
        <f t="shared" si="25"/>
        <v>26672.800622541592</v>
      </c>
    </row>
    <row r="222" spans="4:14" ht="15.6" x14ac:dyDescent="0.25">
      <c r="D222" s="10" t="s">
        <v>135</v>
      </c>
      <c r="E222" s="10" t="s">
        <v>115</v>
      </c>
      <c r="F222" s="10" t="s">
        <v>151</v>
      </c>
      <c r="G222" s="10" t="s">
        <v>182</v>
      </c>
      <c r="H222" s="10" t="str">
        <f t="shared" si="24"/>
        <v>Olympia (피합병)</v>
      </c>
      <c r="I222" s="63">
        <f t="shared" si="25"/>
        <v>1004.6954313250455</v>
      </c>
      <c r="J222" s="63">
        <f t="shared" si="25"/>
        <v>1079.4060362667615</v>
      </c>
      <c r="K222" s="63">
        <f t="shared" si="25"/>
        <v>1027.3125447012555</v>
      </c>
      <c r="L222" s="63">
        <f t="shared" si="25"/>
        <v>956.8597162839402</v>
      </c>
      <c r="M222" s="63">
        <f t="shared" si="25"/>
        <v>1075.2832281953283</v>
      </c>
      <c r="N222" s="63">
        <f t="shared" si="25"/>
        <v>1381.3931135076321</v>
      </c>
    </row>
    <row r="223" spans="4:14" ht="15.6" x14ac:dyDescent="0.25">
      <c r="D223" s="10" t="s">
        <v>136</v>
      </c>
      <c r="E223" s="10" t="s">
        <v>115</v>
      </c>
      <c r="F223" s="10" t="s">
        <v>151</v>
      </c>
      <c r="G223" s="10" t="s">
        <v>182</v>
      </c>
      <c r="H223" s="10" t="str">
        <f t="shared" si="24"/>
        <v>Seattle (피합병)</v>
      </c>
      <c r="I223" s="63">
        <f t="shared" si="25"/>
        <v>770.07960226746036</v>
      </c>
      <c r="J223" s="63">
        <f t="shared" si="25"/>
        <v>811.99265142677723</v>
      </c>
      <c r="K223" s="63">
        <f t="shared" si="25"/>
        <v>843.17214182397493</v>
      </c>
      <c r="L223" s="63">
        <f t="shared" si="25"/>
        <v>932.51719937241785</v>
      </c>
      <c r="M223" s="63">
        <f t="shared" si="25"/>
        <v>1063.5368383300113</v>
      </c>
      <c r="N223" s="63">
        <f t="shared" si="25"/>
        <v>1290.3913595240588</v>
      </c>
    </row>
    <row r="224" spans="4:14" ht="15.6" x14ac:dyDescent="0.25">
      <c r="D224" s="10" t="s">
        <v>36</v>
      </c>
      <c r="E224" s="10" t="s">
        <v>35</v>
      </c>
      <c r="F224" s="10" t="s">
        <v>150</v>
      </c>
      <c r="G224" s="10" t="s">
        <v>182</v>
      </c>
      <c r="H224" s="10" t="str">
        <f t="shared" si="24"/>
        <v>Jacksonville (피합병)</v>
      </c>
      <c r="I224" s="63">
        <f t="shared" si="25"/>
        <v>351.9218123412046</v>
      </c>
      <c r="J224" s="63">
        <f t="shared" si="25"/>
        <v>386.17517988449623</v>
      </c>
      <c r="K224" s="63">
        <f t="shared" si="25"/>
        <v>417.86472136765553</v>
      </c>
      <c r="L224" s="63">
        <f t="shared" si="25"/>
        <v>512.89503762516267</v>
      </c>
      <c r="M224" s="63">
        <f t="shared" si="25"/>
        <v>604.40511550578719</v>
      </c>
      <c r="N224" s="63">
        <f t="shared" si="25"/>
        <v>738.43347213308073</v>
      </c>
    </row>
    <row r="225" spans="4:14" ht="15.6" x14ac:dyDescent="0.25">
      <c r="D225" s="10" t="s">
        <v>38</v>
      </c>
      <c r="E225" s="10" t="s">
        <v>37</v>
      </c>
      <c r="F225" s="10" t="s">
        <v>149</v>
      </c>
      <c r="G225" s="10" t="s">
        <v>182</v>
      </c>
      <c r="H225" s="10" t="str">
        <f t="shared" si="24"/>
        <v>Jefferson City (피합병)</v>
      </c>
      <c r="I225" s="63">
        <f t="shared" si="25"/>
        <v>512.41141484121806</v>
      </c>
      <c r="J225" s="63">
        <f t="shared" si="25"/>
        <v>569.07469488382571</v>
      </c>
      <c r="K225" s="63">
        <f t="shared" si="25"/>
        <v>646.60272495589481</v>
      </c>
      <c r="L225" s="63">
        <f t="shared" si="25"/>
        <v>732.3484085402265</v>
      </c>
      <c r="M225" s="63">
        <f t="shared" si="25"/>
        <v>865.36388889537545</v>
      </c>
      <c r="N225" s="63">
        <f t="shared" si="25"/>
        <v>1009.2702711412869</v>
      </c>
    </row>
    <row r="226" spans="4:14" ht="15.6" x14ac:dyDescent="0.25">
      <c r="D226" s="10" t="s">
        <v>39</v>
      </c>
      <c r="E226" s="10" t="s">
        <v>37</v>
      </c>
      <c r="F226" s="10" t="s">
        <v>149</v>
      </c>
      <c r="G226" s="10" t="s">
        <v>182</v>
      </c>
      <c r="H226" s="10" t="str">
        <f t="shared" si="24"/>
        <v>Kansas City (피합병)</v>
      </c>
      <c r="I226" s="63">
        <f t="shared" si="25"/>
        <v>1137.4801865719865</v>
      </c>
      <c r="J226" s="63">
        <f t="shared" si="25"/>
        <v>1416.2733967373913</v>
      </c>
      <c r="K226" s="63">
        <f t="shared" si="25"/>
        <v>1593.9039797138873</v>
      </c>
      <c r="L226" s="63">
        <f t="shared" si="25"/>
        <v>1661.7996170416607</v>
      </c>
      <c r="M226" s="63">
        <f t="shared" si="25"/>
        <v>1872.960884267233</v>
      </c>
      <c r="N226" s="63">
        <f t="shared" si="25"/>
        <v>2056.6547861490817</v>
      </c>
    </row>
    <row r="227" spans="4:14" ht="15.6" x14ac:dyDescent="0.25">
      <c r="D227" s="10" t="s">
        <v>40</v>
      </c>
      <c r="E227" s="10" t="s">
        <v>25</v>
      </c>
      <c r="F227" s="10" t="s">
        <v>149</v>
      </c>
      <c r="G227" s="10" t="s">
        <v>182</v>
      </c>
      <c r="H227" s="10" t="str">
        <f t="shared" si="24"/>
        <v>Lansing (피합병)</v>
      </c>
      <c r="I227" s="63">
        <f t="shared" si="25"/>
        <v>1102.2695919106147</v>
      </c>
      <c r="J227" s="63">
        <f t="shared" si="25"/>
        <v>1209.2889806737217</v>
      </c>
      <c r="K227" s="63">
        <f t="shared" si="25"/>
        <v>1250.2158327687148</v>
      </c>
      <c r="L227" s="63">
        <f t="shared" si="25"/>
        <v>1304.0460433934422</v>
      </c>
      <c r="M227" s="63">
        <f t="shared" si="25"/>
        <v>1470.9444322912175</v>
      </c>
      <c r="N227" s="63">
        <f t="shared" si="25"/>
        <v>1747.4192865944167</v>
      </c>
    </row>
    <row r="228" spans="4:14" ht="15.6" x14ac:dyDescent="0.25">
      <c r="D228" s="10" t="s">
        <v>42</v>
      </c>
      <c r="E228" s="10" t="s">
        <v>41</v>
      </c>
      <c r="F228" s="10" t="s">
        <v>149</v>
      </c>
      <c r="G228" s="10" t="s">
        <v>182</v>
      </c>
      <c r="H228" s="10" t="str">
        <f t="shared" si="24"/>
        <v>Lincoln (피합병)</v>
      </c>
      <c r="I228" s="63">
        <f t="shared" si="25"/>
        <v>491.66035562670999</v>
      </c>
      <c r="J228" s="63">
        <f t="shared" si="25"/>
        <v>524.38698523278163</v>
      </c>
      <c r="K228" s="63">
        <f t="shared" si="25"/>
        <v>535.09074331105376</v>
      </c>
      <c r="L228" s="63">
        <f t="shared" si="25"/>
        <v>561.09710977161569</v>
      </c>
      <c r="M228" s="63">
        <f t="shared" si="25"/>
        <v>642.15218320195072</v>
      </c>
      <c r="N228" s="63">
        <f t="shared" si="25"/>
        <v>788.95164887176327</v>
      </c>
    </row>
    <row r="229" spans="4:14" ht="15.6" x14ac:dyDescent="0.25">
      <c r="D229" s="10" t="s">
        <v>44</v>
      </c>
      <c r="E229" s="10" t="s">
        <v>43</v>
      </c>
      <c r="F229" s="10" t="s">
        <v>150</v>
      </c>
      <c r="G229" s="10" t="s">
        <v>182</v>
      </c>
      <c r="H229" s="10" t="str">
        <f t="shared" si="24"/>
        <v>Little Rock (피합병)</v>
      </c>
      <c r="I229" s="63">
        <f t="shared" si="25"/>
        <v>753.07823218344265</v>
      </c>
      <c r="J229" s="63">
        <f t="shared" si="25"/>
        <v>841.6330545171644</v>
      </c>
      <c r="K229" s="63">
        <f t="shared" si="25"/>
        <v>921.72917169418588</v>
      </c>
      <c r="L229" s="63">
        <f t="shared" si="25"/>
        <v>914.4179946316973</v>
      </c>
      <c r="M229" s="63">
        <f t="shared" si="25"/>
        <v>1071.2620509634821</v>
      </c>
      <c r="N229" s="63">
        <f t="shared" si="25"/>
        <v>1164.9431817945544</v>
      </c>
    </row>
    <row r="230" spans="4:14" ht="15.6" x14ac:dyDescent="0.25">
      <c r="D230" s="10" t="s">
        <v>45</v>
      </c>
      <c r="E230" s="10" t="s">
        <v>29</v>
      </c>
      <c r="F230" s="10" t="s">
        <v>150</v>
      </c>
      <c r="G230" s="10" t="s">
        <v>182</v>
      </c>
      <c r="H230" s="10" t="str">
        <f t="shared" si="24"/>
        <v>Louisville (피합병)</v>
      </c>
      <c r="I230" s="63">
        <f t="shared" si="25"/>
        <v>1140.3878135217349</v>
      </c>
      <c r="J230" s="63">
        <f t="shared" si="25"/>
        <v>1253.1475874055282</v>
      </c>
      <c r="K230" s="63">
        <f t="shared" si="25"/>
        <v>1277.5409165766173</v>
      </c>
      <c r="L230" s="63">
        <f t="shared" si="25"/>
        <v>1367.3571490687953</v>
      </c>
      <c r="M230" s="63">
        <f t="shared" si="25"/>
        <v>1421.5300148271508</v>
      </c>
      <c r="N230" s="63">
        <f t="shared" si="25"/>
        <v>1656.5998752543262</v>
      </c>
    </row>
    <row r="231" spans="4:14" ht="15.6" x14ac:dyDescent="0.25">
      <c r="D231" s="10" t="s">
        <v>55</v>
      </c>
      <c r="E231" s="10" t="s">
        <v>54</v>
      </c>
      <c r="F231" s="10" t="s">
        <v>149</v>
      </c>
      <c r="G231" s="10" t="s">
        <v>182</v>
      </c>
      <c r="H231" s="10" t="str">
        <f t="shared" si="24"/>
        <v>Madison (피합병)</v>
      </c>
      <c r="I231" s="63">
        <f t="shared" si="25"/>
        <v>121.22012736829353</v>
      </c>
      <c r="J231" s="63">
        <f t="shared" si="25"/>
        <v>144.48450122092922</v>
      </c>
      <c r="K231" s="63">
        <f t="shared" si="25"/>
        <v>148.700129004996</v>
      </c>
      <c r="L231" s="63">
        <f t="shared" si="25"/>
        <v>150.03691774571055</v>
      </c>
      <c r="M231" s="63">
        <f t="shared" si="25"/>
        <v>172.94299820247392</v>
      </c>
      <c r="N231" s="63">
        <f t="shared" si="25"/>
        <v>217.53234822724494</v>
      </c>
    </row>
    <row r="232" spans="4:14" ht="15.6" x14ac:dyDescent="0.25">
      <c r="D232" s="10" t="s">
        <v>57</v>
      </c>
      <c r="E232" s="10" t="s">
        <v>56</v>
      </c>
      <c r="F232" s="10" t="s">
        <v>150</v>
      </c>
      <c r="G232" s="10" t="s">
        <v>182</v>
      </c>
      <c r="H232" s="10" t="str">
        <f t="shared" si="24"/>
        <v>Memphis (피합병)</v>
      </c>
      <c r="I232" s="63">
        <f t="shared" si="25"/>
        <v>6.9175846193818735</v>
      </c>
      <c r="J232" s="63">
        <f t="shared" si="25"/>
        <v>41.437584966356674</v>
      </c>
      <c r="K232" s="63">
        <f t="shared" si="25"/>
        <v>43.28074989843671</v>
      </c>
      <c r="L232" s="63">
        <f t="shared" si="25"/>
        <v>42.469669327943258</v>
      </c>
      <c r="M232" s="63">
        <f t="shared" si="25"/>
        <v>48.570296501089231</v>
      </c>
      <c r="N232" s="63">
        <f t="shared" si="25"/>
        <v>61.520094864210286</v>
      </c>
    </row>
    <row r="233" spans="4:14" ht="15.6" x14ac:dyDescent="0.25">
      <c r="D233" s="10" t="s">
        <v>58</v>
      </c>
      <c r="E233" s="10" t="s">
        <v>54</v>
      </c>
      <c r="F233" s="10" t="s">
        <v>149</v>
      </c>
      <c r="G233" s="10" t="s">
        <v>182</v>
      </c>
      <c r="H233" s="10" t="str">
        <f t="shared" si="24"/>
        <v>Milwaukee (피합병)</v>
      </c>
      <c r="I233" s="63">
        <f t="shared" si="25"/>
        <v>114.76141538594456</v>
      </c>
      <c r="J233" s="63">
        <f t="shared" si="25"/>
        <v>123.72524146366844</v>
      </c>
      <c r="K233" s="63">
        <f t="shared" si="25"/>
        <v>148.21836724377587</v>
      </c>
      <c r="L233" s="63">
        <f t="shared" si="25"/>
        <v>180.71105446150889</v>
      </c>
      <c r="M233" s="63">
        <f t="shared" si="25"/>
        <v>219.34760872315013</v>
      </c>
      <c r="N233" s="63">
        <f t="shared" si="25"/>
        <v>278.19506234761843</v>
      </c>
    </row>
    <row r="234" spans="4:14" ht="15.6" x14ac:dyDescent="0.25">
      <c r="D234" s="10" t="s">
        <v>60</v>
      </c>
      <c r="E234" s="10" t="s">
        <v>59</v>
      </c>
      <c r="F234" s="10" t="s">
        <v>149</v>
      </c>
      <c r="G234" s="10" t="s">
        <v>182</v>
      </c>
      <c r="H234" s="10" t="str">
        <f t="shared" si="24"/>
        <v>Minneapolis (피합병)</v>
      </c>
      <c r="I234" s="63">
        <f t="shared" si="25"/>
        <v>65.789279786208382</v>
      </c>
      <c r="J234" s="63">
        <f t="shared" si="25"/>
        <v>68.654104278325931</v>
      </c>
      <c r="K234" s="63">
        <f t="shared" si="25"/>
        <v>74.353912449099866</v>
      </c>
      <c r="L234" s="63">
        <f t="shared" si="25"/>
        <v>83.603113879689573</v>
      </c>
      <c r="M234" s="63">
        <f t="shared" si="25"/>
        <v>105.04541540401345</v>
      </c>
      <c r="N234" s="63">
        <f t="shared" si="25"/>
        <v>125.00171805552743</v>
      </c>
    </row>
    <row r="235" spans="4:14" ht="15.6" x14ac:dyDescent="0.25">
      <c r="D235" s="10" t="s">
        <v>61</v>
      </c>
      <c r="E235" s="10" t="s">
        <v>2</v>
      </c>
      <c r="F235" s="10" t="s">
        <v>150</v>
      </c>
      <c r="G235" s="10" t="s">
        <v>182</v>
      </c>
      <c r="H235" s="10" t="str">
        <f t="shared" si="24"/>
        <v>Montgomery (피합병)</v>
      </c>
      <c r="I235" s="63">
        <f t="shared" si="25"/>
        <v>33.206374477909527</v>
      </c>
      <c r="J235" s="63">
        <f t="shared" si="25"/>
        <v>35.174602253106556</v>
      </c>
      <c r="K235" s="63">
        <f t="shared" si="25"/>
        <v>35.394379353964162</v>
      </c>
      <c r="L235" s="63">
        <f t="shared" si="25"/>
        <v>38.411963603180361</v>
      </c>
      <c r="M235" s="63">
        <f t="shared" si="25"/>
        <v>45.98097465240685</v>
      </c>
      <c r="N235" s="63">
        <f t="shared" si="25"/>
        <v>54.560087976135257</v>
      </c>
    </row>
    <row r="236" spans="4:14" ht="15.6" x14ac:dyDescent="0.25">
      <c r="D236" s="10" t="s">
        <v>62</v>
      </c>
      <c r="E236" s="10" t="s">
        <v>56</v>
      </c>
      <c r="F236" s="10" t="s">
        <v>150</v>
      </c>
      <c r="G236" s="10" t="s">
        <v>182</v>
      </c>
      <c r="H236" s="10" t="str">
        <f t="shared" si="24"/>
        <v>Nashville (피합병)</v>
      </c>
      <c r="I236" s="63">
        <f t="shared" ref="I236:N248" si="26">SUMIF($I$5:$CB$5,I$154,$I88:$CB88)</f>
        <v>39.960416095527009</v>
      </c>
      <c r="J236" s="63">
        <f t="shared" si="26"/>
        <v>57.340795296010185</v>
      </c>
      <c r="K236" s="63">
        <f t="shared" si="26"/>
        <v>60.396078884125217</v>
      </c>
      <c r="L236" s="63">
        <f t="shared" si="26"/>
        <v>65.192265774626193</v>
      </c>
      <c r="M236" s="63">
        <f t="shared" si="26"/>
        <v>77.505759104152361</v>
      </c>
      <c r="N236" s="63">
        <f t="shared" si="26"/>
        <v>91.001844849164314</v>
      </c>
    </row>
    <row r="237" spans="4:14" ht="15.6" x14ac:dyDescent="0.25">
      <c r="D237" s="10" t="s">
        <v>63</v>
      </c>
      <c r="E237" s="10" t="s">
        <v>14</v>
      </c>
      <c r="F237" s="10" t="s">
        <v>150</v>
      </c>
      <c r="G237" s="10" t="s">
        <v>182</v>
      </c>
      <c r="H237" s="10" t="str">
        <f t="shared" si="24"/>
        <v>New Orleans (피합병)</v>
      </c>
      <c r="I237" s="63">
        <f t="shared" si="26"/>
        <v>22.728685644145113</v>
      </c>
      <c r="J237" s="63">
        <f t="shared" si="26"/>
        <v>43.438941151708001</v>
      </c>
      <c r="K237" s="63">
        <f t="shared" si="26"/>
        <v>44.358635196183094</v>
      </c>
      <c r="L237" s="63">
        <f t="shared" si="26"/>
        <v>44.783893506220075</v>
      </c>
      <c r="M237" s="63">
        <f t="shared" si="26"/>
        <v>48.546621747605201</v>
      </c>
      <c r="N237" s="63">
        <f t="shared" si="26"/>
        <v>58.23828918268805</v>
      </c>
    </row>
    <row r="238" spans="4:14" ht="15.6" x14ac:dyDescent="0.25">
      <c r="D238" s="10" t="s">
        <v>65</v>
      </c>
      <c r="E238" s="10" t="s">
        <v>64</v>
      </c>
      <c r="F238" s="10" t="s">
        <v>150</v>
      </c>
      <c r="G238" s="10" t="s">
        <v>182</v>
      </c>
      <c r="H238" s="10" t="str">
        <f t="shared" si="24"/>
        <v>Oklahoma City (피합병)</v>
      </c>
      <c r="I238" s="63">
        <f t="shared" si="26"/>
        <v>148.41685862760849</v>
      </c>
      <c r="J238" s="63">
        <f t="shared" si="26"/>
        <v>161.63210134514475</v>
      </c>
      <c r="K238" s="63">
        <f t="shared" si="26"/>
        <v>167.05885482953187</v>
      </c>
      <c r="L238" s="63">
        <f t="shared" si="26"/>
        <v>162.97740131669943</v>
      </c>
      <c r="M238" s="63">
        <f t="shared" si="26"/>
        <v>176.12910954872865</v>
      </c>
      <c r="N238" s="63">
        <f t="shared" si="26"/>
        <v>211.09466547452834</v>
      </c>
    </row>
    <row r="239" spans="4:14" ht="15.6" x14ac:dyDescent="0.25">
      <c r="D239" s="10" t="s">
        <v>66</v>
      </c>
      <c r="E239" s="10" t="s">
        <v>41</v>
      </c>
      <c r="F239" s="10" t="s">
        <v>149</v>
      </c>
      <c r="G239" s="10" t="s">
        <v>182</v>
      </c>
      <c r="H239" s="10" t="str">
        <f t="shared" si="24"/>
        <v>Omaha (피합병)</v>
      </c>
      <c r="I239" s="63">
        <f t="shared" si="26"/>
        <v>111.76468632841085</v>
      </c>
      <c r="J239" s="63">
        <f t="shared" si="26"/>
        <v>123.08562486449935</v>
      </c>
      <c r="K239" s="63">
        <f t="shared" si="26"/>
        <v>116.29714530798307</v>
      </c>
      <c r="L239" s="63">
        <f t="shared" si="26"/>
        <v>117.27441437997066</v>
      </c>
      <c r="M239" s="63">
        <f t="shared" si="26"/>
        <v>126.55868300464353</v>
      </c>
      <c r="N239" s="63">
        <f t="shared" si="26"/>
        <v>161.82134988864192</v>
      </c>
    </row>
    <row r="240" spans="4:14" ht="15.6" x14ac:dyDescent="0.25">
      <c r="D240" s="10" t="s">
        <v>68</v>
      </c>
      <c r="E240" s="10" t="s">
        <v>67</v>
      </c>
      <c r="F240" s="10" t="s">
        <v>149</v>
      </c>
      <c r="G240" s="10" t="s">
        <v>182</v>
      </c>
      <c r="H240" s="10" t="str">
        <f t="shared" si="24"/>
        <v>Pierre (피합병)</v>
      </c>
      <c r="I240" s="63">
        <f t="shared" si="26"/>
        <v>601.73017036602391</v>
      </c>
      <c r="J240" s="63">
        <f t="shared" si="26"/>
        <v>646.21265603601</v>
      </c>
      <c r="K240" s="63">
        <f t="shared" si="26"/>
        <v>679.74875094872027</v>
      </c>
      <c r="L240" s="63">
        <f t="shared" si="26"/>
        <v>704.47185620225014</v>
      </c>
      <c r="M240" s="63">
        <f t="shared" si="26"/>
        <v>748.62237057372522</v>
      </c>
      <c r="N240" s="63">
        <f t="shared" si="26"/>
        <v>821.47403711304878</v>
      </c>
    </row>
    <row r="241" spans="4:17" ht="15.6" x14ac:dyDescent="0.35">
      <c r="D241" s="10" t="s">
        <v>69</v>
      </c>
      <c r="E241" s="10" t="s">
        <v>59</v>
      </c>
      <c r="F241" s="10" t="s">
        <v>149</v>
      </c>
      <c r="G241" s="10" t="s">
        <v>182</v>
      </c>
      <c r="H241" s="10" t="str">
        <f t="shared" si="24"/>
        <v>Saint Paul (피합병)</v>
      </c>
      <c r="I241" s="63">
        <f t="shared" si="26"/>
        <v>878.30931638040704</v>
      </c>
      <c r="J241" s="63">
        <f t="shared" si="26"/>
        <v>1055.4312416219361</v>
      </c>
      <c r="K241" s="63">
        <f t="shared" si="26"/>
        <v>1111.6109190502552</v>
      </c>
      <c r="L241" s="63">
        <f t="shared" si="26"/>
        <v>1080.9404316196114</v>
      </c>
      <c r="M241" s="63">
        <f t="shared" si="26"/>
        <v>1121.525559578097</v>
      </c>
      <c r="N241" s="63">
        <f t="shared" si="26"/>
        <v>1234.9329551767712</v>
      </c>
      <c r="P241" s="43"/>
    </row>
    <row r="242" spans="4:17" ht="15.6" x14ac:dyDescent="0.25">
      <c r="D242" s="10" t="s">
        <v>70</v>
      </c>
      <c r="E242" s="10" t="s">
        <v>8</v>
      </c>
      <c r="F242" s="10" t="s">
        <v>151</v>
      </c>
      <c r="G242" s="10" t="s">
        <v>182</v>
      </c>
      <c r="H242" s="10" t="str">
        <f t="shared" si="24"/>
        <v>Santa Fe (피합병)</v>
      </c>
      <c r="I242" s="63">
        <f t="shared" si="26"/>
        <v>1283.6203394571871</v>
      </c>
      <c r="J242" s="63">
        <f t="shared" si="26"/>
        <v>1351.5997018139258</v>
      </c>
      <c r="K242" s="63">
        <f t="shared" si="26"/>
        <v>1422.6605494461273</v>
      </c>
      <c r="L242" s="63">
        <f t="shared" si="26"/>
        <v>1441.5085787271064</v>
      </c>
      <c r="M242" s="63">
        <f t="shared" si="26"/>
        <v>1679.8048005296384</v>
      </c>
      <c r="N242" s="63">
        <f t="shared" si="26"/>
        <v>1829.8284194202681</v>
      </c>
    </row>
    <row r="243" spans="4:17" ht="15.6" x14ac:dyDescent="0.25">
      <c r="D243" s="10" t="s">
        <v>71</v>
      </c>
      <c r="E243" s="10" t="s">
        <v>67</v>
      </c>
      <c r="F243" s="10" t="s">
        <v>149</v>
      </c>
      <c r="G243" s="10" t="s">
        <v>182</v>
      </c>
      <c r="H243" s="10" t="str">
        <f t="shared" si="24"/>
        <v>Sioux Falls (피합병)</v>
      </c>
      <c r="I243" s="63">
        <f t="shared" si="26"/>
        <v>7.2635712042621243</v>
      </c>
      <c r="J243" s="63">
        <f t="shared" si="26"/>
        <v>44.395037281859508</v>
      </c>
      <c r="K243" s="63">
        <f t="shared" si="26"/>
        <v>49.151774302639737</v>
      </c>
      <c r="L243" s="63">
        <f t="shared" si="26"/>
        <v>51.227807768294966</v>
      </c>
      <c r="M243" s="63">
        <f t="shared" si="26"/>
        <v>57.29204535839952</v>
      </c>
      <c r="N243" s="63">
        <f t="shared" si="26"/>
        <v>70.281593314032477</v>
      </c>
    </row>
    <row r="244" spans="4:17" ht="15.6" x14ac:dyDescent="0.25">
      <c r="D244" s="10" t="s">
        <v>72</v>
      </c>
      <c r="E244" s="10" t="s">
        <v>17</v>
      </c>
      <c r="F244" s="10" t="s">
        <v>149</v>
      </c>
      <c r="G244" s="10" t="s">
        <v>182</v>
      </c>
      <c r="H244" s="10" t="str">
        <f t="shared" si="24"/>
        <v>Springfield (피합병)</v>
      </c>
      <c r="I244" s="63">
        <f t="shared" si="26"/>
        <v>95.016862823195964</v>
      </c>
      <c r="J244" s="63">
        <f t="shared" si="26"/>
        <v>109.90561463751963</v>
      </c>
      <c r="K244" s="63">
        <f t="shared" si="26"/>
        <v>118.12011059139147</v>
      </c>
      <c r="L244" s="63">
        <f t="shared" si="26"/>
        <v>120.84002425347012</v>
      </c>
      <c r="M244" s="63">
        <f t="shared" si="26"/>
        <v>131.15235794884217</v>
      </c>
      <c r="N244" s="63">
        <f t="shared" si="26"/>
        <v>169.54646891164097</v>
      </c>
    </row>
    <row r="245" spans="4:17" ht="15.6" x14ac:dyDescent="0.25">
      <c r="D245" s="10" t="s">
        <v>73</v>
      </c>
      <c r="E245" s="10" t="s">
        <v>35</v>
      </c>
      <c r="F245" s="10" t="s">
        <v>150</v>
      </c>
      <c r="G245" s="10" t="s">
        <v>182</v>
      </c>
      <c r="H245" s="10" t="str">
        <f t="shared" si="24"/>
        <v>Tallahassee (피합병)</v>
      </c>
      <c r="I245" s="63">
        <f t="shared" si="26"/>
        <v>114.87864978678837</v>
      </c>
      <c r="J245" s="63">
        <f t="shared" si="26"/>
        <v>127.14504817279663</v>
      </c>
      <c r="K245" s="63">
        <f t="shared" si="26"/>
        <v>136.6873109742063</v>
      </c>
      <c r="L245" s="63">
        <f t="shared" si="26"/>
        <v>134.88836177425429</v>
      </c>
      <c r="M245" s="63">
        <f t="shared" si="26"/>
        <v>168.36470459079567</v>
      </c>
      <c r="N245" s="63">
        <f t="shared" si="26"/>
        <v>213.00500163840275</v>
      </c>
    </row>
    <row r="246" spans="4:17" ht="15.6" x14ac:dyDescent="0.25">
      <c r="D246" s="10" t="s">
        <v>74</v>
      </c>
      <c r="E246" s="10" t="s">
        <v>51</v>
      </c>
      <c r="F246" s="10" t="s">
        <v>149</v>
      </c>
      <c r="G246" s="10" t="s">
        <v>182</v>
      </c>
      <c r="H246" s="10" t="str">
        <f t="shared" si="24"/>
        <v>Topeka (피합병)</v>
      </c>
      <c r="I246" s="63">
        <f t="shared" si="26"/>
        <v>133.80106055423249</v>
      </c>
      <c r="J246" s="63">
        <f t="shared" si="26"/>
        <v>141.52973035587226</v>
      </c>
      <c r="K246" s="63">
        <f t="shared" si="26"/>
        <v>147.16360371136767</v>
      </c>
      <c r="L246" s="63">
        <f t="shared" si="26"/>
        <v>157.14328100340111</v>
      </c>
      <c r="M246" s="63">
        <f t="shared" si="26"/>
        <v>176.21590955538906</v>
      </c>
      <c r="N246" s="63">
        <f t="shared" si="26"/>
        <v>194.74563772622318</v>
      </c>
    </row>
    <row r="247" spans="4:17" ht="15.6" x14ac:dyDescent="0.25">
      <c r="D247" s="10" t="s">
        <v>75</v>
      </c>
      <c r="E247" s="10" t="s">
        <v>64</v>
      </c>
      <c r="F247" s="10" t="s">
        <v>150</v>
      </c>
      <c r="G247" s="10" t="s">
        <v>182</v>
      </c>
      <c r="H247" s="10" t="str">
        <f t="shared" si="24"/>
        <v>Tulsa (피합병)</v>
      </c>
      <c r="I247" s="63">
        <f t="shared" si="26"/>
        <v>173.20466843330607</v>
      </c>
      <c r="J247" s="63">
        <f t="shared" si="26"/>
        <v>188.20347878496335</v>
      </c>
      <c r="K247" s="63">
        <f t="shared" si="26"/>
        <v>195.71242121136663</v>
      </c>
      <c r="L247" s="63">
        <f t="shared" si="26"/>
        <v>208.11696672076906</v>
      </c>
      <c r="M247" s="63">
        <f t="shared" si="26"/>
        <v>243.79613032446602</v>
      </c>
      <c r="N247" s="63">
        <f t="shared" si="26"/>
        <v>301.07573723706395</v>
      </c>
    </row>
    <row r="248" spans="4:17" ht="15.6" x14ac:dyDescent="0.25">
      <c r="D248" s="25" t="s">
        <v>76</v>
      </c>
      <c r="E248" s="25" t="s">
        <v>51</v>
      </c>
      <c r="F248" s="25" t="s">
        <v>149</v>
      </c>
      <c r="G248" s="25" t="s">
        <v>182</v>
      </c>
      <c r="H248" s="25" t="str">
        <f t="shared" si="24"/>
        <v>Wichita (피합병)</v>
      </c>
      <c r="I248" s="71">
        <f t="shared" si="26"/>
        <v>188.87796132258975</v>
      </c>
      <c r="J248" s="71">
        <f t="shared" si="26"/>
        <v>213.22768732782012</v>
      </c>
      <c r="K248" s="71">
        <f t="shared" si="26"/>
        <v>231.53444552688853</v>
      </c>
      <c r="L248" s="71">
        <f t="shared" si="26"/>
        <v>252.69570945136789</v>
      </c>
      <c r="M248" s="71">
        <f t="shared" si="26"/>
        <v>306.27387732252657</v>
      </c>
      <c r="N248" s="71">
        <f t="shared" si="26"/>
        <v>368.31301623892699</v>
      </c>
    </row>
    <row r="249" spans="4:17" ht="14.4" x14ac:dyDescent="0.3">
      <c r="D249" s="10"/>
      <c r="E249" s="10"/>
      <c r="F249" s="10"/>
      <c r="G249" s="10"/>
      <c r="H249" s="10" t="s">
        <v>163</v>
      </c>
      <c r="I249" s="11">
        <f t="shared" ref="I249:M249" si="27">SUM(I155:I248)</f>
        <v>308842.67603641277</v>
      </c>
      <c r="J249" s="11">
        <f t="shared" si="27"/>
        <v>336406.60465964809</v>
      </c>
      <c r="K249" s="11">
        <f t="shared" si="27"/>
        <v>388415.22215156362</v>
      </c>
      <c r="L249" s="11">
        <f t="shared" si="27"/>
        <v>393497.99377003603</v>
      </c>
      <c r="M249" s="11">
        <f t="shared" si="27"/>
        <v>433198.00839952286</v>
      </c>
      <c r="N249" s="11">
        <f>SUM(N155:N248)</f>
        <v>473511.78019345645</v>
      </c>
      <c r="P249" s="72">
        <f>RATE(COLUMNS(J249:N249),0,-I249,N249,0)</f>
        <v>8.922774750561939E-2</v>
      </c>
    </row>
    <row r="250" spans="4:17" x14ac:dyDescent="0.25">
      <c r="Q250" s="6" t="s">
        <v>217</v>
      </c>
    </row>
    <row r="251" spans="4:17" outlineLevel="2" x14ac:dyDescent="0.25">
      <c r="D251" s="6" t="s">
        <v>142</v>
      </c>
      <c r="I251" s="7">
        <v>2015</v>
      </c>
      <c r="J251" s="7">
        <f>+I251+1</f>
        <v>2016</v>
      </c>
      <c r="K251" s="7">
        <f t="shared" ref="K251:N251" si="28">+J251+1</f>
        <v>2017</v>
      </c>
      <c r="L251" s="7">
        <f t="shared" si="28"/>
        <v>2018</v>
      </c>
      <c r="M251" s="7">
        <f t="shared" si="28"/>
        <v>2019</v>
      </c>
      <c r="N251" s="7">
        <f t="shared" si="28"/>
        <v>2020</v>
      </c>
      <c r="P251" s="23" t="s">
        <v>6</v>
      </c>
    </row>
    <row r="252" spans="4:17" ht="14.4" outlineLevel="2" x14ac:dyDescent="0.3">
      <c r="F252" s="10"/>
      <c r="G252" s="10"/>
      <c r="H252" s="26" t="s">
        <v>180</v>
      </c>
      <c r="I252" s="63">
        <f>SUMIF($F$155:$F$248,$H252,I$155:I$248)</f>
        <v>95459.687264484091</v>
      </c>
      <c r="J252" s="63">
        <f t="shared" ref="J252:M252" si="29">SUMIF($F$155:$F$248,$H252,J$155:J$248)</f>
        <v>103509.62594998653</v>
      </c>
      <c r="K252" s="63">
        <f t="shared" si="29"/>
        <v>126561.72860176356</v>
      </c>
      <c r="L252" s="63">
        <f t="shared" si="29"/>
        <v>124083.69763253968</v>
      </c>
      <c r="M252" s="63">
        <f t="shared" si="29"/>
        <v>132997.91703621965</v>
      </c>
      <c r="N252" s="63">
        <f>SUMIF($F$155:$F$248,$H252,N$155:N$248)</f>
        <v>126238.02922260592</v>
      </c>
      <c r="P252" s="72">
        <f t="shared" ref="P252:P255" si="30">RATE(COLUMNS(J252:N252),0,-I252,N252,0)</f>
        <v>5.7484571282084986E-2</v>
      </c>
      <c r="Q252" s="49"/>
    </row>
    <row r="253" spans="4:17" ht="14.4" outlineLevel="2" x14ac:dyDescent="0.3">
      <c r="F253" s="10"/>
      <c r="G253" s="10"/>
      <c r="H253" s="26" t="s">
        <v>150</v>
      </c>
      <c r="I253" s="63">
        <f t="shared" ref="I253:M255" si="31">SUMIF($F$155:$F$248,$H253,I$155:I$248)</f>
        <v>76394.796770572415</v>
      </c>
      <c r="J253" s="63">
        <f t="shared" si="31"/>
        <v>83487.34242652914</v>
      </c>
      <c r="K253" s="63">
        <f t="shared" si="31"/>
        <v>106227.84659748709</v>
      </c>
      <c r="L253" s="63">
        <f t="shared" si="31"/>
        <v>106208.63542004021</v>
      </c>
      <c r="M253" s="63">
        <f t="shared" si="31"/>
        <v>112760.54574873381</v>
      </c>
      <c r="N253" s="63">
        <f>SUMIF($F$155:$F$248,$H253,N$155:N$248)</f>
        <v>125579.58934553665</v>
      </c>
      <c r="P253" s="72">
        <f t="shared" si="30"/>
        <v>0.10451356941188035</v>
      </c>
      <c r="Q253" s="49"/>
    </row>
    <row r="254" spans="4:17" ht="14.4" outlineLevel="2" x14ac:dyDescent="0.3">
      <c r="F254" s="10"/>
      <c r="G254" s="10"/>
      <c r="H254" s="26" t="s">
        <v>149</v>
      </c>
      <c r="I254" s="63">
        <f t="shared" si="31"/>
        <v>9999.9941327287324</v>
      </c>
      <c r="J254" s="63">
        <f t="shared" si="31"/>
        <v>11435.978009923509</v>
      </c>
      <c r="K254" s="63">
        <f t="shared" si="31"/>
        <v>12529.653375090084</v>
      </c>
      <c r="L254" s="63">
        <f t="shared" si="31"/>
        <v>12295.357735815873</v>
      </c>
      <c r="M254" s="63">
        <f t="shared" si="31"/>
        <v>12780.157845720309</v>
      </c>
      <c r="N254" s="63">
        <f>SUMIF($F$155:$F$248,$H254,N$155:N$248)</f>
        <v>13360.330031071142</v>
      </c>
      <c r="P254" s="72">
        <f t="shared" si="30"/>
        <v>5.9652551610369371E-2</v>
      </c>
      <c r="Q254" s="49"/>
    </row>
    <row r="255" spans="4:17" ht="14.4" outlineLevel="2" x14ac:dyDescent="0.3">
      <c r="F255" s="10"/>
      <c r="G255" s="10"/>
      <c r="H255" s="26" t="s">
        <v>151</v>
      </c>
      <c r="I255" s="63">
        <f t="shared" si="31"/>
        <v>126988.19786862751</v>
      </c>
      <c r="J255" s="63">
        <f t="shared" si="31"/>
        <v>137973.6582732088</v>
      </c>
      <c r="K255" s="63">
        <f t="shared" si="31"/>
        <v>143095.99357722292</v>
      </c>
      <c r="L255" s="63">
        <f t="shared" si="31"/>
        <v>150910.30298164033</v>
      </c>
      <c r="M255" s="63">
        <f t="shared" si="31"/>
        <v>174659.38776884894</v>
      </c>
      <c r="N255" s="63">
        <f>SUMIF($F$155:$F$248,$H255,N$155:N$248)</f>
        <v>208333.8315942428</v>
      </c>
      <c r="P255" s="72">
        <f t="shared" si="30"/>
        <v>0.10407681048476221</v>
      </c>
      <c r="Q255" s="49"/>
    </row>
    <row r="256" spans="4:17" ht="14.4" outlineLevel="2" x14ac:dyDescent="0.3">
      <c r="H256" s="3" t="s">
        <v>213</v>
      </c>
      <c r="I256" s="72">
        <f>+I255/I249</f>
        <v>0.4111743865788014</v>
      </c>
      <c r="J256" s="72">
        <f>+J255/J249</f>
        <v>0.4101395643310885</v>
      </c>
      <c r="K256" s="72">
        <f>+K255/K249</f>
        <v>0.36840984960518719</v>
      </c>
      <c r="L256" s="72">
        <f>+L255/L249</f>
        <v>0.38350971382546295</v>
      </c>
      <c r="M256" s="72">
        <f>+M255/M249</f>
        <v>0.40318603590570273</v>
      </c>
      <c r="N256" s="72">
        <f>+N255/N249</f>
        <v>0.43997602659246748</v>
      </c>
    </row>
    <row r="257" spans="4:31" outlineLevel="2" x14ac:dyDescent="0.25">
      <c r="D257" s="6" t="s">
        <v>160</v>
      </c>
      <c r="N257" s="11"/>
    </row>
    <row r="258" spans="4:31" ht="15.6" outlineLevel="2" x14ac:dyDescent="0.3">
      <c r="F258" s="10" t="s">
        <v>180</v>
      </c>
      <c r="G258" s="10" t="s">
        <v>182</v>
      </c>
      <c r="H258" s="10" t="str">
        <f>CONCATENATE(F258," ",G258)</f>
        <v>East (피합병)</v>
      </c>
      <c r="I258" s="63">
        <f>SUMIFS(I$155:I$248,$F$155:$F$248,$F258,$G$155:$G$248,$G258)</f>
        <v>0</v>
      </c>
      <c r="J258" s="63">
        <f t="shared" ref="I258:N261" si="32">SUMIFS(J$155:J$248,$F$155:$F$248,$F258,$G$155:$G$248,$G258)</f>
        <v>0</v>
      </c>
      <c r="K258" s="63">
        <f t="shared" si="32"/>
        <v>0</v>
      </c>
      <c r="L258" s="63">
        <f t="shared" si="32"/>
        <v>0</v>
      </c>
      <c r="M258" s="63">
        <f t="shared" si="32"/>
        <v>0</v>
      </c>
      <c r="N258" s="63">
        <f t="shared" si="32"/>
        <v>0</v>
      </c>
      <c r="P258" s="72" t="e">
        <f>RATE(COLUMNS(J258:N258),0,-I258,N258,0)</f>
        <v>#NUM!</v>
      </c>
      <c r="Q258" s="49"/>
      <c r="AE258" s="4"/>
    </row>
    <row r="259" spans="4:31" ht="15.6" outlineLevel="2" x14ac:dyDescent="0.3">
      <c r="F259" s="10" t="s">
        <v>150</v>
      </c>
      <c r="G259" s="10" t="s">
        <v>182</v>
      </c>
      <c r="H259" s="10" t="str">
        <f t="shared" ref="H259:H261" si="33">CONCATENATE(F259," ",G259)</f>
        <v>South (피합병)</v>
      </c>
      <c r="I259" s="63">
        <f>SUMIFS(I$155:I$248,$F$155:$F$248,$F259,$G$155:$G$248,$G259)</f>
        <v>2784.7010957310486</v>
      </c>
      <c r="J259" s="63">
        <f t="shared" si="32"/>
        <v>3135.3283737772749</v>
      </c>
      <c r="K259" s="63">
        <f t="shared" si="32"/>
        <v>3300.0232399862725</v>
      </c>
      <c r="L259" s="63">
        <f t="shared" si="32"/>
        <v>3491.5107033493482</v>
      </c>
      <c r="M259" s="63">
        <f t="shared" si="32"/>
        <v>3906.0907777656639</v>
      </c>
      <c r="N259" s="63">
        <f>SUMIFS(N$155:N$248,$F$155:$F$248,$F259,$G$155:$G$248,$G259)</f>
        <v>4550.4722504041538</v>
      </c>
      <c r="P259" s="72">
        <f>RATE(COLUMNS(J259:N259),0,-I259,N259,0)</f>
        <v>0.10320336261572984</v>
      </c>
      <c r="Q259" s="49"/>
      <c r="AE259" s="4"/>
    </row>
    <row r="260" spans="4:31" ht="15.6" outlineLevel="2" x14ac:dyDescent="0.3">
      <c r="F260" s="10" t="s">
        <v>149</v>
      </c>
      <c r="G260" s="10" t="s">
        <v>182</v>
      </c>
      <c r="H260" s="10" t="str">
        <f t="shared" si="33"/>
        <v>Midwest (피합병)</v>
      </c>
      <c r="I260" s="63">
        <f t="shared" si="32"/>
        <v>5562.3560004700967</v>
      </c>
      <c r="J260" s="63">
        <f t="shared" si="32"/>
        <v>6389.6754966161607</v>
      </c>
      <c r="K260" s="63">
        <f t="shared" si="32"/>
        <v>6850.7124388866678</v>
      </c>
      <c r="L260" s="63">
        <f t="shared" si="32"/>
        <v>7158.2357895122204</v>
      </c>
      <c r="M260" s="63">
        <f t="shared" si="32"/>
        <v>8016.3982143270359</v>
      </c>
      <c r="N260" s="63">
        <f>SUMIFS(N$155:N$248,$F$155:$F$248,$F260,$G$155:$G$248,$G260)</f>
        <v>9244.1401797562248</v>
      </c>
      <c r="P260" s="72">
        <f t="shared" ref="P260:P261" si="34">RATE(COLUMNS(J260:N260),0,-I260,N260,0)</f>
        <v>0.10693354401764091</v>
      </c>
      <c r="Q260" s="49"/>
      <c r="AE260" s="4"/>
    </row>
    <row r="261" spans="4:31" ht="15.6" outlineLevel="2" x14ac:dyDescent="0.3">
      <c r="F261" s="10" t="s">
        <v>151</v>
      </c>
      <c r="G261" s="10" t="s">
        <v>182</v>
      </c>
      <c r="H261" s="10" t="str">
        <f t="shared" si="33"/>
        <v>West (피합병)</v>
      </c>
      <c r="I261" s="63">
        <f>SUMIFS(I$155:I$248,$F$155:$F$248,$F261,$G$155:$G$248,$G261)</f>
        <v>125861.95260182304</v>
      </c>
      <c r="J261" s="63">
        <f t="shared" si="32"/>
        <v>136752.16727494061</v>
      </c>
      <c r="K261" s="63">
        <f t="shared" si="32"/>
        <v>141883.18655322309</v>
      </c>
      <c r="L261" s="63">
        <f t="shared" si="32"/>
        <v>149479.31131579881</v>
      </c>
      <c r="M261" s="63">
        <f t="shared" si="32"/>
        <v>173117.06432509632</v>
      </c>
      <c r="N261" s="63">
        <f>SUMIFS(N$155:N$248,$F$155:$F$248,$F261,$G$155:$G$248,$G261)</f>
        <v>206693.83281745785</v>
      </c>
      <c r="P261" s="72">
        <f t="shared" si="34"/>
        <v>0.1042988266682167</v>
      </c>
      <c r="Q261" s="49"/>
    </row>
    <row r="262" spans="4:31" outlineLevel="2" x14ac:dyDescent="0.25">
      <c r="N262" s="11"/>
      <c r="Y262" s="27"/>
    </row>
    <row r="263" spans="4:31" outlineLevel="2" x14ac:dyDescent="0.25">
      <c r="Y263" s="27"/>
    </row>
    <row r="264" spans="4:31" outlineLevel="2" x14ac:dyDescent="0.25">
      <c r="Y264" s="27"/>
    </row>
    <row r="265" spans="4:31" outlineLevel="2" x14ac:dyDescent="0.25">
      <c r="Y265" s="27"/>
    </row>
    <row r="266" spans="4:31" outlineLevel="1" x14ac:dyDescent="0.25">
      <c r="D266" s="6" t="s">
        <v>161</v>
      </c>
      <c r="I266" s="7">
        <v>2015</v>
      </c>
      <c r="J266" s="7">
        <f>+I266+1</f>
        <v>2016</v>
      </c>
      <c r="K266" s="7">
        <f t="shared" ref="K266:N266" si="35">+J266+1</f>
        <v>2017</v>
      </c>
      <c r="L266" s="7">
        <f t="shared" si="35"/>
        <v>2018</v>
      </c>
      <c r="M266" s="7">
        <f t="shared" si="35"/>
        <v>2019</v>
      </c>
      <c r="N266" s="7">
        <f t="shared" si="35"/>
        <v>2020</v>
      </c>
      <c r="Y266" s="27"/>
    </row>
    <row r="267" spans="4:31" ht="14.4" outlineLevel="1" x14ac:dyDescent="0.3">
      <c r="F267" s="10"/>
      <c r="G267" s="10"/>
      <c r="H267" s="10" t="s">
        <v>180</v>
      </c>
      <c r="I267" s="63">
        <f>AVERAGEIF($F$155:$F$248,$H267,I$155:I$248)</f>
        <v>5966.2304540302557</v>
      </c>
      <c r="J267" s="63">
        <f t="shared" ref="I267:M270" si="36">AVERAGEIF($F$155:$F$248,$H267,J$155:J$248)</f>
        <v>6469.3516218741579</v>
      </c>
      <c r="K267" s="63">
        <f t="shared" si="36"/>
        <v>7910.1080376102227</v>
      </c>
      <c r="L267" s="63">
        <f t="shared" si="36"/>
        <v>7755.2311020337302</v>
      </c>
      <c r="M267" s="63">
        <f t="shared" si="36"/>
        <v>8312.3698147637278</v>
      </c>
      <c r="N267" s="63">
        <f>AVERAGEIF($F$155:$F$248,$H267,N$155:N$248)</f>
        <v>7889.8768264128703</v>
      </c>
      <c r="P267" s="24"/>
      <c r="Y267" s="27"/>
    </row>
    <row r="268" spans="4:31" ht="14.4" outlineLevel="1" x14ac:dyDescent="0.3">
      <c r="F268" s="10"/>
      <c r="G268" s="10"/>
      <c r="H268" s="10" t="s">
        <v>150</v>
      </c>
      <c r="I268" s="63">
        <f>AVERAGEIF($F$155:$F$248,$H268,I$155:I$248)</f>
        <v>2728.3855989490148</v>
      </c>
      <c r="J268" s="63">
        <f t="shared" si="36"/>
        <v>2981.6908009474691</v>
      </c>
      <c r="K268" s="63">
        <f t="shared" si="36"/>
        <v>3663.0291930167964</v>
      </c>
      <c r="L268" s="63">
        <f t="shared" si="36"/>
        <v>3662.3667386220764</v>
      </c>
      <c r="M268" s="63">
        <f t="shared" si="36"/>
        <v>3758.6848582911271</v>
      </c>
      <c r="N268" s="63">
        <f>AVERAGEIF($F$155:$F$248,$H268,N$155:N$248)</f>
        <v>4050.9544950173113</v>
      </c>
      <c r="P268" s="24"/>
      <c r="Y268" s="27"/>
    </row>
    <row r="269" spans="4:31" ht="14.4" outlineLevel="1" x14ac:dyDescent="0.3">
      <c r="F269" s="10"/>
      <c r="G269" s="10"/>
      <c r="H269" s="10" t="s">
        <v>149</v>
      </c>
      <c r="I269" s="63">
        <f t="shared" si="36"/>
        <v>384.61515895110512</v>
      </c>
      <c r="J269" s="63">
        <f t="shared" si="36"/>
        <v>439.84530807398107</v>
      </c>
      <c r="K269" s="63">
        <f t="shared" si="36"/>
        <v>481.90974519577242</v>
      </c>
      <c r="L269" s="63">
        <f t="shared" si="36"/>
        <v>472.89837445445664</v>
      </c>
      <c r="M269" s="63">
        <f t="shared" si="36"/>
        <v>491.54453252770418</v>
      </c>
      <c r="N269" s="63">
        <f>AVERAGEIF($F$155:$F$248,$H269,N$155:N$248)</f>
        <v>494.82703818782005</v>
      </c>
      <c r="P269" s="24"/>
      <c r="Y269" s="27"/>
    </row>
    <row r="270" spans="4:31" ht="14.4" outlineLevel="1" x14ac:dyDescent="0.3">
      <c r="F270" s="10"/>
      <c r="G270" s="10"/>
      <c r="H270" s="10" t="s">
        <v>151</v>
      </c>
      <c r="I270" s="63">
        <f t="shared" si="36"/>
        <v>6349.4098934313752</v>
      </c>
      <c r="J270" s="63">
        <f t="shared" si="36"/>
        <v>6898.6829136604401</v>
      </c>
      <c r="K270" s="63">
        <f t="shared" si="36"/>
        <v>7154.7996788611463</v>
      </c>
      <c r="L270" s="63">
        <f t="shared" si="36"/>
        <v>7545.5151490820163</v>
      </c>
      <c r="M270" s="63">
        <f t="shared" si="36"/>
        <v>8732.9693884424469</v>
      </c>
      <c r="N270" s="63">
        <f>AVERAGEIF($F$155:$F$248,$H270,N$155:N$248)</f>
        <v>10416.69157971214</v>
      </c>
      <c r="P270" s="24"/>
      <c r="Y270" s="27"/>
      <c r="AE270" s="4"/>
    </row>
    <row r="271" spans="4:31" outlineLevel="1" x14ac:dyDescent="0.25">
      <c r="N271" s="11"/>
      <c r="Y271" s="27"/>
    </row>
    <row r="272" spans="4:31" ht="15.6" outlineLevel="1" x14ac:dyDescent="0.3">
      <c r="D272" s="6" t="s">
        <v>162</v>
      </c>
      <c r="F272" s="10" t="s">
        <v>180</v>
      </c>
      <c r="G272" s="10" t="s">
        <v>182</v>
      </c>
      <c r="H272" s="10" t="str">
        <f>CONCATENATE(F272," ",G272)</f>
        <v>East (피합병)</v>
      </c>
      <c r="I272" s="63" t="e">
        <f>AVERAGEIFS(I$155:I$248,$F$155:$F$248,$F272,$G$155:$G$248,$G272)</f>
        <v>#DIV/0!</v>
      </c>
      <c r="J272" s="63" t="e">
        <f t="shared" ref="I272:N275" si="37">AVERAGEIFS(J$155:J$248,$F$155:$F$248,$F272,$G$155:$G$248,$G272)</f>
        <v>#DIV/0!</v>
      </c>
      <c r="K272" s="63" t="e">
        <f t="shared" si="37"/>
        <v>#DIV/0!</v>
      </c>
      <c r="L272" s="63" t="e">
        <f t="shared" si="37"/>
        <v>#DIV/0!</v>
      </c>
      <c r="M272" s="63" t="e">
        <f t="shared" si="37"/>
        <v>#DIV/0!</v>
      </c>
      <c r="N272" s="63" t="e">
        <f t="shared" si="37"/>
        <v>#DIV/0!</v>
      </c>
      <c r="P272" s="24"/>
      <c r="Y272" s="27"/>
    </row>
    <row r="273" spans="4:25" ht="15.6" outlineLevel="1" x14ac:dyDescent="0.3">
      <c r="F273" s="10" t="s">
        <v>150</v>
      </c>
      <c r="G273" s="10" t="s">
        <v>182</v>
      </c>
      <c r="H273" s="10" t="str">
        <f t="shared" ref="H273:H275" si="38">CONCATENATE(F273," ",G273)</f>
        <v>South (피합병)</v>
      </c>
      <c r="I273" s="63">
        <f>AVERAGEIFS(I$155:I$248,$F$155:$F$248,$F273,$G$155:$G$248,$G273)</f>
        <v>278.47010957310488</v>
      </c>
      <c r="J273" s="63">
        <f t="shared" si="37"/>
        <v>313.5328373777275</v>
      </c>
      <c r="K273" s="63">
        <f t="shared" si="37"/>
        <v>330.00232399862728</v>
      </c>
      <c r="L273" s="63">
        <f t="shared" si="37"/>
        <v>349.15107033493484</v>
      </c>
      <c r="M273" s="63">
        <f t="shared" si="37"/>
        <v>390.60907777656638</v>
      </c>
      <c r="N273" s="63">
        <f>AVERAGEIFS(N$155:N$248,$F$155:$F$248,$F273,$G$155:$G$248,$G273)</f>
        <v>455.04722504041536</v>
      </c>
      <c r="P273" s="24"/>
      <c r="Y273" s="27"/>
    </row>
    <row r="274" spans="4:25" ht="15.6" outlineLevel="1" x14ac:dyDescent="0.3">
      <c r="F274" s="10" t="s">
        <v>149</v>
      </c>
      <c r="G274" s="10" t="s">
        <v>182</v>
      </c>
      <c r="H274" s="10" t="str">
        <f t="shared" si="38"/>
        <v>Midwest (피합병)</v>
      </c>
      <c r="I274" s="63">
        <f t="shared" si="37"/>
        <v>397.31114289072121</v>
      </c>
      <c r="J274" s="63">
        <f t="shared" si="37"/>
        <v>456.40539261544006</v>
      </c>
      <c r="K274" s="63">
        <f t="shared" si="37"/>
        <v>489.33660277761913</v>
      </c>
      <c r="L274" s="63">
        <f t="shared" si="37"/>
        <v>511.30255639373001</v>
      </c>
      <c r="M274" s="63">
        <f t="shared" si="37"/>
        <v>572.59987245193111</v>
      </c>
      <c r="N274" s="63">
        <f>AVERAGEIFS(N$155:N$248,$F$155:$F$248,$F274,$G$155:$G$248,$G274)</f>
        <v>660.29572712544461</v>
      </c>
      <c r="P274" s="24"/>
      <c r="Y274" s="27"/>
    </row>
    <row r="275" spans="4:25" ht="15.6" outlineLevel="1" x14ac:dyDescent="0.3">
      <c r="F275" s="10" t="s">
        <v>151</v>
      </c>
      <c r="G275" s="10" t="s">
        <v>182</v>
      </c>
      <c r="H275" s="10" t="str">
        <f t="shared" si="38"/>
        <v>West (피합병)</v>
      </c>
      <c r="I275" s="63">
        <f t="shared" si="37"/>
        <v>7403.6442706954731</v>
      </c>
      <c r="J275" s="63">
        <f t="shared" si="37"/>
        <v>8044.2451338200362</v>
      </c>
      <c r="K275" s="63">
        <f t="shared" si="37"/>
        <v>8346.0697972484177</v>
      </c>
      <c r="L275" s="63">
        <f t="shared" si="37"/>
        <v>8792.9006656352249</v>
      </c>
      <c r="M275" s="63">
        <f t="shared" si="37"/>
        <v>10183.356725005666</v>
      </c>
      <c r="N275" s="63">
        <f>AVERAGEIFS(N$155:N$248,$F$155:$F$248,$F275,$G$155:$G$248,$G275)</f>
        <v>12158.460753968109</v>
      </c>
      <c r="P275" s="24"/>
      <c r="Y275" s="27"/>
    </row>
    <row r="276" spans="4:25" outlineLevel="1" x14ac:dyDescent="0.25">
      <c r="F276" s="10"/>
      <c r="G276" s="10"/>
      <c r="H276" s="10"/>
      <c r="I276" s="10"/>
      <c r="J276" s="10"/>
      <c r="K276" s="10"/>
      <c r="L276" s="10"/>
      <c r="M276" s="10"/>
      <c r="N276" s="10"/>
      <c r="Y276" s="27"/>
    </row>
    <row r="277" spans="4:25" outlineLevel="2" x14ac:dyDescent="0.25">
      <c r="H277" s="6" t="s">
        <v>144</v>
      </c>
      <c r="I277" s="3" t="b">
        <f>ISERROR(I272)</f>
        <v>1</v>
      </c>
      <c r="J277" s="3" t="b">
        <f>ISERROR(J272)</f>
        <v>1</v>
      </c>
      <c r="K277" s="3" t="b">
        <f>ISERROR(K272)</f>
        <v>1</v>
      </c>
      <c r="L277" s="3" t="b">
        <f t="shared" ref="L277:N277" si="39">ISERROR(L272)</f>
        <v>1</v>
      </c>
      <c r="M277" s="3" t="b">
        <f t="shared" si="39"/>
        <v>1</v>
      </c>
      <c r="N277" s="3" t="b">
        <f t="shared" si="39"/>
        <v>1</v>
      </c>
      <c r="Y277" s="27"/>
    </row>
    <row r="278" spans="4:25" outlineLevel="2" x14ac:dyDescent="0.25">
      <c r="H278" s="6" t="s">
        <v>143</v>
      </c>
      <c r="I278" s="3" t="b">
        <f>ISNUMBER(I272)</f>
        <v>0</v>
      </c>
      <c r="J278" s="3" t="b">
        <f>ISNUMBER(J272)</f>
        <v>0</v>
      </c>
      <c r="K278" s="3" t="b">
        <f>ISNUMBER(K272)</f>
        <v>0</v>
      </c>
      <c r="L278" s="3" t="b">
        <f>ISNUMBER(L272)</f>
        <v>0</v>
      </c>
      <c r="M278" s="3" t="b">
        <f>ISNUMBER(M272)</f>
        <v>0</v>
      </c>
      <c r="N278" s="3" t="b">
        <f>ISNUMBER(N272)</f>
        <v>0</v>
      </c>
      <c r="Y278" s="27"/>
    </row>
    <row r="279" spans="4:25" outlineLevel="2" x14ac:dyDescent="0.25">
      <c r="H279" s="6"/>
      <c r="Y279" s="27"/>
    </row>
    <row r="280" spans="4:25" outlineLevel="1" x14ac:dyDescent="0.25">
      <c r="I280" s="7">
        <v>2015</v>
      </c>
      <c r="J280" s="7">
        <f>+I280+1</f>
        <v>2016</v>
      </c>
      <c r="K280" s="7">
        <f t="shared" ref="K280:N280" si="40">+J280+1</f>
        <v>2017</v>
      </c>
      <c r="L280" s="7">
        <f t="shared" si="40"/>
        <v>2018</v>
      </c>
      <c r="M280" s="7">
        <f t="shared" si="40"/>
        <v>2019</v>
      </c>
      <c r="N280" s="7">
        <f t="shared" si="40"/>
        <v>2020</v>
      </c>
      <c r="Y280" s="27"/>
    </row>
    <row r="281" spans="4:25" ht="15.6" outlineLevel="1" x14ac:dyDescent="0.25">
      <c r="D281" s="6" t="s">
        <v>191</v>
      </c>
      <c r="F281" s="10" t="s">
        <v>180</v>
      </c>
      <c r="G281" s="10" t="s">
        <v>182</v>
      </c>
      <c r="H281" s="10" t="str">
        <f>CONCATENATE(F281," ",G281)</f>
        <v>East (피합병)</v>
      </c>
      <c r="I281" s="63" t="str">
        <f>IF(ISERROR(AVERAGEIFS(I$155:I$248,$F$155:$F$248,$F281,$G$155:$G$248,$G281)),"",AVERAGEIFS(I$155:I$248,$F$155:$F$248,$F281,$G$155:$G$248,$G281))</f>
        <v/>
      </c>
      <c r="J281" s="63" t="str">
        <f>IF(ISERROR(AVERAGEIFS(J$155:J$248,$F$155:$F$248,$F281,$G$155:$G$248,$G281)),"",AVERAGEIFS(J$155:J$248,$F$155:$F$248,$F281,$G$155:$G$248,$G281))</f>
        <v/>
      </c>
      <c r="K281" s="63" t="str">
        <f t="shared" ref="K281:N281" si="41">IF(ISERROR(AVERAGEIFS(K$155:K$248,$F$155:$F$248,$F281,$G$155:$G$248,$G281)),"",AVERAGEIFS(K$155:K$248,$F$155:$F$248,$F281,$G$155:$G$248,$G281))</f>
        <v/>
      </c>
      <c r="L281" s="63" t="str">
        <f t="shared" si="41"/>
        <v/>
      </c>
      <c r="M281" s="63" t="str">
        <f t="shared" si="41"/>
        <v/>
      </c>
      <c r="N281" s="63" t="str">
        <f t="shared" si="41"/>
        <v/>
      </c>
      <c r="Y281" s="27"/>
    </row>
    <row r="282" spans="4:25" ht="15.6" outlineLevel="1" x14ac:dyDescent="0.25">
      <c r="D282" s="6"/>
      <c r="F282" s="10" t="s">
        <v>150</v>
      </c>
      <c r="G282" s="10" t="s">
        <v>182</v>
      </c>
      <c r="H282" s="10" t="str">
        <f t="shared" ref="H282:H284" si="42">CONCATENATE(F282," ",G282)</f>
        <v>South (피합병)</v>
      </c>
      <c r="I282" s="63">
        <f t="shared" ref="I282:N284" si="43">IF(ISERROR(AVERAGEIFS(I$155:I$248,$F$155:$F$248,$F282,$G$155:$G$248,$G282)),"",AVERAGEIFS(I$155:I$248,$F$155:$F$248,$F282,$G$155:$G$248,$G282))</f>
        <v>278.47010957310488</v>
      </c>
      <c r="J282" s="63">
        <f t="shared" si="43"/>
        <v>313.5328373777275</v>
      </c>
      <c r="K282" s="63">
        <f t="shared" si="43"/>
        <v>330.00232399862728</v>
      </c>
      <c r="L282" s="63">
        <f t="shared" si="43"/>
        <v>349.15107033493484</v>
      </c>
      <c r="M282" s="63">
        <f t="shared" si="43"/>
        <v>390.60907777656638</v>
      </c>
      <c r="N282" s="63">
        <f t="shared" si="43"/>
        <v>455.04722504041536</v>
      </c>
      <c r="Y282" s="27"/>
    </row>
    <row r="283" spans="4:25" ht="15.6" outlineLevel="1" x14ac:dyDescent="0.25">
      <c r="F283" s="10" t="s">
        <v>149</v>
      </c>
      <c r="G283" s="10" t="s">
        <v>182</v>
      </c>
      <c r="H283" s="10" t="str">
        <f t="shared" si="42"/>
        <v>Midwest (피합병)</v>
      </c>
      <c r="I283" s="63">
        <f t="shared" si="43"/>
        <v>397.31114289072121</v>
      </c>
      <c r="J283" s="63">
        <f t="shared" si="43"/>
        <v>456.40539261544006</v>
      </c>
      <c r="K283" s="63">
        <f t="shared" si="43"/>
        <v>489.33660277761913</v>
      </c>
      <c r="L283" s="63">
        <f t="shared" si="43"/>
        <v>511.30255639373001</v>
      </c>
      <c r="M283" s="63">
        <f t="shared" si="43"/>
        <v>572.59987245193111</v>
      </c>
      <c r="N283" s="63">
        <f t="shared" si="43"/>
        <v>660.29572712544461</v>
      </c>
      <c r="Y283" s="27"/>
    </row>
    <row r="284" spans="4:25" ht="15.6" outlineLevel="1" x14ac:dyDescent="0.25">
      <c r="F284" s="10" t="s">
        <v>151</v>
      </c>
      <c r="G284" s="10" t="s">
        <v>182</v>
      </c>
      <c r="H284" s="10" t="str">
        <f t="shared" si="42"/>
        <v>West (피합병)</v>
      </c>
      <c r="I284" s="63">
        <f t="shared" si="43"/>
        <v>7403.6442706954731</v>
      </c>
      <c r="J284" s="63">
        <f t="shared" si="43"/>
        <v>8044.2451338200362</v>
      </c>
      <c r="K284" s="63">
        <f t="shared" si="43"/>
        <v>8346.0697972484177</v>
      </c>
      <c r="L284" s="63">
        <f t="shared" si="43"/>
        <v>8792.9006656352249</v>
      </c>
      <c r="M284" s="63">
        <f t="shared" si="43"/>
        <v>10183.356725005666</v>
      </c>
      <c r="N284" s="63">
        <f t="shared" si="43"/>
        <v>12158.460753968109</v>
      </c>
      <c r="Y284" s="27"/>
    </row>
    <row r="285" spans="4:25" outlineLevel="1" x14ac:dyDescent="0.25">
      <c r="N285" s="11"/>
      <c r="Y285" s="27"/>
    </row>
    <row r="286" spans="4:25" ht="15.6" outlineLevel="1" x14ac:dyDescent="0.25">
      <c r="D286" s="6" t="s">
        <v>192</v>
      </c>
      <c r="F286" s="10" t="s">
        <v>180</v>
      </c>
      <c r="G286" s="10" t="s">
        <v>182</v>
      </c>
      <c r="H286" s="10" t="str">
        <f>CONCATENATE(F286," ",G286)</f>
        <v>East (피합병)</v>
      </c>
      <c r="I286" s="63" t="str">
        <f>IF(ISNUMBER(AVERAGEIFS(I$155:I$248,$F$155:$F$248,$F286,$G$155:$G$248,$G286)),AVERAGEIFS(I$155:I$248,$F$155:$F$248,$F286,$G$155:$G$248,$G286),"")</f>
        <v/>
      </c>
      <c r="J286" s="63" t="str">
        <f t="shared" ref="J286:N286" si="44">IF(ISNUMBER(AVERAGEIFS(J$155:J$248,$F$155:$F$248,$F286,$G$155:$G$248,$G286)),AVERAGEIFS(J$155:J$248,$F$155:$F$248,$F286,$G$155:$G$248,$G286),"")</f>
        <v/>
      </c>
      <c r="K286" s="63" t="str">
        <f t="shared" si="44"/>
        <v/>
      </c>
      <c r="L286" s="63" t="str">
        <f t="shared" si="44"/>
        <v/>
      </c>
      <c r="M286" s="63" t="str">
        <f t="shared" si="44"/>
        <v/>
      </c>
      <c r="N286" s="63" t="str">
        <f t="shared" si="44"/>
        <v/>
      </c>
      <c r="Y286" s="27"/>
    </row>
    <row r="287" spans="4:25" ht="15.6" outlineLevel="1" x14ac:dyDescent="0.25">
      <c r="D287" s="6"/>
      <c r="F287" s="10" t="s">
        <v>150</v>
      </c>
      <c r="G287" s="10" t="s">
        <v>182</v>
      </c>
      <c r="H287" s="10" t="str">
        <f t="shared" ref="H287:H289" si="45">CONCATENATE(F287," ",G287)</f>
        <v>South (피합병)</v>
      </c>
      <c r="I287" s="63">
        <f t="shared" ref="I287:N289" si="46">IF(ISNUMBER(AVERAGEIFS(I$155:I$248,$F$155:$F$248,$F287,$G$155:$G$248,$G287)),AVERAGEIFS(I$155:I$248,$F$155:$F$248,$F287,$G$155:$G$248,$G287),"")</f>
        <v>278.47010957310488</v>
      </c>
      <c r="J287" s="63">
        <f t="shared" si="46"/>
        <v>313.5328373777275</v>
      </c>
      <c r="K287" s="63">
        <f t="shared" si="46"/>
        <v>330.00232399862728</v>
      </c>
      <c r="L287" s="63">
        <f t="shared" si="46"/>
        <v>349.15107033493484</v>
      </c>
      <c r="M287" s="63">
        <f t="shared" si="46"/>
        <v>390.60907777656638</v>
      </c>
      <c r="N287" s="63">
        <f t="shared" si="46"/>
        <v>455.04722504041536</v>
      </c>
      <c r="Y287" s="27"/>
    </row>
    <row r="288" spans="4:25" ht="15.6" outlineLevel="1" x14ac:dyDescent="0.25">
      <c r="F288" s="10" t="s">
        <v>149</v>
      </c>
      <c r="G288" s="10" t="s">
        <v>182</v>
      </c>
      <c r="H288" s="10" t="str">
        <f t="shared" si="45"/>
        <v>Midwest (피합병)</v>
      </c>
      <c r="I288" s="63">
        <f t="shared" si="46"/>
        <v>397.31114289072121</v>
      </c>
      <c r="J288" s="63">
        <f t="shared" si="46"/>
        <v>456.40539261544006</v>
      </c>
      <c r="K288" s="63">
        <f t="shared" si="46"/>
        <v>489.33660277761913</v>
      </c>
      <c r="L288" s="63">
        <f t="shared" si="46"/>
        <v>511.30255639373001</v>
      </c>
      <c r="M288" s="63">
        <f t="shared" si="46"/>
        <v>572.59987245193111</v>
      </c>
      <c r="N288" s="63">
        <f t="shared" si="46"/>
        <v>660.29572712544461</v>
      </c>
      <c r="Y288" s="27"/>
    </row>
    <row r="289" spans="4:80" ht="15.6" outlineLevel="1" x14ac:dyDescent="0.35">
      <c r="F289" s="10" t="s">
        <v>151</v>
      </c>
      <c r="G289" s="10" t="s">
        <v>182</v>
      </c>
      <c r="H289" s="10" t="str">
        <f t="shared" si="45"/>
        <v>West (피합병)</v>
      </c>
      <c r="I289" s="63">
        <f t="shared" si="46"/>
        <v>7403.6442706954731</v>
      </c>
      <c r="J289" s="63">
        <f t="shared" si="46"/>
        <v>8044.2451338200362</v>
      </c>
      <c r="K289" s="63">
        <f t="shared" si="46"/>
        <v>8346.0697972484177</v>
      </c>
      <c r="L289" s="63">
        <f t="shared" si="46"/>
        <v>8792.9006656352249</v>
      </c>
      <c r="M289" s="63">
        <f t="shared" si="46"/>
        <v>10183.356725005666</v>
      </c>
      <c r="N289" s="63">
        <f t="shared" si="46"/>
        <v>12158.460753968109</v>
      </c>
      <c r="P289" s="4" t="s">
        <v>183</v>
      </c>
      <c r="Y289" s="27"/>
    </row>
    <row r="290" spans="4:80" outlineLevel="1" x14ac:dyDescent="0.25">
      <c r="N290" s="11"/>
      <c r="Y290" s="27"/>
    </row>
    <row r="291" spans="4:80" outlineLevel="1" x14ac:dyDescent="0.25">
      <c r="N291" s="11"/>
      <c r="Y291" s="27"/>
    </row>
    <row r="292" spans="4:80" x14ac:dyDescent="0.25">
      <c r="I292" s="7">
        <v>2015</v>
      </c>
      <c r="J292" s="7">
        <f>+I292+1</f>
        <v>2016</v>
      </c>
      <c r="K292" s="7">
        <f t="shared" ref="K292:N292" si="47">+J292+1</f>
        <v>2017</v>
      </c>
      <c r="L292" s="7">
        <f t="shared" si="47"/>
        <v>2018</v>
      </c>
      <c r="M292" s="7">
        <f t="shared" si="47"/>
        <v>2019</v>
      </c>
      <c r="N292" s="7">
        <f t="shared" si="47"/>
        <v>2020</v>
      </c>
      <c r="Y292" s="27"/>
    </row>
    <row r="293" spans="4:80" s="29" customFormat="1" x14ac:dyDescent="0.25">
      <c r="D293" s="28" t="s">
        <v>137</v>
      </c>
      <c r="H293" s="29" t="s">
        <v>167</v>
      </c>
      <c r="I293" s="73">
        <f>COUNT(I155:I248)</f>
        <v>90</v>
      </c>
      <c r="J293" s="73">
        <f>COUNT(J155:J248)</f>
        <v>90</v>
      </c>
      <c r="K293" s="73">
        <f>COUNT(K155:K248)</f>
        <v>91</v>
      </c>
      <c r="L293" s="73">
        <f>COUNT(L155:L248)</f>
        <v>91</v>
      </c>
      <c r="M293" s="73">
        <f>COUNT(M155:M248)</f>
        <v>92</v>
      </c>
      <c r="N293" s="73">
        <f>COUNT(N155:N248)</f>
        <v>94</v>
      </c>
      <c r="P293" s="4"/>
      <c r="Y293" s="30"/>
    </row>
    <row r="294" spans="4:80" s="29" customFormat="1" x14ac:dyDescent="0.25">
      <c r="D294" s="28" t="s">
        <v>138</v>
      </c>
      <c r="H294" s="29" t="s">
        <v>167</v>
      </c>
      <c r="I294" s="73">
        <f>COUNTIF(I155:I248,"&gt;0")</f>
        <v>90</v>
      </c>
      <c r="J294" s="73">
        <f>COUNTIF(J155:J248,"&gt;0")</f>
        <v>90</v>
      </c>
      <c r="K294" s="73">
        <f>COUNTIF(K155:K248,"&gt;0")</f>
        <v>91</v>
      </c>
      <c r="L294" s="73">
        <f>COUNTIF(L155:L248,"&gt;0")</f>
        <v>91</v>
      </c>
      <c r="M294" s="73">
        <f>COUNTIF(M155:M248,"&gt;0")</f>
        <v>92</v>
      </c>
      <c r="N294" s="73">
        <f>COUNTIF(N155:N248,"&gt;0")</f>
        <v>94</v>
      </c>
      <c r="Y294" s="30"/>
    </row>
    <row r="295" spans="4:80" ht="15.6" x14ac:dyDescent="0.35">
      <c r="D295" s="28" t="s">
        <v>139</v>
      </c>
      <c r="H295" s="45" t="s">
        <v>193</v>
      </c>
      <c r="I295" s="73">
        <f>COUNTIFS(I155:I248,"&gt;0",$G$155:$G$248,$G$248)</f>
        <v>41</v>
      </c>
      <c r="J295" s="73">
        <f>COUNTIFS(J155:J248,"&gt;0",$G$155:$G$248,$G$248)</f>
        <v>41</v>
      </c>
      <c r="K295" s="73">
        <f>COUNTIFS(K155:K248,"&gt;0",$G$155:$G$248,$G$248)</f>
        <v>41</v>
      </c>
      <c r="L295" s="73">
        <f>COUNTIFS(L155:L248,"&gt;0",$G$155:$G$248,$G$248)</f>
        <v>41</v>
      </c>
      <c r="M295" s="73">
        <f>COUNTIFS(M155:M248,"&gt;0",$G$155:$G$248,$G$248)</f>
        <v>41</v>
      </c>
      <c r="N295" s="73">
        <f>COUNTIFS(N155:N248,"&gt;0",$G$155:$G$248,$G$248)</f>
        <v>41</v>
      </c>
      <c r="Y295" s="27"/>
    </row>
    <row r="296" spans="4:80" x14ac:dyDescent="0.25">
      <c r="N296" s="11"/>
      <c r="Y296" s="27"/>
    </row>
    <row r="297" spans="4:80" x14ac:dyDescent="0.25">
      <c r="N297" s="11"/>
      <c r="Y297" s="27"/>
    </row>
    <row r="298" spans="4:80" ht="15.6" x14ac:dyDescent="0.35">
      <c r="H298" s="44" t="s">
        <v>194</v>
      </c>
      <c r="I298" s="73">
        <f>COUNTIFS(I155:I248,"&gt;0",$F$155:$F$248,$F$242)</f>
        <v>20</v>
      </c>
      <c r="J298" s="73">
        <f t="shared" ref="J298:N298" si="48">COUNTIFS(J155:J248,"&gt;0",$F$155:$F$248,$F$242)</f>
        <v>20</v>
      </c>
      <c r="K298" s="73">
        <f t="shared" si="48"/>
        <v>20</v>
      </c>
      <c r="L298" s="73">
        <f t="shared" si="48"/>
        <v>20</v>
      </c>
      <c r="M298" s="73">
        <f t="shared" si="48"/>
        <v>20</v>
      </c>
      <c r="N298" s="73">
        <f t="shared" si="48"/>
        <v>20</v>
      </c>
      <c r="Y298" s="27"/>
    </row>
    <row r="299" spans="4:80" ht="15.6" x14ac:dyDescent="0.35">
      <c r="H299" s="44" t="s">
        <v>194</v>
      </c>
      <c r="I299" s="73">
        <f>COUNTIFS(I155:I248,"&gt;0",$G$155:$G$248,$G$248,$F$155:$F$248,$F$242)</f>
        <v>17</v>
      </c>
      <c r="J299" s="73">
        <f>COUNTIFS(J155:J248,"&gt;0",$G$155:$G$248,$G$248,$F$155:$F$248,$F$242)</f>
        <v>17</v>
      </c>
      <c r="K299" s="73">
        <f>COUNTIFS(K155:K248,"&gt;0",$G$155:$G$248,$G$248,$F$155:$F$248,$F$242)</f>
        <v>17</v>
      </c>
      <c r="L299" s="73">
        <f>COUNTIFS(L155:L248,"&gt;0",$G$155:$G$248,$G$248,$F$155:$F$248,$F$242)</f>
        <v>17</v>
      </c>
      <c r="M299" s="73">
        <f>COUNTIFS(M155:M248,"&gt;0",$G$155:$G$248,$G$248,$F$155:$F$248,$F$242)</f>
        <v>17</v>
      </c>
      <c r="N299" s="73">
        <f>COUNTIFS(N155:N248,"&gt;0",$G$155:$G$248,$G$248,$F$155:$F$248,$F$242)</f>
        <v>17</v>
      </c>
      <c r="Y299" s="27"/>
    </row>
    <row r="300" spans="4:80" x14ac:dyDescent="0.25">
      <c r="N300" s="11"/>
      <c r="Y300" s="27"/>
    </row>
    <row r="301" spans="4:80" ht="15.6" x14ac:dyDescent="0.35">
      <c r="D301" s="4" t="s">
        <v>184</v>
      </c>
      <c r="H301" s="50" t="s">
        <v>202</v>
      </c>
      <c r="I301" s="63">
        <f>+(I255-I261)/(I298-I299)</f>
        <v>375.41508893482387</v>
      </c>
      <c r="J301" s="63">
        <f>+(J255-J261)/(J298-J299)</f>
        <v>407.16366608939524</v>
      </c>
      <c r="K301" s="63">
        <f>+(K255-K261)/(K298-K299)</f>
        <v>404.26900799994473</v>
      </c>
      <c r="L301" s="63">
        <f t="shared" ref="L301:N301" si="49">+(L255-L261)/(L298-L299)</f>
        <v>476.99722194717225</v>
      </c>
      <c r="M301" s="63">
        <f t="shared" si="49"/>
        <v>514.10781458420877</v>
      </c>
      <c r="N301" s="63">
        <f t="shared" si="49"/>
        <v>546.66625892831746</v>
      </c>
      <c r="Y301" s="27"/>
    </row>
    <row r="303" spans="4:80" x14ac:dyDescent="0.25">
      <c r="N303" s="23"/>
    </row>
    <row r="304" spans="4:80" ht="14.4" x14ac:dyDescent="0.3">
      <c r="D304" s="16" t="s">
        <v>169</v>
      </c>
      <c r="E304" s="17"/>
      <c r="F304" s="17"/>
      <c r="G304" s="17"/>
      <c r="H304" s="17"/>
      <c r="I304" s="18"/>
      <c r="J304" s="19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</row>
    <row r="305" spans="4:14" ht="14.4" x14ac:dyDescent="0.3">
      <c r="H305" s="11"/>
      <c r="I305" s="11"/>
      <c r="J305" s="11"/>
      <c r="K305" s="11"/>
      <c r="L305" s="11"/>
      <c r="M305" s="11"/>
      <c r="N305" s="24"/>
    </row>
    <row r="306" spans="4:14" x14ac:dyDescent="0.25">
      <c r="D306" s="28" t="s">
        <v>7</v>
      </c>
      <c r="G306" s="7"/>
      <c r="H306" s="31">
        <f>+I306-1</f>
        <v>2015</v>
      </c>
      <c r="I306" s="31">
        <f>+J306-1</f>
        <v>2016</v>
      </c>
      <c r="J306" s="31">
        <f>+K306-1</f>
        <v>2017</v>
      </c>
      <c r="K306" s="31">
        <f>+L306-1</f>
        <v>2018</v>
      </c>
      <c r="L306" s="31">
        <f>+M306-1</f>
        <v>2019</v>
      </c>
      <c r="M306" s="31">
        <v>2020</v>
      </c>
    </row>
    <row r="307" spans="4:14" ht="15.6" x14ac:dyDescent="0.35">
      <c r="G307" s="46" t="s">
        <v>195</v>
      </c>
      <c r="H307" s="33">
        <f>+I249</f>
        <v>308842.67603641277</v>
      </c>
      <c r="I307" s="33">
        <f>+J249</f>
        <v>336406.60465964809</v>
      </c>
      <c r="J307" s="33">
        <f>+K249</f>
        <v>388415.22215156362</v>
      </c>
      <c r="K307" s="33">
        <f>+L249</f>
        <v>393497.99377003603</v>
      </c>
      <c r="L307" s="33">
        <f>+M249</f>
        <v>433198.00839952286</v>
      </c>
      <c r="M307" s="33">
        <f>+N249</f>
        <v>473511.78019345645</v>
      </c>
      <c r="N307" s="6"/>
    </row>
    <row r="308" spans="4:14" x14ac:dyDescent="0.25">
      <c r="G308" s="3" t="s">
        <v>174</v>
      </c>
      <c r="H308" s="6">
        <f>320823.581787238*0.98</f>
        <v>314407.11015149322</v>
      </c>
      <c r="I308" s="6">
        <v>349838.35155587865</v>
      </c>
      <c r="J308" s="6">
        <v>403317.9423688908</v>
      </c>
      <c r="K308" s="6">
        <v>404219.21945467865</v>
      </c>
      <c r="L308" s="6">
        <v>439837.41518952226</v>
      </c>
      <c r="M308" s="6">
        <v>480262.75591780443</v>
      </c>
    </row>
    <row r="309" spans="4:14" x14ac:dyDescent="0.25">
      <c r="G309" s="3" t="s">
        <v>176</v>
      </c>
      <c r="H309" s="6">
        <f>294644.430635761*0.98</f>
        <v>288751.54202304577</v>
      </c>
      <c r="I309" s="6">
        <v>358242.98528189835</v>
      </c>
      <c r="J309" s="6">
        <v>350556.67317756865</v>
      </c>
      <c r="K309" s="6">
        <f>395088.686332445*1.06</f>
        <v>418794.00751239172</v>
      </c>
      <c r="L309" s="6">
        <f>421923.745506007*0.98</f>
        <v>413485.27059588686</v>
      </c>
      <c r="M309" s="6">
        <f>476639.307130329*1.04</f>
        <v>495704.87941554218</v>
      </c>
    </row>
    <row r="310" spans="4:14" outlineLevel="1" x14ac:dyDescent="0.25"/>
    <row r="311" spans="4:14" ht="15.6" outlineLevel="1" x14ac:dyDescent="0.35">
      <c r="G311" s="1" t="s">
        <v>197</v>
      </c>
      <c r="N311" s="47" t="s">
        <v>188</v>
      </c>
    </row>
    <row r="312" spans="4:14" ht="14.4" outlineLevel="1" x14ac:dyDescent="0.3">
      <c r="G312" s="3" t="s">
        <v>173</v>
      </c>
      <c r="H312" s="24">
        <f t="shared" ref="H312:M313" si="50">+H308/H$307-1</f>
        <v>1.8017050578930993E-2</v>
      </c>
      <c r="I312" s="24">
        <f t="shared" si="50"/>
        <v>3.9927120068941058E-2</v>
      </c>
      <c r="J312" s="24">
        <f t="shared" si="50"/>
        <v>3.8368012805409579E-2</v>
      </c>
      <c r="K312" s="24">
        <f t="shared" si="50"/>
        <v>2.7245947512779978E-2</v>
      </c>
      <c r="L312" s="24">
        <f t="shared" si="50"/>
        <v>1.5326494261894474E-2</v>
      </c>
      <c r="M312" s="24">
        <f t="shared" si="50"/>
        <v>1.4257249780754933E-2</v>
      </c>
      <c r="N312" s="34">
        <f>AVERAGE(H312:M312)</f>
        <v>2.5523645834785169E-2</v>
      </c>
    </row>
    <row r="313" spans="4:14" ht="14.4" outlineLevel="1" x14ac:dyDescent="0.3">
      <c r="G313" s="3" t="s">
        <v>175</v>
      </c>
      <c r="H313" s="24">
        <f t="shared" si="50"/>
        <v>-6.5052972183799684E-2</v>
      </c>
      <c r="I313" s="24">
        <f t="shared" si="50"/>
        <v>6.491067749499968E-2</v>
      </c>
      <c r="J313" s="24">
        <f t="shared" si="50"/>
        <v>-9.746927209568057E-2</v>
      </c>
      <c r="K313" s="24">
        <f t="shared" si="50"/>
        <v>6.4284987834369867E-2</v>
      </c>
      <c r="L313" s="24">
        <f t="shared" si="50"/>
        <v>-4.5505144117504059E-2</v>
      </c>
      <c r="M313" s="24">
        <f t="shared" si="50"/>
        <v>4.6869159650090531E-2</v>
      </c>
      <c r="N313" s="34">
        <f>AVERAGE(H313:M313)</f>
        <v>-5.3270939029207058E-3</v>
      </c>
    </row>
    <row r="315" spans="4:14" ht="15.6" x14ac:dyDescent="0.35">
      <c r="G315" s="4" t="s">
        <v>7</v>
      </c>
      <c r="N315" s="47" t="s">
        <v>188</v>
      </c>
    </row>
    <row r="316" spans="4:14" ht="14.4" x14ac:dyDescent="0.3">
      <c r="G316" s="3" t="s">
        <v>173</v>
      </c>
      <c r="H316" s="24">
        <f t="shared" ref="H316:M317" si="51">+ABS(H308/H$307-1)</f>
        <v>1.8017050578930993E-2</v>
      </c>
      <c r="I316" s="24">
        <f t="shared" si="51"/>
        <v>3.9927120068941058E-2</v>
      </c>
      <c r="J316" s="24">
        <f t="shared" si="51"/>
        <v>3.8368012805409579E-2</v>
      </c>
      <c r="K316" s="24">
        <f t="shared" si="51"/>
        <v>2.7245947512779978E-2</v>
      </c>
      <c r="L316" s="24">
        <f t="shared" si="51"/>
        <v>1.5326494261894474E-2</v>
      </c>
      <c r="M316" s="24">
        <f t="shared" si="51"/>
        <v>1.4257249780754933E-2</v>
      </c>
      <c r="N316" s="35">
        <f>AVERAGE(H316:M316)</f>
        <v>2.5523645834785169E-2</v>
      </c>
    </row>
    <row r="317" spans="4:14" ht="14.4" x14ac:dyDescent="0.3">
      <c r="G317" s="3" t="s">
        <v>175</v>
      </c>
      <c r="H317" s="24">
        <f t="shared" si="51"/>
        <v>6.5052972183799684E-2</v>
      </c>
      <c r="I317" s="24">
        <f t="shared" si="51"/>
        <v>6.491067749499968E-2</v>
      </c>
      <c r="J317" s="24">
        <f t="shared" si="51"/>
        <v>9.746927209568057E-2</v>
      </c>
      <c r="K317" s="24">
        <f t="shared" si="51"/>
        <v>6.4284987834369867E-2</v>
      </c>
      <c r="L317" s="24">
        <f t="shared" si="51"/>
        <v>4.5505144117504059E-2</v>
      </c>
      <c r="M317" s="24">
        <f t="shared" si="51"/>
        <v>4.6869159650090531E-2</v>
      </c>
      <c r="N317" s="24">
        <f>AVERAGE(H317:M317)</f>
        <v>6.4015368896074065E-2</v>
      </c>
    </row>
    <row r="318" spans="4:14" ht="14.4" x14ac:dyDescent="0.3">
      <c r="H318" s="11"/>
      <c r="I318" s="11"/>
      <c r="J318" s="24"/>
    </row>
    <row r="319" spans="4:14" ht="14.4" x14ac:dyDescent="0.3">
      <c r="H319" s="11"/>
      <c r="I319" s="11"/>
      <c r="J319" s="24"/>
    </row>
    <row r="320" spans="4:14" ht="14.4" x14ac:dyDescent="0.3">
      <c r="G320" s="27" t="s">
        <v>196</v>
      </c>
      <c r="H320" s="11"/>
      <c r="I320" s="11"/>
      <c r="J320" s="24"/>
    </row>
    <row r="321" spans="4:19" x14ac:dyDescent="0.25">
      <c r="G321" s="7"/>
      <c r="H321" s="9">
        <f>+CC106</f>
        <v>44227</v>
      </c>
      <c r="I321" s="9">
        <f>+CD106</f>
        <v>44255</v>
      </c>
      <c r="J321" s="9">
        <f>+CE106</f>
        <v>44286</v>
      </c>
      <c r="K321" s="9">
        <f>+CF106</f>
        <v>44316</v>
      </c>
      <c r="L321" s="9">
        <f>+CG106</f>
        <v>44347</v>
      </c>
      <c r="M321" s="9">
        <f>+CH106</f>
        <v>44377</v>
      </c>
      <c r="N321" s="9">
        <f>+CI106</f>
        <v>44408</v>
      </c>
      <c r="O321" s="9">
        <f>+CJ106</f>
        <v>44439</v>
      </c>
      <c r="P321" s="9">
        <f>+CK106</f>
        <v>44469</v>
      </c>
      <c r="Q321" s="9">
        <f>+CL106</f>
        <v>44500</v>
      </c>
      <c r="R321" s="9">
        <f>+CM106</f>
        <v>44530</v>
      </c>
      <c r="S321" s="9">
        <f>+CN106</f>
        <v>44561</v>
      </c>
    </row>
    <row r="322" spans="4:19" x14ac:dyDescent="0.25">
      <c r="G322" s="32" t="s">
        <v>174</v>
      </c>
      <c r="H322" s="6">
        <v>38186.620013588414</v>
      </c>
      <c r="I322" s="6">
        <v>38124.884216517319</v>
      </c>
      <c r="J322" s="6">
        <v>38250.323144000002</v>
      </c>
      <c r="K322" s="6">
        <v>38393.165104803244</v>
      </c>
      <c r="L322" s="6">
        <v>38729.784093444672</v>
      </c>
      <c r="M322" s="6">
        <v>39317.41048522343</v>
      </c>
      <c r="N322" s="6">
        <v>40341.255064107892</v>
      </c>
      <c r="O322" s="6">
        <v>41330.494700359392</v>
      </c>
      <c r="P322" s="6">
        <v>41621.444911897001</v>
      </c>
      <c r="Q322" s="6">
        <v>41740.386243246088</v>
      </c>
      <c r="R322" s="6">
        <v>41073.284539005763</v>
      </c>
      <c r="S322" s="6">
        <v>40600.525823927062</v>
      </c>
    </row>
    <row r="323" spans="4:19" ht="14.4" x14ac:dyDescent="0.3">
      <c r="H323" s="11"/>
      <c r="I323" s="11"/>
      <c r="J323" s="24"/>
    </row>
    <row r="324" spans="4:19" ht="15.6" x14ac:dyDescent="0.35">
      <c r="G324" s="74">
        <f>+CC106</f>
        <v>44227</v>
      </c>
      <c r="H324" s="11" t="s">
        <v>214</v>
      </c>
      <c r="I324" s="11"/>
      <c r="J324" s="24"/>
    </row>
    <row r="325" spans="4:19" ht="14.4" x14ac:dyDescent="0.3">
      <c r="H325" s="11"/>
      <c r="I325" s="11"/>
      <c r="J325" s="24"/>
    </row>
    <row r="326" spans="4:19" ht="14.4" x14ac:dyDescent="0.3">
      <c r="H326" s="11"/>
      <c r="I326" s="11"/>
      <c r="J326" s="24"/>
    </row>
    <row r="327" spans="4:19" ht="14.4" x14ac:dyDescent="0.3">
      <c r="H327" s="11"/>
      <c r="I327" s="11"/>
      <c r="J327" s="24"/>
    </row>
    <row r="328" spans="4:19" ht="14.4" x14ac:dyDescent="0.3">
      <c r="H328" s="11"/>
      <c r="I328" s="11"/>
      <c r="J328" s="24"/>
    </row>
    <row r="329" spans="4:19" ht="14.4" x14ac:dyDescent="0.3">
      <c r="H329" s="11"/>
      <c r="I329" s="11"/>
      <c r="J329" s="24"/>
    </row>
    <row r="330" spans="4:19" ht="14.4" x14ac:dyDescent="0.3">
      <c r="H330" s="11"/>
      <c r="I330" s="11"/>
      <c r="J330" s="24"/>
    </row>
    <row r="331" spans="4:19" ht="14.4" x14ac:dyDescent="0.3">
      <c r="H331" s="11"/>
      <c r="I331" s="11"/>
      <c r="J331" s="24"/>
    </row>
    <row r="332" spans="4:19" ht="14.4" x14ac:dyDescent="0.3">
      <c r="H332" s="11"/>
      <c r="I332" s="11"/>
      <c r="J332" s="24"/>
    </row>
    <row r="333" spans="4:19" ht="14.4" x14ac:dyDescent="0.3">
      <c r="H333" s="11"/>
      <c r="I333" s="11"/>
      <c r="J333" s="24"/>
    </row>
    <row r="334" spans="4:19" x14ac:dyDescent="0.25">
      <c r="D334" s="28"/>
    </row>
    <row r="335" spans="4:19" x14ac:dyDescent="0.25">
      <c r="D335" s="28" t="s">
        <v>219</v>
      </c>
    </row>
    <row r="337" spans="7:16" ht="15.6" x14ac:dyDescent="0.35">
      <c r="G337" s="48" t="s">
        <v>198</v>
      </c>
    </row>
    <row r="338" spans="7:16" x14ac:dyDescent="0.25">
      <c r="G338" s="7"/>
      <c r="H338" s="31">
        <v>2015</v>
      </c>
      <c r="I338" s="31">
        <v>2016</v>
      </c>
      <c r="J338" s="31">
        <v>2017</v>
      </c>
      <c r="K338" s="31">
        <v>2018</v>
      </c>
      <c r="L338" s="31">
        <v>2019</v>
      </c>
      <c r="M338" s="31">
        <v>2020</v>
      </c>
      <c r="O338" s="36"/>
      <c r="P338" s="36"/>
    </row>
    <row r="339" spans="7:16" x14ac:dyDescent="0.25">
      <c r="G339" s="3" t="s">
        <v>145</v>
      </c>
      <c r="H339" s="63">
        <f>+I252</f>
        <v>95459.687264484091</v>
      </c>
      <c r="I339" s="63">
        <f>+J252</f>
        <v>103509.62594998653</v>
      </c>
      <c r="J339" s="63">
        <f>+K252</f>
        <v>126561.72860176356</v>
      </c>
      <c r="K339" s="63">
        <f>+L252</f>
        <v>124083.69763253968</v>
      </c>
      <c r="L339" s="63">
        <f>+M252</f>
        <v>132997.91703621965</v>
      </c>
      <c r="M339" s="63">
        <f>+N252</f>
        <v>126238.02922260592</v>
      </c>
    </row>
    <row r="340" spans="7:16" x14ac:dyDescent="0.25">
      <c r="G340" s="3" t="s">
        <v>146</v>
      </c>
      <c r="H340" s="68">
        <v>592663.76704816998</v>
      </c>
      <c r="I340" s="68">
        <v>575014.97608166595</v>
      </c>
      <c r="J340" s="68">
        <v>457693.575863968</v>
      </c>
      <c r="K340" s="68">
        <v>545286.46313591104</v>
      </c>
      <c r="L340" s="68">
        <v>459665.23824421602</v>
      </c>
      <c r="M340" s="68">
        <v>497276.78805215546</v>
      </c>
      <c r="N340" s="11"/>
    </row>
    <row r="341" spans="7:16" x14ac:dyDescent="0.25">
      <c r="G341" s="3" t="s">
        <v>147</v>
      </c>
      <c r="H341" s="68">
        <v>330898.09774855501</v>
      </c>
      <c r="I341" s="68">
        <v>285455.68188322301</v>
      </c>
      <c r="J341" s="68">
        <v>247875.535068319</v>
      </c>
      <c r="K341" s="68">
        <v>211900.331972819</v>
      </c>
      <c r="L341" s="68">
        <v>179080.55900314101</v>
      </c>
      <c r="M341" s="68">
        <v>162101.16919591723</v>
      </c>
      <c r="N341" s="11"/>
    </row>
    <row r="342" spans="7:16" x14ac:dyDescent="0.25">
      <c r="G342" s="37" t="s">
        <v>148</v>
      </c>
      <c r="H342" s="79">
        <v>364482.81435079797</v>
      </c>
      <c r="I342" s="79">
        <v>336456.54400683596</v>
      </c>
      <c r="J342" s="79">
        <v>309239.624358111</v>
      </c>
      <c r="K342" s="79">
        <v>307182.93325668498</v>
      </c>
      <c r="L342" s="79">
        <v>281254.85082343104</v>
      </c>
      <c r="M342" s="79">
        <v>286265.36432018026</v>
      </c>
      <c r="N342" s="11"/>
    </row>
    <row r="343" spans="7:16" x14ac:dyDescent="0.25">
      <c r="G343" s="11" t="s">
        <v>163</v>
      </c>
      <c r="H343" s="63">
        <f t="shared" ref="H343:M343" si="52">SUM(H339:H342)</f>
        <v>1383504.366412007</v>
      </c>
      <c r="I343" s="63">
        <f t="shared" si="52"/>
        <v>1300436.8279217114</v>
      </c>
      <c r="J343" s="63">
        <f t="shared" si="52"/>
        <v>1141370.4638921616</v>
      </c>
      <c r="K343" s="63">
        <f t="shared" si="52"/>
        <v>1188453.4259979548</v>
      </c>
      <c r="L343" s="63">
        <f t="shared" si="52"/>
        <v>1052998.5651070077</v>
      </c>
      <c r="M343" s="63">
        <f t="shared" si="52"/>
        <v>1071881.3507908587</v>
      </c>
      <c r="N343" s="11"/>
    </row>
    <row r="345" spans="7:16" ht="15.6" x14ac:dyDescent="0.35">
      <c r="G345" s="48" t="s">
        <v>199</v>
      </c>
    </row>
    <row r="346" spans="7:16" ht="14.4" x14ac:dyDescent="0.3">
      <c r="G346" s="12" t="s">
        <v>172</v>
      </c>
      <c r="H346" s="24">
        <f>+H339/H$343</f>
        <v>6.8998471983178572E-2</v>
      </c>
      <c r="I346" s="24">
        <f t="shared" ref="I346:L346" si="53">+I339/I$343</f>
        <v>7.9596043212195156E-2</v>
      </c>
      <c r="J346" s="24">
        <f t="shared" si="53"/>
        <v>0.11088575760947789</v>
      </c>
      <c r="K346" s="24">
        <f t="shared" si="53"/>
        <v>0.10440770746093438</v>
      </c>
      <c r="L346" s="24">
        <f t="shared" si="53"/>
        <v>0.12630398696004314</v>
      </c>
      <c r="M346" s="24">
        <f>+M339/M$343</f>
        <v>0.11777239069367575</v>
      </c>
    </row>
    <row r="347" spans="7:16" ht="14.4" x14ac:dyDescent="0.3">
      <c r="G347" s="12" t="s">
        <v>157</v>
      </c>
      <c r="H347" s="24">
        <f>+H340/H$343</f>
        <v>0.42837867478885494</v>
      </c>
      <c r="I347" s="24">
        <f t="shared" ref="I347:L349" si="54">+I340/I$343</f>
        <v>0.44217063354059588</v>
      </c>
      <c r="J347" s="24">
        <f>+J340/J$343</f>
        <v>0.40100352194431027</v>
      </c>
      <c r="K347" s="24">
        <f t="shared" si="54"/>
        <v>0.45882022063929784</v>
      </c>
      <c r="L347" s="24">
        <f t="shared" si="54"/>
        <v>0.43652978596177283</v>
      </c>
      <c r="M347" s="24">
        <f>+M340/M$343</f>
        <v>0.46392894855876837</v>
      </c>
    </row>
    <row r="348" spans="7:16" ht="14.4" x14ac:dyDescent="0.3">
      <c r="G348" s="12" t="s">
        <v>178</v>
      </c>
      <c r="H348" s="24">
        <f>+H341/H$343</f>
        <v>0.23917387308773674</v>
      </c>
      <c r="I348" s="24">
        <f t="shared" si="54"/>
        <v>0.21950753451009458</v>
      </c>
      <c r="J348" s="24">
        <f t="shared" si="54"/>
        <v>0.21717360218262899</v>
      </c>
      <c r="K348" s="24">
        <f t="shared" si="54"/>
        <v>0.17829923103203177</v>
      </c>
      <c r="L348" s="24">
        <f t="shared" si="54"/>
        <v>0.17006723934608828</v>
      </c>
      <c r="M348" s="24">
        <f>+M341/M$343</f>
        <v>0.15123051546359609</v>
      </c>
    </row>
    <row r="349" spans="7:16" ht="14.4" x14ac:dyDescent="0.3">
      <c r="G349" s="12" t="s">
        <v>179</v>
      </c>
      <c r="H349" s="24">
        <f>+H342/H$343</f>
        <v>0.26344898014022972</v>
      </c>
      <c r="I349" s="24">
        <f t="shared" si="54"/>
        <v>0.25872578873711444</v>
      </c>
      <c r="J349" s="24">
        <f t="shared" si="54"/>
        <v>0.27093711826358285</v>
      </c>
      <c r="K349" s="24">
        <f t="shared" si="54"/>
        <v>0.25847284086773598</v>
      </c>
      <c r="L349" s="24">
        <f t="shared" si="54"/>
        <v>0.26709898773209573</v>
      </c>
      <c r="M349" s="24">
        <f>+M342/M$343</f>
        <v>0.26706814528395989</v>
      </c>
    </row>
    <row r="351" spans="7:16" x14ac:dyDescent="0.25">
      <c r="G351" s="11" t="s">
        <v>177</v>
      </c>
      <c r="H351" s="63">
        <f>SUMSQ(H346:H349)*10^4</f>
        <v>3148.7858485458496</v>
      </c>
      <c r="I351" s="63">
        <f>SUMSQ(I346:I349)*10^4</f>
        <v>3169.7299072507194</v>
      </c>
      <c r="J351" s="63">
        <f t="shared" ref="J351:L351" si="55">SUMSQ(J346:J349)*10^4</f>
        <v>2936.7077139032226</v>
      </c>
      <c r="K351" s="63">
        <f t="shared" si="55"/>
        <v>3200.1578949759378</v>
      </c>
      <c r="L351" s="63">
        <f t="shared" si="55"/>
        <v>3067.7568630014384</v>
      </c>
      <c r="M351" s="63">
        <f>SUMSQ(M346:M349)*10^4</f>
        <v>3232.9646835334747</v>
      </c>
    </row>
    <row r="352" spans="7:16" ht="15.6" x14ac:dyDescent="0.35">
      <c r="G352" s="11" t="s">
        <v>200</v>
      </c>
      <c r="H352" s="63">
        <f>(H346^2+H347^2+H348^2+H349^2)*10^4</f>
        <v>3148.7858485458496</v>
      </c>
      <c r="I352" s="63">
        <f t="shared" ref="I352:M352" si="56">(I346^2+I347^2+I348^2+I349^2)*10^4</f>
        <v>3169.7299072507194</v>
      </c>
      <c r="J352" s="63">
        <f t="shared" si="56"/>
        <v>2936.7077139032226</v>
      </c>
      <c r="K352" s="63">
        <f t="shared" si="56"/>
        <v>3200.1578949759378</v>
      </c>
      <c r="L352" s="63">
        <f t="shared" si="56"/>
        <v>3067.7568630014384</v>
      </c>
      <c r="M352" s="63">
        <f t="shared" si="56"/>
        <v>3232.9646835334747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A1C8-06FD-4D32-A652-2E0009E145F5}">
  <dimension ref="C5:I10"/>
  <sheetViews>
    <sheetView workbookViewId="0">
      <selection activeCell="G35" sqref="G35"/>
    </sheetView>
  </sheetViews>
  <sheetFormatPr defaultRowHeight="17.399999999999999" x14ac:dyDescent="0.4"/>
  <sheetData>
    <row r="5" spans="3:9" x14ac:dyDescent="0.4">
      <c r="C5" t="s">
        <v>189</v>
      </c>
      <c r="D5">
        <v>110</v>
      </c>
    </row>
    <row r="6" spans="3:9" x14ac:dyDescent="0.4">
      <c r="C6" t="s">
        <v>190</v>
      </c>
      <c r="D6">
        <v>140</v>
      </c>
    </row>
    <row r="8" spans="3:9" x14ac:dyDescent="0.4">
      <c r="D8">
        <v>100</v>
      </c>
      <c r="E8">
        <f>+D8+10</f>
        <v>110</v>
      </c>
      <c r="F8">
        <f t="shared" ref="F8:I8" si="0">+E8+10</f>
        <v>120</v>
      </c>
      <c r="G8">
        <f t="shared" si="0"/>
        <v>130</v>
      </c>
      <c r="H8">
        <f t="shared" si="0"/>
        <v>140</v>
      </c>
      <c r="I8">
        <f t="shared" si="0"/>
        <v>150</v>
      </c>
    </row>
    <row r="9" spans="3:9" x14ac:dyDescent="0.4">
      <c r="C9" t="s">
        <v>5</v>
      </c>
      <c r="D9" t="b">
        <f>OR(D8&gt;$D$5,D8&lt;$D$6)</f>
        <v>1</v>
      </c>
      <c r="E9" t="b">
        <f t="shared" ref="E9:I9" si="1">OR(E8&gt;$D$5,E8&lt;$D$6)</f>
        <v>1</v>
      </c>
      <c r="F9" t="b">
        <f t="shared" si="1"/>
        <v>1</v>
      </c>
      <c r="G9" t="b">
        <f t="shared" si="1"/>
        <v>1</v>
      </c>
      <c r="H9" t="b">
        <f t="shared" si="1"/>
        <v>1</v>
      </c>
      <c r="I9" t="b">
        <f t="shared" si="1"/>
        <v>1</v>
      </c>
    </row>
    <row r="10" spans="3:9" x14ac:dyDescent="0.4">
      <c r="C10" t="s">
        <v>4</v>
      </c>
      <c r="D10" t="b">
        <f t="shared" ref="D10:I10" si="2">AND(D8&gt;$D$5,D8&lt;$D$6)</f>
        <v>0</v>
      </c>
      <c r="E10" t="b">
        <f t="shared" si="2"/>
        <v>0</v>
      </c>
      <c r="F10" t="b">
        <f t="shared" si="2"/>
        <v>1</v>
      </c>
      <c r="G10" t="b">
        <f t="shared" si="2"/>
        <v>1</v>
      </c>
      <c r="H10" t="b">
        <f t="shared" si="2"/>
        <v>0</v>
      </c>
      <c r="I10" t="b">
        <f t="shared" si="2"/>
        <v>0</v>
      </c>
    </row>
  </sheetData>
  <phoneticPr fontId="2" type="noConversion"/>
  <conditionalFormatting sqref="D9:I10">
    <cfRule type="expression" dxfId="0" priority="1">
      <formula>$D$9="TRUE"</formula>
    </cfRule>
    <cfRule type="expression" priority="2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2</vt:i4>
      </vt:variant>
    </vt:vector>
  </HeadingPairs>
  <TitlesOfParts>
    <vt:vector size="10" baseType="lpstr">
      <vt:lpstr>Cover</vt:lpstr>
      <vt:lpstr>함수 (실습)</vt:lpstr>
      <vt:lpstr>함수 (정답)</vt:lpstr>
      <vt:lpstr>Research 오류 해결 전 (실습)</vt:lpstr>
      <vt:lpstr>Research 오류 해결 전 (정답)</vt:lpstr>
      <vt:lpstr>Research 오류 해결 후 (실습)</vt:lpstr>
      <vt:lpstr>Research 오류 해결 후 (정답)</vt:lpstr>
      <vt:lpstr>OR + AND</vt:lpstr>
      <vt:lpstr>Cover!Circ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</dc:creator>
  <cp:lastModifiedBy>ES</cp:lastModifiedBy>
  <cp:lastPrinted>2021-03-17T05:54:29Z</cp:lastPrinted>
  <dcterms:created xsi:type="dcterms:W3CDTF">2021-03-10T13:25:28Z</dcterms:created>
  <dcterms:modified xsi:type="dcterms:W3CDTF">2021-07-31T04:51:51Z</dcterms:modified>
</cp:coreProperties>
</file>