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emester 5\Machine Design Project\3. Detailed design report\Final\"/>
    </mc:Choice>
  </mc:AlternateContent>
  <xr:revisionPtr revIDLastSave="0" documentId="13_ncr:1_{970FD5C8-8187-48E2-B5AB-19DBF2285719}" xr6:coauthVersionLast="47" xr6:coauthVersionMax="47" xr10:uidLastSave="{00000000-0000-0000-0000-000000000000}"/>
  <bookViews>
    <workbookView xWindow="0" yWindow="0" windowWidth="23040" windowHeight="12360" xr2:uid="{E732B77B-F74F-4186-A0B1-5568F3A4058B}"/>
  </bookViews>
  <sheets>
    <sheet name="Gear box " sheetId="1" r:id="rId1"/>
    <sheet name="Shaft" sheetId="2" r:id="rId2"/>
    <sheet name=" Bearings" sheetId="7" r:id="rId3"/>
    <sheet name="Key" sheetId="8" r:id="rId4"/>
    <sheet name="Splines" sheetId="9" r:id="rId5"/>
    <sheet name="Coupling" sheetId="10" r:id="rId6"/>
  </sheets>
  <externalReferences>
    <externalReference r:id="rId7"/>
    <externalReference r:id="rId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10" l="1"/>
  <c r="B5" i="10"/>
  <c r="B6" i="10"/>
  <c r="B3" i="10"/>
  <c r="C6" i="10"/>
  <c r="I6" i="10" s="1"/>
  <c r="C5" i="10"/>
  <c r="I5" i="10" s="1"/>
  <c r="I4" i="10"/>
  <c r="C4" i="10"/>
  <c r="D4" i="10" s="1"/>
  <c r="I3" i="10"/>
  <c r="D3" i="10"/>
  <c r="C3" i="10"/>
  <c r="D6" i="10" l="1"/>
  <c r="D5" i="10"/>
  <c r="J2" i="8" l="1"/>
  <c r="J3" i="8"/>
  <c r="J4" i="8"/>
  <c r="J5" i="8"/>
  <c r="J6" i="8"/>
  <c r="J7" i="8"/>
  <c r="J8" i="8"/>
  <c r="B4" i="8"/>
  <c r="B5" i="8" s="1"/>
  <c r="B6" i="8" s="1"/>
  <c r="B7" i="8" s="1"/>
  <c r="G21" i="7"/>
  <c r="G25" i="7"/>
  <c r="B25" i="7"/>
  <c r="B24" i="7"/>
  <c r="B22" i="7"/>
  <c r="B23" i="7" s="1"/>
  <c r="B21" i="7"/>
  <c r="G22" i="7" l="1"/>
  <c r="G23" i="7" s="1"/>
  <c r="H47" i="1" l="1"/>
  <c r="M61" i="1"/>
  <c r="M58" i="1"/>
  <c r="M57" i="1"/>
  <c r="N5" i="2" l="1"/>
  <c r="N6" i="2"/>
  <c r="N7" i="2"/>
  <c r="N4" i="2"/>
  <c r="O33" i="2" s="1"/>
  <c r="M5" i="2"/>
  <c r="M6" i="2"/>
  <c r="M7" i="2"/>
  <c r="M4" i="2"/>
  <c r="R54" i="2" s="1"/>
  <c r="R55" i="2" s="1"/>
  <c r="R56" i="2" s="1"/>
  <c r="R57" i="2" s="1"/>
  <c r="R58" i="2" s="1"/>
  <c r="O47" i="2" l="1"/>
  <c r="N33" i="2"/>
  <c r="N47" i="2" l="1"/>
  <c r="S54" i="2"/>
  <c r="S55" i="2" l="1"/>
  <c r="S56" i="2" l="1"/>
  <c r="S57" i="2" l="1"/>
  <c r="S58" i="2" l="1"/>
  <c r="E54" i="2" l="1"/>
  <c r="E55" i="2" s="1"/>
  <c r="E47" i="2"/>
  <c r="F47" i="2" s="1"/>
  <c r="C8" i="8" s="1"/>
  <c r="E33" i="2"/>
  <c r="F33" i="2" s="1"/>
  <c r="C2" i="8" s="1"/>
  <c r="F2" i="8" l="1"/>
  <c r="G2" i="8"/>
  <c r="G8" i="8"/>
  <c r="F8" i="8"/>
  <c r="F54" i="2"/>
  <c r="C3" i="8" s="1"/>
  <c r="F55" i="2"/>
  <c r="E56" i="2"/>
  <c r="C4" i="8" l="1"/>
  <c r="G3" i="8"/>
  <c r="F3" i="8"/>
  <c r="E57" i="2"/>
  <c r="F56" i="2"/>
  <c r="F4" i="8" l="1"/>
  <c r="C5" i="8"/>
  <c r="G4" i="8"/>
  <c r="F57" i="2"/>
  <c r="E58" i="2"/>
  <c r="F58" i="2" s="1"/>
  <c r="G5" i="8" l="1"/>
  <c r="C6" i="8"/>
  <c r="F5" i="8"/>
  <c r="G3" i="1"/>
  <c r="F6" i="8" l="1"/>
  <c r="G6" i="8"/>
  <c r="C7" i="8"/>
  <c r="Q41" i="1"/>
  <c r="Q42" i="1" s="1"/>
  <c r="Q43" i="1" s="1"/>
  <c r="Q44" i="1" s="1"/>
  <c r="Q45" i="1" s="1"/>
  <c r="Q46" i="1" s="1"/>
  <c r="Q47" i="1" s="1"/>
  <c r="Q48" i="1" s="1"/>
  <c r="Q49" i="1" s="1"/>
  <c r="Q39" i="1"/>
  <c r="W40" i="1"/>
  <c r="W41" i="1"/>
  <c r="W42" i="1"/>
  <c r="W43" i="1"/>
  <c r="W44" i="1"/>
  <c r="W45" i="1"/>
  <c r="W46" i="1"/>
  <c r="W48" i="1"/>
  <c r="W49" i="1"/>
  <c r="W39" i="1"/>
  <c r="F7" i="8" l="1"/>
  <c r="G7" i="8"/>
  <c r="D7" i="2"/>
  <c r="E7" i="2" s="1"/>
  <c r="D5" i="2"/>
  <c r="E5" i="2" s="1"/>
  <c r="D6" i="2"/>
  <c r="D4" i="2"/>
  <c r="E4" i="2" s="1"/>
  <c r="E6" i="2" l="1"/>
  <c r="A5" i="10" s="1"/>
  <c r="E5" i="10" s="1"/>
  <c r="F5" i="10" s="1"/>
  <c r="C3" i="9"/>
  <c r="K5" i="10"/>
  <c r="A4" i="10"/>
  <c r="C4" i="9"/>
  <c r="C6" i="9"/>
  <c r="A6" i="10"/>
  <c r="A3" i="10"/>
  <c r="C5" i="9"/>
  <c r="Q40" i="1"/>
  <c r="J5" i="10" l="1"/>
  <c r="L5" i="10" s="1"/>
  <c r="K6" i="10"/>
  <c r="J6" i="10"/>
  <c r="L6" i="10" s="1"/>
  <c r="E6" i="10"/>
  <c r="F6" i="10" s="1"/>
  <c r="E4" i="10"/>
  <c r="F4" i="10" s="1"/>
  <c r="J4" i="10"/>
  <c r="K4" i="10"/>
  <c r="E3" i="10"/>
  <c r="F3" i="10" s="1"/>
  <c r="K3" i="10"/>
  <c r="J3" i="10"/>
  <c r="X47" i="1"/>
  <c r="X48" i="1"/>
  <c r="X49" i="1"/>
  <c r="H48" i="1"/>
  <c r="H49" i="1"/>
  <c r="F18" i="1"/>
  <c r="F19" i="1"/>
  <c r="G19" i="1"/>
  <c r="I19" i="1" s="1"/>
  <c r="J19" i="1" s="1"/>
  <c r="C17" i="1"/>
  <c r="G18" i="1" s="1"/>
  <c r="I17" i="1" s="1"/>
  <c r="X40" i="1"/>
  <c r="X41" i="1"/>
  <c r="X42" i="1"/>
  <c r="X43" i="1"/>
  <c r="X44" i="1"/>
  <c r="X45" i="1"/>
  <c r="X46" i="1"/>
  <c r="X39" i="1"/>
  <c r="H40" i="1"/>
  <c r="H3" i="8" s="1"/>
  <c r="I3" i="8" s="1"/>
  <c r="H41" i="1"/>
  <c r="H4" i="8" s="1"/>
  <c r="I4" i="8" s="1"/>
  <c r="H42" i="1"/>
  <c r="H5" i="8" s="1"/>
  <c r="I5" i="8" s="1"/>
  <c r="H43" i="1"/>
  <c r="H6" i="8" s="1"/>
  <c r="I6" i="8" s="1"/>
  <c r="H44" i="1"/>
  <c r="H7" i="8" s="1"/>
  <c r="I7" i="8" s="1"/>
  <c r="H45" i="1"/>
  <c r="H8" i="8" s="1"/>
  <c r="I8" i="8" s="1"/>
  <c r="H46" i="1"/>
  <c r="H39" i="1"/>
  <c r="H2" i="8" s="1"/>
  <c r="I2" i="8" s="1"/>
  <c r="F13" i="1"/>
  <c r="F14" i="1"/>
  <c r="F12" i="1"/>
  <c r="F11" i="1"/>
  <c r="L3" i="10" l="1"/>
  <c r="L4" i="10"/>
  <c r="J17" i="1"/>
  <c r="I18" i="1"/>
  <c r="J18" i="1" s="1"/>
  <c r="F4" i="1" l="1"/>
  <c r="R66" i="1" l="1"/>
  <c r="R67" i="1" s="1"/>
  <c r="R68" i="1" s="1"/>
  <c r="R69" i="1" s="1"/>
  <c r="R70" i="1" s="1"/>
  <c r="R64" i="1"/>
  <c r="R65" i="1" s="1"/>
  <c r="R62" i="1"/>
  <c r="R63" i="1" s="1"/>
  <c r="R60" i="1"/>
  <c r="R61" i="1" s="1"/>
  <c r="N27" i="1"/>
  <c r="G14" i="1" l="1"/>
  <c r="G12" i="1" l="1"/>
  <c r="G13" i="1"/>
  <c r="F26" i="1" l="1"/>
  <c r="K11" i="1"/>
  <c r="M2" i="1"/>
  <c r="O2" i="1" s="1"/>
  <c r="I11" i="1"/>
  <c r="L11" i="1" s="1"/>
  <c r="M11" i="1" s="1"/>
  <c r="Q11" i="1"/>
  <c r="I12" i="1"/>
  <c r="L12" i="1" s="1"/>
  <c r="M12" i="1" s="1"/>
  <c r="I13" i="1"/>
  <c r="L13" i="1" s="1"/>
  <c r="M13" i="1" s="1"/>
  <c r="I14" i="1"/>
  <c r="L14" i="1" s="1"/>
  <c r="M14" i="1" s="1"/>
  <c r="G33" i="2" l="1"/>
  <c r="H33" i="2" s="1"/>
  <c r="C39" i="1"/>
  <c r="Y39" i="1"/>
  <c r="N11" i="1"/>
  <c r="T11" i="1" s="1"/>
  <c r="B26" i="1"/>
  <c r="I39" i="1"/>
  <c r="J39" i="1" s="1"/>
  <c r="T39" i="1" s="1"/>
  <c r="D39" i="1" l="1"/>
  <c r="P56" i="1"/>
  <c r="C2" i="7"/>
  <c r="I33" i="2"/>
  <c r="D2" i="7" s="1"/>
  <c r="K33" i="2"/>
  <c r="M39" i="1"/>
  <c r="E39" i="1"/>
  <c r="O11" i="1"/>
  <c r="I40" i="1" s="1"/>
  <c r="J40" i="1" s="1"/>
  <c r="T40" i="1" s="1"/>
  <c r="L39" i="1"/>
  <c r="B32" i="1"/>
  <c r="K39" i="1" l="1"/>
  <c r="R39" i="1"/>
  <c r="L33" i="2"/>
  <c r="M33" i="2" s="1"/>
  <c r="S33" i="2" s="1"/>
  <c r="J33" i="2"/>
  <c r="F55" i="1"/>
  <c r="C6" i="1"/>
  <c r="H11" i="1"/>
  <c r="U39" i="1" s="1"/>
  <c r="Z39" i="1" s="1"/>
  <c r="AA39" i="1" s="1"/>
  <c r="R11" i="1"/>
  <c r="G54" i="2" s="1"/>
  <c r="H54" i="2" s="1"/>
  <c r="E2" i="7" l="1"/>
  <c r="F2" i="7" s="1"/>
  <c r="E21" i="7" s="1"/>
  <c r="I54" i="2"/>
  <c r="T33" i="2"/>
  <c r="J12" i="1"/>
  <c r="K12" i="1" s="1"/>
  <c r="I41" i="1" s="1"/>
  <c r="J41" i="1" s="1"/>
  <c r="T41" i="1" s="1"/>
  <c r="C40" i="1"/>
  <c r="M40" i="1" s="1"/>
  <c r="Y40" i="1"/>
  <c r="U40" i="1"/>
  <c r="J14" i="1"/>
  <c r="J13" i="1"/>
  <c r="S11" i="1"/>
  <c r="C26" i="1"/>
  <c r="C33" i="1" s="1"/>
  <c r="U11" i="1"/>
  <c r="J54" i="2" l="1"/>
  <c r="U33" i="2"/>
  <c r="E40" i="1"/>
  <c r="L40" i="1" s="1"/>
  <c r="D40" i="1"/>
  <c r="R40" i="1" s="1"/>
  <c r="N12" i="1"/>
  <c r="O12" i="1" s="1"/>
  <c r="H12" i="1" s="1"/>
  <c r="U41" i="1" s="1"/>
  <c r="U42" i="1" s="1"/>
  <c r="Q12" i="1"/>
  <c r="G57" i="2" s="1"/>
  <c r="H57" i="2" s="1"/>
  <c r="Z40" i="1"/>
  <c r="C32" i="1"/>
  <c r="K40" i="1"/>
  <c r="N57" i="2" l="1"/>
  <c r="C9" i="7" s="1"/>
  <c r="K57" i="2"/>
  <c r="C5" i="7" s="1"/>
  <c r="I57" i="2"/>
  <c r="AA40" i="1"/>
  <c r="Y41" i="1"/>
  <c r="Z41" i="1" s="1"/>
  <c r="F56" i="1"/>
  <c r="I42" i="1"/>
  <c r="J42" i="1" s="1"/>
  <c r="T42" i="1" s="1"/>
  <c r="R12" i="1"/>
  <c r="C42" i="1" s="1"/>
  <c r="T12" i="1"/>
  <c r="B27" i="1"/>
  <c r="B33" i="1" s="1"/>
  <c r="M19" i="1"/>
  <c r="F7" i="2" s="1"/>
  <c r="G7" i="2" s="1"/>
  <c r="C41" i="1"/>
  <c r="K13" i="1"/>
  <c r="N13" i="1" s="1"/>
  <c r="K7" i="2" l="1"/>
  <c r="C14" i="7"/>
  <c r="L57" i="2"/>
  <c r="O57" i="2"/>
  <c r="J57" i="2"/>
  <c r="H7" i="2"/>
  <c r="Y42" i="1"/>
  <c r="Z42" i="1" s="1"/>
  <c r="F4" i="2"/>
  <c r="G4" i="2" s="1"/>
  <c r="C27" i="1"/>
  <c r="U12" i="1"/>
  <c r="S12" i="1"/>
  <c r="C49" i="1"/>
  <c r="Y49" i="1"/>
  <c r="I49" i="1"/>
  <c r="J49" i="1" s="1"/>
  <c r="T49" i="1" s="1"/>
  <c r="K18" i="1"/>
  <c r="M41" i="1"/>
  <c r="E41" i="1"/>
  <c r="L41" i="1" s="1"/>
  <c r="D41" i="1"/>
  <c r="E42" i="1"/>
  <c r="L42" i="1" s="1"/>
  <c r="D42" i="1"/>
  <c r="M42" i="1"/>
  <c r="I43" i="1"/>
  <c r="J43" i="1" s="1"/>
  <c r="T43" i="1" s="1"/>
  <c r="O13" i="1"/>
  <c r="H13" i="1" s="1"/>
  <c r="U43" i="1" s="1"/>
  <c r="U44" i="1" s="1"/>
  <c r="Q13" i="1"/>
  <c r="G56" i="2" s="1"/>
  <c r="H56" i="2" s="1"/>
  <c r="M18" i="1" l="1"/>
  <c r="G47" i="2" s="1"/>
  <c r="H47" i="2" s="1"/>
  <c r="M57" i="2"/>
  <c r="D5" i="7"/>
  <c r="E5" i="7" s="1"/>
  <c r="J7" i="2"/>
  <c r="L7" i="2" s="1"/>
  <c r="D14" i="7"/>
  <c r="E14" i="7" s="1"/>
  <c r="P57" i="2"/>
  <c r="D9" i="7"/>
  <c r="E9" i="7" s="1"/>
  <c r="K4" i="2"/>
  <c r="C13" i="7"/>
  <c r="Q57" i="2"/>
  <c r="W57" i="2" s="1"/>
  <c r="N56" i="2"/>
  <c r="C8" i="7" s="1"/>
  <c r="K56" i="2"/>
  <c r="C4" i="7" s="1"/>
  <c r="I56" i="2"/>
  <c r="H4" i="2"/>
  <c r="J4" i="2" s="1"/>
  <c r="I7" i="2"/>
  <c r="K17" i="1"/>
  <c r="I48" i="1"/>
  <c r="J48" i="1" s="1"/>
  <c r="T48" i="1" s="1"/>
  <c r="C48" i="1"/>
  <c r="Y48" i="1"/>
  <c r="H19" i="1"/>
  <c r="M49" i="1"/>
  <c r="E49" i="1"/>
  <c r="L49" i="1" s="1"/>
  <c r="D49" i="1"/>
  <c r="F58" i="1"/>
  <c r="F57" i="1"/>
  <c r="K41" i="1"/>
  <c r="R41" i="1"/>
  <c r="AA41" i="1" s="1"/>
  <c r="C43" i="1"/>
  <c r="M43" i="1" s="1"/>
  <c r="Y43" i="1"/>
  <c r="Z43" i="1" s="1"/>
  <c r="K42" i="1"/>
  <c r="R42" i="1"/>
  <c r="AA42" i="1" s="1"/>
  <c r="B28" i="1"/>
  <c r="B34" i="1" s="1"/>
  <c r="I44" i="1"/>
  <c r="J44" i="1" s="1"/>
  <c r="T44" i="1" s="1"/>
  <c r="R13" i="1"/>
  <c r="T13" i="1"/>
  <c r="G58" i="2" l="1"/>
  <c r="H58" i="2" s="1"/>
  <c r="X57" i="2"/>
  <c r="H18" i="1"/>
  <c r="U47" i="1" s="1"/>
  <c r="C15" i="7"/>
  <c r="N58" i="2"/>
  <c r="C10" i="7" s="1"/>
  <c r="K58" i="2"/>
  <c r="C6" i="7" s="1"/>
  <c r="L56" i="2"/>
  <c r="O56" i="2"/>
  <c r="J56" i="2"/>
  <c r="Y57" i="2"/>
  <c r="I58" i="2"/>
  <c r="L4" i="2"/>
  <c r="S4" i="2" s="1"/>
  <c r="K47" i="2"/>
  <c r="I47" i="2"/>
  <c r="D15" i="7" s="1"/>
  <c r="R7" i="2"/>
  <c r="S7" i="2"/>
  <c r="U48" i="1"/>
  <c r="Z48" i="1" s="1"/>
  <c r="Y44" i="1"/>
  <c r="Z44" i="1" s="1"/>
  <c r="F5" i="2"/>
  <c r="G5" i="2" s="1"/>
  <c r="I4" i="2"/>
  <c r="D43" i="1"/>
  <c r="K43" i="1" s="1"/>
  <c r="E43" i="1"/>
  <c r="L43" i="1" s="1"/>
  <c r="F65" i="1"/>
  <c r="M48" i="1"/>
  <c r="E48" i="1"/>
  <c r="L48" i="1" s="1"/>
  <c r="D48" i="1"/>
  <c r="K49" i="1"/>
  <c r="R49" i="1"/>
  <c r="M17" i="1"/>
  <c r="I47" i="1"/>
  <c r="J47" i="1" s="1"/>
  <c r="T47" i="1" s="1"/>
  <c r="C44" i="1"/>
  <c r="U13" i="1"/>
  <c r="C28" i="1"/>
  <c r="S13" i="1"/>
  <c r="K14" i="1"/>
  <c r="N14" i="1" s="1"/>
  <c r="P56" i="2" l="1"/>
  <c r="D8" i="7"/>
  <c r="E8" i="7" s="1"/>
  <c r="M56" i="2"/>
  <c r="D4" i="7"/>
  <c r="E4" i="7" s="1"/>
  <c r="D13" i="7"/>
  <c r="E13" i="7" s="1"/>
  <c r="K5" i="2"/>
  <c r="C12" i="7"/>
  <c r="E15" i="7"/>
  <c r="F15" i="7" s="1"/>
  <c r="E25" i="7" s="1"/>
  <c r="Q56" i="2"/>
  <c r="W56" i="2" s="1"/>
  <c r="O58" i="2"/>
  <c r="L58" i="2"/>
  <c r="J58" i="2"/>
  <c r="L47" i="2"/>
  <c r="M47" i="2" s="1"/>
  <c r="J47" i="2"/>
  <c r="T7" i="2"/>
  <c r="R4" i="2"/>
  <c r="T4" i="2" s="1"/>
  <c r="F5" i="9" s="1"/>
  <c r="G5" i="9" s="1"/>
  <c r="F59" i="1"/>
  <c r="R43" i="1"/>
  <c r="AA43" i="1" s="1"/>
  <c r="H5" i="2"/>
  <c r="J5" i="2" s="1"/>
  <c r="K48" i="1"/>
  <c r="R48" i="1"/>
  <c r="AA48" i="1" s="1"/>
  <c r="F64" i="1"/>
  <c r="C47" i="1"/>
  <c r="Y47" i="1"/>
  <c r="Z47" i="1" s="1"/>
  <c r="D44" i="1"/>
  <c r="K44" i="1" s="1"/>
  <c r="E44" i="1"/>
  <c r="L44" i="1" s="1"/>
  <c r="M44" i="1"/>
  <c r="I45" i="1"/>
  <c r="J45" i="1" s="1"/>
  <c r="T45" i="1" s="1"/>
  <c r="O14" i="1"/>
  <c r="H14" i="1" s="1"/>
  <c r="U45" i="1" s="1"/>
  <c r="U46" i="1" s="1"/>
  <c r="C34" i="1"/>
  <c r="Q14" i="1"/>
  <c r="G55" i="2" s="1"/>
  <c r="H55" i="2" s="1"/>
  <c r="H5" i="9" l="1"/>
  <c r="I5" i="9" s="1"/>
  <c r="K5" i="9"/>
  <c r="L5" i="9" s="1"/>
  <c r="J5" i="9"/>
  <c r="F6" i="9"/>
  <c r="G6" i="9" s="1"/>
  <c r="M58" i="2"/>
  <c r="D6" i="7"/>
  <c r="E6" i="7" s="1"/>
  <c r="P58" i="2"/>
  <c r="D10" i="7"/>
  <c r="E10" i="7" s="1"/>
  <c r="X56" i="2"/>
  <c r="Y56" i="2" s="1"/>
  <c r="K55" i="2"/>
  <c r="C3" i="7" s="1"/>
  <c r="N55" i="2"/>
  <c r="C7" i="7" s="1"/>
  <c r="S47" i="2"/>
  <c r="T47" i="2"/>
  <c r="L5" i="2"/>
  <c r="I55" i="2"/>
  <c r="I5" i="2"/>
  <c r="M47" i="1"/>
  <c r="E47" i="1"/>
  <c r="L47" i="1" s="1"/>
  <c r="D47" i="1"/>
  <c r="F60" i="1"/>
  <c r="C45" i="1"/>
  <c r="M45" i="1" s="1"/>
  <c r="Y45" i="1"/>
  <c r="Z45" i="1" s="1"/>
  <c r="R44" i="1"/>
  <c r="AA44" i="1" s="1"/>
  <c r="B29" i="1"/>
  <c r="B35" i="1" s="1"/>
  <c r="I46" i="1"/>
  <c r="J46" i="1" s="1"/>
  <c r="T46" i="1" s="1"/>
  <c r="R14" i="1"/>
  <c r="T14" i="1"/>
  <c r="H6" i="9" l="1"/>
  <c r="I6" i="9" s="1"/>
  <c r="J6" i="9"/>
  <c r="K6" i="9"/>
  <c r="L6" i="9" s="1"/>
  <c r="U47" i="2"/>
  <c r="D12" i="7"/>
  <c r="E12" i="7" s="1"/>
  <c r="Q58" i="2"/>
  <c r="L55" i="2"/>
  <c r="O55" i="2"/>
  <c r="J55" i="2"/>
  <c r="R5" i="2"/>
  <c r="S5" i="2"/>
  <c r="Y46" i="1"/>
  <c r="Z46" i="1" s="1"/>
  <c r="F6" i="2"/>
  <c r="G6" i="2" s="1"/>
  <c r="E45" i="1"/>
  <c r="L45" i="1" s="1"/>
  <c r="D45" i="1"/>
  <c r="K45" i="1" s="1"/>
  <c r="F63" i="1"/>
  <c r="K47" i="1"/>
  <c r="R47" i="1"/>
  <c r="AA47" i="1" s="1"/>
  <c r="C46" i="1"/>
  <c r="D46" i="1" s="1"/>
  <c r="S14" i="1"/>
  <c r="C29" i="1"/>
  <c r="U14" i="1"/>
  <c r="W58" i="2" l="1"/>
  <c r="X58" i="2"/>
  <c r="M55" i="2"/>
  <c r="D3" i="7"/>
  <c r="E3" i="7" s="1"/>
  <c r="F3" i="7" s="1"/>
  <c r="E22" i="7" s="1"/>
  <c r="P55" i="2"/>
  <c r="D7" i="7"/>
  <c r="E7" i="7" s="1"/>
  <c r="F7" i="7" s="1"/>
  <c r="E23" i="7" s="1"/>
  <c r="K6" i="2"/>
  <c r="C11" i="7"/>
  <c r="Q55" i="2"/>
  <c r="T5" i="2"/>
  <c r="R45" i="1"/>
  <c r="AA45" i="1" s="1"/>
  <c r="H6" i="2"/>
  <c r="F61" i="1"/>
  <c r="E46" i="1"/>
  <c r="L46" i="1" s="1"/>
  <c r="M46" i="1"/>
  <c r="C35" i="1"/>
  <c r="F4" i="9" l="1"/>
  <c r="J6" i="2"/>
  <c r="D11" i="7"/>
  <c r="E11" i="7" s="1"/>
  <c r="F11" i="7" s="1"/>
  <c r="E24" i="7" s="1"/>
  <c r="Y58" i="2"/>
  <c r="X54" i="2"/>
  <c r="W55" i="2"/>
  <c r="X55" i="2"/>
  <c r="W54" i="2"/>
  <c r="Y54" i="2" s="1"/>
  <c r="I6" i="2"/>
  <c r="L6" i="2"/>
  <c r="F62" i="1"/>
  <c r="K46" i="1"/>
  <c r="R46" i="1"/>
  <c r="AA46" i="1" s="1"/>
  <c r="G4" i="9" l="1"/>
  <c r="Y55" i="2"/>
  <c r="R6" i="2"/>
  <c r="S6" i="2"/>
  <c r="J4" i="9" l="1"/>
  <c r="H4" i="9"/>
  <c r="I4" i="9" s="1"/>
  <c r="K4" i="9"/>
  <c r="L4" i="9" s="1"/>
  <c r="T6" i="2"/>
  <c r="F3" i="9" l="1"/>
  <c r="G3" i="9" s="1"/>
  <c r="U4" i="2"/>
  <c r="J3" i="9" l="1"/>
  <c r="K3" i="9"/>
  <c r="L3" i="9" s="1"/>
  <c r="H3" i="9"/>
  <c r="I3" i="9" s="1"/>
</calcChain>
</file>

<file path=xl/sharedStrings.xml><?xml version="1.0" encoding="utf-8"?>
<sst xmlns="http://schemas.openxmlformats.org/spreadsheetml/2006/main" count="357" uniqueCount="230">
  <si>
    <t>Primary Parameters</t>
  </si>
  <si>
    <t>Parameter</t>
  </si>
  <si>
    <t>Value</t>
  </si>
  <si>
    <t>Unit</t>
  </si>
  <si>
    <t>Input Rotational Speed</t>
  </si>
  <si>
    <t>Gear Ratio</t>
  </si>
  <si>
    <t>RPM</t>
  </si>
  <si>
    <t>Pressure Angle</t>
  </si>
  <si>
    <t>Gear Number</t>
  </si>
  <si>
    <t>Gear</t>
  </si>
  <si>
    <t>First gear</t>
  </si>
  <si>
    <t>Second gear</t>
  </si>
  <si>
    <t>Third gear</t>
  </si>
  <si>
    <t>Reverse gear</t>
  </si>
  <si>
    <t>Input &amp; Lay gear</t>
  </si>
  <si>
    <t>Pinion</t>
  </si>
  <si>
    <t>Wheel</t>
  </si>
  <si>
    <t>°</t>
  </si>
  <si>
    <t>Modules</t>
  </si>
  <si>
    <t>Minimum</t>
  </si>
  <si>
    <t>Pinion Teeth</t>
  </si>
  <si>
    <t>Final</t>
  </si>
  <si>
    <t>mm</t>
  </si>
  <si>
    <t>Shaft Distance</t>
  </si>
  <si>
    <t>Wheel Teeth</t>
  </si>
  <si>
    <t>Calc.</t>
  </si>
  <si>
    <t>Diameter</t>
  </si>
  <si>
    <t>Input-Lay</t>
  </si>
  <si>
    <t>Lay-Idler</t>
  </si>
  <si>
    <t>input powerfor gear box</t>
  </si>
  <si>
    <t>pitch line velocity</t>
  </si>
  <si>
    <t>wheel</t>
  </si>
  <si>
    <t>pinion</t>
  </si>
  <si>
    <t>service factor</t>
  </si>
  <si>
    <t>Permissible tangential tooth load(kN)</t>
  </si>
  <si>
    <t>Strengh</t>
  </si>
  <si>
    <t>cv value</t>
  </si>
  <si>
    <t>pc</t>
  </si>
  <si>
    <t>y value</t>
  </si>
  <si>
    <t>wT</t>
  </si>
  <si>
    <t>matirial</t>
  </si>
  <si>
    <t>Dynamic load(Wd)</t>
  </si>
  <si>
    <t>tooth error</t>
  </si>
  <si>
    <t>c value</t>
  </si>
  <si>
    <t>e</t>
  </si>
  <si>
    <t>k</t>
  </si>
  <si>
    <t>Ep(Gpa)</t>
  </si>
  <si>
    <t>actual Ratio</t>
  </si>
  <si>
    <t>Pitch cicle Diameter</t>
  </si>
  <si>
    <t xml:space="preserve">pressure angle </t>
  </si>
  <si>
    <t>Tooth Error in Action (e)</t>
  </si>
  <si>
    <t>Drive speed</t>
  </si>
  <si>
    <t>Driven Speed</t>
  </si>
  <si>
    <t xml:space="preserve">Full speed reduction </t>
  </si>
  <si>
    <t>Culculate value using length</t>
  </si>
  <si>
    <t>Calculate Value</t>
  </si>
  <si>
    <t>Deformation factor</t>
  </si>
  <si>
    <t>𝞂e(MPa)</t>
  </si>
  <si>
    <t>Static Tooth Load (kN)</t>
  </si>
  <si>
    <t>Ratio Factor (Q)</t>
  </si>
  <si>
    <t>σ_es (MPa)</t>
  </si>
  <si>
    <t>Load Stress Factor (K)</t>
  </si>
  <si>
    <t>youngs modules(GPa)</t>
  </si>
  <si>
    <t>Wear Load (kN)</t>
  </si>
  <si>
    <t>PCD</t>
  </si>
  <si>
    <t>sutability</t>
  </si>
  <si>
    <t>input</t>
  </si>
  <si>
    <t>output</t>
  </si>
  <si>
    <t>ideal</t>
  </si>
  <si>
    <t>Rease gears</t>
  </si>
  <si>
    <t>Input</t>
  </si>
  <si>
    <t>speed</t>
  </si>
  <si>
    <t>module</t>
  </si>
  <si>
    <t>Round min.teeth</t>
  </si>
  <si>
    <t>Calculate teeth</t>
  </si>
  <si>
    <t>Ideal</t>
  </si>
  <si>
    <t>ASTM A514 properties</t>
  </si>
  <si>
    <t>𝞂0= UTS/3</t>
  </si>
  <si>
    <t>758Mpa</t>
  </si>
  <si>
    <t>Cast steel, heat treated</t>
  </si>
  <si>
    <t>Young's modulus</t>
  </si>
  <si>
    <t>Normal tooth load</t>
  </si>
  <si>
    <t xml:space="preserve">Out put shaft </t>
  </si>
  <si>
    <t xml:space="preserve">Reverse </t>
  </si>
  <si>
    <t>Safety factor</t>
  </si>
  <si>
    <t>Km value</t>
  </si>
  <si>
    <t>Kt value</t>
  </si>
  <si>
    <t>length of gear box</t>
  </si>
  <si>
    <t>re</t>
  </si>
  <si>
    <t>bearing</t>
  </si>
  <si>
    <t>Bearings</t>
  </si>
  <si>
    <t>Reverse</t>
  </si>
  <si>
    <t>Distance from Rigth supprot (mm)</t>
  </si>
  <si>
    <t>Distance from left supprot (mm)</t>
  </si>
  <si>
    <t>𝞂0 values (Mpa or N/mm2)</t>
  </si>
  <si>
    <t>PCD (mm)</t>
  </si>
  <si>
    <t>Torque on shaft (Nm)</t>
  </si>
  <si>
    <t>Angular speed of the shaft (rads-1)</t>
  </si>
  <si>
    <t>Power need to be transmitted (w)</t>
  </si>
  <si>
    <t>Tangential force on gear (N)</t>
  </si>
  <si>
    <t>Medium Carbon Steel</t>
  </si>
  <si>
    <t xml:space="preserve">1050 Q&amp;T at 650c </t>
  </si>
  <si>
    <t xml:space="preserve">1040 Normalized </t>
  </si>
  <si>
    <t>medium carbon steel</t>
  </si>
  <si>
    <t>ASTM class 50 Standard gray iron </t>
  </si>
  <si>
    <t>Gray cast iron</t>
  </si>
  <si>
    <t>717/3</t>
  </si>
  <si>
    <t>590/3</t>
  </si>
  <si>
    <t>https://material-properties.org/what-are-properties-of-gray-cast-iron-definition/</t>
  </si>
  <si>
    <t>200Gpa</t>
  </si>
  <si>
    <t>https://www.azom.com/article.aspx?ArticleID=6525</t>
  </si>
  <si>
    <t>https://www.azom.com/article.aspx?ArticleID=6526</t>
  </si>
  <si>
    <t>124Gpa</t>
  </si>
  <si>
    <t>362/3 MPa</t>
  </si>
  <si>
    <t xml:space="preserve">matitrial </t>
  </si>
  <si>
    <t>1141 Q&amp;T 315 C</t>
  </si>
  <si>
    <t>Input shaft</t>
  </si>
  <si>
    <t>Idler Shaft</t>
  </si>
  <si>
    <t>-</t>
  </si>
  <si>
    <t>Lay Shaft</t>
  </si>
  <si>
    <t xml:space="preserve">input </t>
  </si>
  <si>
    <t>Resultant force on gear (N)</t>
  </si>
  <si>
    <t>Radial force on gear (N)</t>
  </si>
  <si>
    <t>Resultant BM (Nm)</t>
  </si>
  <si>
    <t>Horizontal BM (Nm)</t>
  </si>
  <si>
    <t>Vertical BM (Nm)</t>
  </si>
  <si>
    <t>Power need to be transmitted (W)</t>
  </si>
  <si>
    <t>BM_Max</t>
  </si>
  <si>
    <t xml:space="preserve">Centre distance </t>
  </si>
  <si>
    <t xml:space="preserve">EN24 MAILE STEEL </t>
  </si>
  <si>
    <t xml:space="preserve">S45c steel </t>
  </si>
  <si>
    <t>190G</t>
  </si>
  <si>
    <t>you</t>
  </si>
  <si>
    <t>τ_max (MPa)</t>
  </si>
  <si>
    <t>σ_max (MPa)</t>
  </si>
  <si>
    <t>d_τ (mm)</t>
  </si>
  <si>
    <t>d_σ (mm)</t>
  </si>
  <si>
    <t xml:space="preserve">ASTM 1040 Carbon Steel </t>
  </si>
  <si>
    <t>Cold  Draw</t>
  </si>
  <si>
    <t>Maximum (N)</t>
  </si>
  <si>
    <t>Cast iron, highest grade</t>
  </si>
  <si>
    <t>Bearing</t>
  </si>
  <si>
    <t>Expected Lifetime (Millions)</t>
  </si>
  <si>
    <t>Reliability</t>
  </si>
  <si>
    <t>Life Adjustment Factor (a)</t>
  </si>
  <si>
    <t>C_r (N)</t>
  </si>
  <si>
    <t>Bearing No.</t>
  </si>
  <si>
    <t>d (mm)</t>
  </si>
  <si>
    <t>D (mm)</t>
  </si>
  <si>
    <t>B (mm)</t>
  </si>
  <si>
    <t>r (mm)</t>
  </si>
  <si>
    <t>Life Expectancy</t>
  </si>
  <si>
    <t>Years</t>
  </si>
  <si>
    <t>Hrs. / Day</t>
  </si>
  <si>
    <t>Months. / Year</t>
  </si>
  <si>
    <t>Module (mm)</t>
  </si>
  <si>
    <t>Module</t>
  </si>
  <si>
    <t>HBM_LEFT</t>
  </si>
  <si>
    <t>VBM_LEFT</t>
  </si>
  <si>
    <t>HBM_RIGHT</t>
  </si>
  <si>
    <t>VBM_RIGHT</t>
  </si>
  <si>
    <t>LEFT GEAR</t>
  </si>
  <si>
    <t>RIGHT GEAR</t>
  </si>
  <si>
    <t>length</t>
  </si>
  <si>
    <t>Resaltant</t>
  </si>
  <si>
    <t xml:space="preserve">Resultant </t>
  </si>
  <si>
    <t>Gear Engaged</t>
  </si>
  <si>
    <t>Horizontal (N)</t>
  </si>
  <si>
    <t>Vertical (N)</t>
  </si>
  <si>
    <t>Resultant (Radial, N)</t>
  </si>
  <si>
    <t>All</t>
  </si>
  <si>
    <t>R</t>
  </si>
  <si>
    <t>Strength  (kN)</t>
  </si>
  <si>
    <t>face width</t>
  </si>
  <si>
    <t>Teeth</t>
  </si>
  <si>
    <t>Yield Strength (MPa)</t>
  </si>
  <si>
    <t>Shear Strength (MPa)</t>
  </si>
  <si>
    <t>62/22</t>
  </si>
  <si>
    <t>After Bearing selection</t>
  </si>
  <si>
    <t>63/22</t>
  </si>
  <si>
    <t>Shaft Diameter (m)</t>
  </si>
  <si>
    <t>Torque Transmitted (Nm)</t>
  </si>
  <si>
    <t>Width (mm)</t>
  </si>
  <si>
    <t>Thickness (mm)</t>
  </si>
  <si>
    <t>Length for shear stress (mm)</t>
  </si>
  <si>
    <t>Length for crushing stress (mm)</t>
  </si>
  <si>
    <t>Face Width (mm)</t>
  </si>
  <si>
    <t>Length of the keyway (mm)</t>
  </si>
  <si>
    <t>Effect of keyway (e)</t>
  </si>
  <si>
    <t>Gear 1</t>
  </si>
  <si>
    <t>Gear 2</t>
  </si>
  <si>
    <t>Gear 3</t>
  </si>
  <si>
    <t>Gear 4</t>
  </si>
  <si>
    <t>Gear 5</t>
  </si>
  <si>
    <t>Gear 6</t>
  </si>
  <si>
    <t>Gear 10</t>
  </si>
  <si>
    <t>Material</t>
  </si>
  <si>
    <t>40C8 Steel (AISI 1040)</t>
  </si>
  <si>
    <t>Yield Strength</t>
  </si>
  <si>
    <t>MPa</t>
  </si>
  <si>
    <t>Shear stress</t>
  </si>
  <si>
    <t>Mpa</t>
  </si>
  <si>
    <t>Crushing stress</t>
  </si>
  <si>
    <t xml:space="preserve">Tensile Strength: Ultimate </t>
  </si>
  <si>
    <t>No. of Splines</t>
  </si>
  <si>
    <t>Allowable Pressure for Splines (Mpa)</t>
  </si>
  <si>
    <t>Minor Diameter (mm) [d]</t>
  </si>
  <si>
    <t>Pitch [P]</t>
  </si>
  <si>
    <t>Pitch Diameter (mm) [Dp]</t>
  </si>
  <si>
    <t>Minimum Length of the spline (mm)</t>
  </si>
  <si>
    <t>Minor diameter internal (mm)</t>
  </si>
  <si>
    <t>Major diameter internal (mm)</t>
  </si>
  <si>
    <t>Major diameter internal rounded (mm)</t>
  </si>
  <si>
    <t>Gear 7</t>
  </si>
  <si>
    <t>Gear 8</t>
  </si>
  <si>
    <t>Gear 9</t>
  </si>
  <si>
    <t>Sleeve</t>
  </si>
  <si>
    <t>T (N m)</t>
  </si>
  <si>
    <t>τ_c (MPa)</t>
  </si>
  <si>
    <t>Induced shear stress (MPa)</t>
  </si>
  <si>
    <t>Suitability</t>
  </si>
  <si>
    <t>Key</t>
  </si>
  <si>
    <t>w (mm)</t>
  </si>
  <si>
    <t>t (mm)</t>
  </si>
  <si>
    <t>l (mm)</t>
  </si>
  <si>
    <t>τ (MPa)</t>
  </si>
  <si>
    <t>σ_c (MPa)</t>
  </si>
  <si>
    <t>Allowable compressive stress for key (MPa)</t>
  </si>
  <si>
    <t>Allowable shear stress for key (MPa)</t>
  </si>
  <si>
    <t>Shear stress for cast iron (MPa)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</si>
</sst>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mbria"/>
      <family val="1"/>
    </font>
    <font>
      <sz val="10"/>
      <color rgb="FF232323"/>
      <name val="Arial"/>
      <family val="2"/>
    </font>
    <font>
      <u/>
      <sz val="11"/>
      <color theme="1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CC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C7CE"/>
      </patternFill>
    </fill>
    <fill>
      <patternFill patternType="solid">
        <fgColor rgb="FF00B050"/>
        <bgColor indexed="64"/>
      </patternFill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21" borderId="0" applyNumberFormat="0" applyBorder="0" applyAlignment="0" applyProtection="0"/>
  </cellStyleXfs>
  <cellXfs count="104">
    <xf numFmtId="0" fontId="0" fillId="0" borderId="0" xfId="0"/>
    <xf numFmtId="0" fontId="0" fillId="0" borderId="0" xfId="0" applyAlignment="1">
      <alignment horizontal="center" vertical="center" wrapText="1"/>
    </xf>
    <xf numFmtId="0" fontId="0" fillId="6" borderId="0" xfId="0" applyFill="1" applyAlignment="1">
      <alignment horizontal="center" vertical="center" wrapText="1"/>
    </xf>
    <xf numFmtId="0" fontId="0" fillId="6" borderId="0" xfId="0" applyFill="1" applyAlignment="1">
      <alignment wrapText="1"/>
    </xf>
    <xf numFmtId="0" fontId="0" fillId="4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14" borderId="0" xfId="0" applyFill="1" applyAlignment="1">
      <alignment horizontal="center" vertical="center" wrapText="1"/>
    </xf>
    <xf numFmtId="0" fontId="0" fillId="13" borderId="0" xfId="0" applyFill="1" applyAlignment="1">
      <alignment horizontal="center" vertical="center" wrapText="1"/>
    </xf>
    <xf numFmtId="0" fontId="0" fillId="9" borderId="0" xfId="0" applyFill="1" applyAlignment="1">
      <alignment horizontal="center" vertical="center" wrapText="1"/>
    </xf>
    <xf numFmtId="0" fontId="0" fillId="10" borderId="0" xfId="0" applyFill="1" applyAlignment="1">
      <alignment horizontal="center" vertical="center" wrapText="1"/>
    </xf>
    <xf numFmtId="164" fontId="0" fillId="10" borderId="0" xfId="0" applyNumberFormat="1" applyFill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164" fontId="0" fillId="5" borderId="0" xfId="0" applyNumberFormat="1" applyFill="1" applyAlignment="1">
      <alignment horizontal="center" vertical="center" wrapText="1"/>
    </xf>
    <xf numFmtId="164" fontId="0" fillId="3" borderId="0" xfId="0" applyNumberFormat="1" applyFill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164" fontId="0" fillId="2" borderId="0" xfId="0" applyNumberFormat="1" applyFill="1" applyAlignment="1">
      <alignment horizontal="center" vertical="center" wrapText="1"/>
    </xf>
    <xf numFmtId="0" fontId="0" fillId="7" borderId="0" xfId="0" applyFill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Fill="1" applyAlignment="1">
      <alignment horizontal="center" vertical="center" wrapText="1"/>
    </xf>
    <xf numFmtId="0" fontId="0" fillId="11" borderId="0" xfId="0" applyFill="1" applyAlignment="1">
      <alignment horizontal="center" vertical="center" wrapText="1"/>
    </xf>
    <xf numFmtId="0" fontId="0" fillId="7" borderId="0" xfId="0" applyFill="1" applyAlignment="1">
      <alignment wrapText="1"/>
    </xf>
    <xf numFmtId="0" fontId="0" fillId="8" borderId="0" xfId="0" applyFill="1" applyAlignment="1">
      <alignment horizontal="center" vertical="center" wrapText="1"/>
    </xf>
    <xf numFmtId="0" fontId="0" fillId="8" borderId="0" xfId="0" applyFill="1" applyAlignment="1">
      <alignment wrapText="1"/>
    </xf>
    <xf numFmtId="0" fontId="0" fillId="9" borderId="0" xfId="0" applyFill="1" applyAlignment="1">
      <alignment wrapText="1"/>
    </xf>
    <xf numFmtId="0" fontId="0" fillId="16" borderId="0" xfId="0" applyFill="1" applyAlignment="1">
      <alignment horizontal="center" vertical="center" wrapText="1"/>
    </xf>
    <xf numFmtId="0" fontId="1" fillId="16" borderId="0" xfId="0" applyFont="1" applyFill="1" applyAlignment="1">
      <alignment horizontal="center" vertical="center" wrapText="1"/>
    </xf>
    <xf numFmtId="0" fontId="0" fillId="17" borderId="0" xfId="0" applyFill="1" applyAlignment="1">
      <alignment horizontal="center" vertical="center" wrapText="1"/>
    </xf>
    <xf numFmtId="0" fontId="0" fillId="0" borderId="0" xfId="0" applyFill="1" applyAlignment="1">
      <alignment wrapText="1"/>
    </xf>
    <xf numFmtId="0" fontId="0" fillId="18" borderId="0" xfId="0" applyFill="1" applyAlignment="1">
      <alignment horizontal="center" vertical="center" wrapText="1"/>
    </xf>
    <xf numFmtId="0" fontId="2" fillId="0" borderId="0" xfId="0" applyFont="1"/>
    <xf numFmtId="0" fontId="0" fillId="19" borderId="0" xfId="0" applyFill="1" applyAlignment="1">
      <alignment horizontal="center" vertical="center" wrapText="1"/>
    </xf>
    <xf numFmtId="0" fontId="0" fillId="13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9" borderId="0" xfId="0" applyFill="1" applyAlignment="1">
      <alignment horizontal="center" vertical="center" wrapText="1"/>
    </xf>
    <xf numFmtId="0" fontId="0" fillId="9" borderId="0" xfId="0" applyFill="1" applyAlignment="1">
      <alignment horizontal="center" vertical="center" wrapText="1"/>
    </xf>
    <xf numFmtId="0" fontId="0" fillId="6" borderId="0" xfId="0" applyFill="1" applyAlignment="1">
      <alignment horizontal="center" vertical="center" wrapText="1"/>
    </xf>
    <xf numFmtId="0" fontId="0" fillId="20" borderId="0" xfId="0" applyFill="1" applyAlignment="1">
      <alignment horizontal="center" vertical="center" wrapText="1"/>
    </xf>
    <xf numFmtId="0" fontId="0" fillId="20" borderId="0" xfId="0" applyFill="1" applyAlignment="1">
      <alignment wrapText="1"/>
    </xf>
    <xf numFmtId="0" fontId="3" fillId="0" borderId="0" xfId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13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9" borderId="0" xfId="0" applyFill="1" applyAlignment="1">
      <alignment horizontal="center" vertical="center" wrapText="1"/>
    </xf>
    <xf numFmtId="0" fontId="0" fillId="14" borderId="0" xfId="0" applyFill="1" applyAlignment="1">
      <alignment horizontal="center" vertical="center" wrapText="1"/>
    </xf>
    <xf numFmtId="0" fontId="0" fillId="6" borderId="0" xfId="0" applyFill="1" applyAlignment="1">
      <alignment horizontal="center" vertical="center" wrapText="1"/>
    </xf>
    <xf numFmtId="0" fontId="0" fillId="17" borderId="0" xfId="0" applyFill="1" applyAlignment="1">
      <alignment horizontal="center" vertical="center" wrapText="1"/>
    </xf>
    <xf numFmtId="0" fontId="0" fillId="10" borderId="0" xfId="0" applyFill="1" applyAlignment="1">
      <alignment horizontal="center" vertical="center" wrapText="1"/>
    </xf>
    <xf numFmtId="0" fontId="0" fillId="7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19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12" borderId="0" xfId="0" applyFill="1" applyAlignment="1">
      <alignment horizontal="center" vertical="center" wrapText="1"/>
    </xf>
    <xf numFmtId="0" fontId="0" fillId="9" borderId="0" xfId="0" applyFill="1" applyAlignment="1">
      <alignment horizontal="center" vertical="center" wrapText="1"/>
    </xf>
    <xf numFmtId="0" fontId="0" fillId="14" borderId="0" xfId="0" applyFill="1" applyAlignment="1">
      <alignment horizontal="center" vertical="center" wrapText="1"/>
    </xf>
    <xf numFmtId="0" fontId="0" fillId="19" borderId="0" xfId="0" applyFill="1" applyAlignment="1">
      <alignment horizontal="center" vertical="center" wrapText="1"/>
    </xf>
    <xf numFmtId="0" fontId="0" fillId="6" borderId="0" xfId="0" applyFill="1" applyAlignment="1">
      <alignment horizontal="center" vertical="center" wrapText="1"/>
    </xf>
    <xf numFmtId="0" fontId="0" fillId="14" borderId="0" xfId="0" applyFill="1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6" borderId="0" xfId="0" applyFill="1"/>
    <xf numFmtId="0" fontId="0" fillId="14" borderId="0" xfId="0" applyFill="1" applyAlignment="1">
      <alignment horizontal="center" vertical="center"/>
    </xf>
    <xf numFmtId="0" fontId="0" fillId="14" borderId="0" xfId="0" applyFill="1"/>
    <xf numFmtId="0" fontId="0" fillId="10" borderId="0" xfId="0" applyFill="1"/>
    <xf numFmtId="0" fontId="0" fillId="5" borderId="0" xfId="0" applyFill="1"/>
    <xf numFmtId="0" fontId="0" fillId="12" borderId="0" xfId="0" applyFill="1"/>
    <xf numFmtId="0" fontId="0" fillId="7" borderId="0" xfId="0" applyFill="1" applyAlignment="1">
      <alignment horizontal="center" vertical="center"/>
    </xf>
    <xf numFmtId="0" fontId="0" fillId="7" borderId="0" xfId="0" applyFill="1" applyAlignment="1">
      <alignment horizontal="center"/>
    </xf>
    <xf numFmtId="0" fontId="0" fillId="7" borderId="0" xfId="0" applyFill="1"/>
    <xf numFmtId="0" fontId="0" fillId="10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0" fillId="0" borderId="0" xfId="0" applyFill="1"/>
    <xf numFmtId="0" fontId="0" fillId="3" borderId="0" xfId="0" applyFill="1"/>
    <xf numFmtId="0" fontId="0" fillId="8" borderId="0" xfId="0" applyFill="1"/>
    <xf numFmtId="0" fontId="0" fillId="8" borderId="0" xfId="0" applyFill="1" applyAlignment="1">
      <alignment horizontal="right"/>
    </xf>
    <xf numFmtId="0" fontId="0" fillId="4" borderId="0" xfId="0" applyFill="1"/>
    <xf numFmtId="0" fontId="0" fillId="4" borderId="0" xfId="0" applyFill="1" applyAlignment="1">
      <alignment horizontal="right"/>
    </xf>
    <xf numFmtId="0" fontId="0" fillId="3" borderId="0" xfId="0" applyFill="1" applyAlignment="1">
      <alignment horizontal="right"/>
    </xf>
    <xf numFmtId="0" fontId="0" fillId="0" borderId="0" xfId="0" applyAlignment="1">
      <alignment wrapText="1"/>
    </xf>
    <xf numFmtId="0" fontId="0" fillId="23" borderId="0" xfId="0" applyFill="1"/>
    <xf numFmtId="0" fontId="0" fillId="23" borderId="0" xfId="0" applyFill="1" applyAlignment="1">
      <alignment vertical="center" wrapText="1"/>
    </xf>
    <xf numFmtId="0" fontId="0" fillId="8" borderId="0" xfId="0" applyFill="1" applyAlignment="1">
      <alignment horizontal="center"/>
    </xf>
    <xf numFmtId="0" fontId="0" fillId="19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13" borderId="0" xfId="0" applyFill="1" applyAlignment="1">
      <alignment horizontal="center" vertical="center" wrapText="1"/>
    </xf>
    <xf numFmtId="0" fontId="0" fillId="12" borderId="0" xfId="0" applyFill="1" applyAlignment="1">
      <alignment horizontal="center" vertical="center" wrapText="1"/>
    </xf>
    <xf numFmtId="0" fontId="0" fillId="9" borderId="0" xfId="0" applyFill="1" applyAlignment="1">
      <alignment horizontal="center" vertical="center" wrapText="1"/>
    </xf>
    <xf numFmtId="0" fontId="0" fillId="14" borderId="0" xfId="0" applyFill="1" applyAlignment="1">
      <alignment horizontal="center" vertical="center" wrapText="1"/>
    </xf>
    <xf numFmtId="0" fontId="0" fillId="15" borderId="0" xfId="0" applyFill="1" applyAlignment="1">
      <alignment horizontal="center" vertical="center" wrapText="1"/>
    </xf>
    <xf numFmtId="0" fontId="0" fillId="17" borderId="0" xfId="0" applyFill="1" applyAlignment="1">
      <alignment horizontal="center" vertical="center" wrapText="1"/>
    </xf>
    <xf numFmtId="0" fontId="5" fillId="6" borderId="5" xfId="0" applyFont="1" applyFill="1" applyBorder="1" applyAlignment="1">
      <alignment horizontal="center" vertical="center" wrapText="1"/>
    </xf>
    <xf numFmtId="0" fontId="5" fillId="6" borderId="0" xfId="0" applyFont="1" applyFill="1" applyAlignment="1">
      <alignment horizontal="center" vertical="center" wrapText="1"/>
    </xf>
    <xf numFmtId="0" fontId="0" fillId="19" borderId="0" xfId="0" applyFill="1" applyAlignment="1">
      <alignment horizontal="center" vertical="center" wrapText="1"/>
    </xf>
    <xf numFmtId="0" fontId="0" fillId="6" borderId="0" xfId="0" applyFill="1" applyAlignment="1">
      <alignment horizontal="center" vertical="center" wrapText="1"/>
    </xf>
    <xf numFmtId="0" fontId="0" fillId="22" borderId="0" xfId="0" applyFill="1" applyAlignment="1">
      <alignment horizontal="center" vertical="center" wrapText="1"/>
    </xf>
    <xf numFmtId="0" fontId="5" fillId="6" borderId="1" xfId="2" applyFont="1" applyFill="1" applyBorder="1" applyAlignment="1">
      <alignment horizontal="center"/>
    </xf>
    <xf numFmtId="0" fontId="5" fillId="6" borderId="2" xfId="2" applyFont="1" applyFill="1" applyBorder="1" applyAlignment="1">
      <alignment horizontal="center"/>
    </xf>
    <xf numFmtId="0" fontId="5" fillId="6" borderId="3" xfId="2" applyFont="1" applyFill="1" applyBorder="1" applyAlignment="1">
      <alignment horizontal="center"/>
    </xf>
    <xf numFmtId="0" fontId="0" fillId="9" borderId="4" xfId="0" applyFill="1" applyBorder="1" applyAlignment="1">
      <alignment horizontal="center" vertical="center" wrapText="1"/>
    </xf>
    <xf numFmtId="0" fontId="0" fillId="10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0" fillId="23" borderId="0" xfId="0" applyFill="1" applyAlignment="1">
      <alignment horizontal="center"/>
    </xf>
    <xf numFmtId="0" fontId="0" fillId="5" borderId="0" xfId="0" applyFill="1" applyAlignment="1">
      <alignment horizontal="center"/>
    </xf>
  </cellXfs>
  <cellStyles count="3">
    <cellStyle name="Bad" xfId="2" builtinId="27"/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CC00CC"/>
      <color rgb="FF00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G"/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164123</xdr:colOff>
      <xdr:row>81</xdr:row>
      <xdr:rowOff>11723</xdr:rowOff>
    </xdr:from>
    <xdr:to>
      <xdr:col>24</xdr:col>
      <xdr:colOff>293076</xdr:colOff>
      <xdr:row>106</xdr:row>
      <xdr:rowOff>1944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4D70F339-B813-E820-4442-4DF5B173D4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45815" y="17783908"/>
          <a:ext cx="9777046" cy="4846320"/>
        </a:xfrm>
        <a:prstGeom prst="rect">
          <a:avLst/>
        </a:prstGeom>
      </xdr:spPr>
    </xdr:pic>
    <xdr:clientData/>
  </xdr:twoCellAnchor>
  <xdr:twoCellAnchor editAs="oneCell">
    <xdr:from>
      <xdr:col>12</xdr:col>
      <xdr:colOff>762001</xdr:colOff>
      <xdr:row>10</xdr:row>
      <xdr:rowOff>64849</xdr:rowOff>
    </xdr:from>
    <xdr:to>
      <xdr:col>23</xdr:col>
      <xdr:colOff>64850</xdr:colOff>
      <xdr:row>27</xdr:row>
      <xdr:rowOff>97277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2F4AE1B-1FDB-EEF4-8DB4-B51010C479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2299" y="2772381"/>
          <a:ext cx="8998084" cy="5269151"/>
        </a:xfrm>
        <a:prstGeom prst="rect">
          <a:avLst/>
        </a:prstGeom>
      </xdr:spPr>
    </xdr:pic>
    <xdr:clientData/>
  </xdr:twoCellAnchor>
  <xdr:twoCellAnchor editAs="oneCell">
    <xdr:from>
      <xdr:col>0</xdr:col>
      <xdr:colOff>42334</xdr:colOff>
      <xdr:row>9</xdr:row>
      <xdr:rowOff>573783</xdr:rowOff>
    </xdr:from>
    <xdr:to>
      <xdr:col>10</xdr:col>
      <xdr:colOff>848019</xdr:colOff>
      <xdr:row>28</xdr:row>
      <xdr:rowOff>83068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8DE1F71-32D5-E7D6-8E16-67CC170293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334" y="2563450"/>
          <a:ext cx="10023768" cy="581695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61071</xdr:colOff>
      <xdr:row>0</xdr:row>
      <xdr:rowOff>113528</xdr:rowOff>
    </xdr:from>
    <xdr:to>
      <xdr:col>17</xdr:col>
      <xdr:colOff>339095</xdr:colOff>
      <xdr:row>16</xdr:row>
      <xdr:rowOff>51786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58820FC-5D3C-4413-B97E-2CAC7F5978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6543593" y="113528"/>
          <a:ext cx="5744545" cy="330651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emester%205/Machine%20Design%20Project/3.%20Detailed%20design%20report/calculation%20Excel%20file/gear%20ratio%20and%20belt%20driv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Sii\Desktop\Power%20Transmission%20Syste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-belt "/>
      <sheetName val="V_belt for sample"/>
      <sheetName val="Gear calculation"/>
      <sheetName val="Gear ratio calculation "/>
    </sheetNames>
    <sheetDataSet>
      <sheetData sheetId="0"/>
      <sheetData sheetId="1"/>
      <sheetData sheetId="2"/>
      <sheetData sheetId="3">
        <row r="2">
          <cell r="N2">
            <v>1.8012793176972279</v>
          </cell>
        </row>
        <row r="3">
          <cell r="N3">
            <v>2.0605543710021323</v>
          </cell>
        </row>
        <row r="4">
          <cell r="N4">
            <v>2.7428571428571429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arbox"/>
      <sheetName val="Shafts"/>
      <sheetName val="Bearings"/>
      <sheetName val="Keys"/>
      <sheetName val="Couplings"/>
    </sheetNames>
    <sheetDataSet>
      <sheetData sheetId="0"/>
      <sheetData sheetId="1">
        <row r="40">
          <cell r="Q40">
            <v>35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azom.com/article.aspx?ArticleID=6526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BB943-E9CC-4C1D-80C1-0C799C466998}">
  <dimension ref="A1:AA70"/>
  <sheetViews>
    <sheetView tabSelected="1" topLeftCell="A34" zoomScale="92" zoomScaleNormal="92" workbookViewId="0">
      <selection activeCell="C40" sqref="C40"/>
    </sheetView>
  </sheetViews>
  <sheetFormatPr defaultRowHeight="14.4" x14ac:dyDescent="0.3"/>
  <cols>
    <col min="1" max="1" width="21.44140625" style="1" customWidth="1"/>
    <col min="2" max="2" width="13.44140625" style="1" customWidth="1"/>
    <col min="3" max="3" width="16" style="1" customWidth="1"/>
    <col min="4" max="4" width="22.88671875" style="1" customWidth="1"/>
    <col min="5" max="5" width="12.6640625" style="1" customWidth="1"/>
    <col min="6" max="6" width="26.77734375" style="1" customWidth="1"/>
    <col min="7" max="7" width="14.88671875" style="1" customWidth="1"/>
    <col min="8" max="8" width="13.33203125" style="1" customWidth="1"/>
    <col min="9" max="9" width="16.6640625" style="1" customWidth="1"/>
    <col min="10" max="10" width="15.109375" style="1" customWidth="1"/>
    <col min="11" max="11" width="21.33203125" style="1" customWidth="1"/>
    <col min="12" max="12" width="14.5546875" style="1" customWidth="1"/>
    <col min="13" max="13" width="22.5546875" style="1" customWidth="1"/>
    <col min="14" max="14" width="20.33203125" style="1" customWidth="1"/>
    <col min="15" max="15" width="11.44140625" style="1" customWidth="1"/>
    <col min="16" max="16" width="11.44140625" style="41" customWidth="1"/>
    <col min="17" max="17" width="12.33203125" style="1" customWidth="1"/>
    <col min="18" max="18" width="16.77734375" style="1" customWidth="1"/>
    <col min="19" max="19" width="21" style="1" customWidth="1"/>
    <col min="20" max="20" width="14.44140625" style="1" customWidth="1"/>
    <col min="21" max="21" width="23.6640625" style="1" customWidth="1"/>
    <col min="22" max="22" width="16.109375" style="1" customWidth="1"/>
    <col min="23" max="23" width="15.21875" style="1" customWidth="1"/>
    <col min="24" max="24" width="19.33203125" style="1" customWidth="1"/>
    <col min="25" max="25" width="19.77734375" style="1" customWidth="1"/>
    <col min="26" max="26" width="25.109375" style="1" customWidth="1"/>
    <col min="27" max="27" width="15.77734375" style="1" customWidth="1"/>
    <col min="28" max="28" width="8.88671875" style="1"/>
    <col min="29" max="29" width="12.109375" style="1" customWidth="1"/>
    <col min="30" max="16384" width="8.88671875" style="1"/>
  </cols>
  <sheetData>
    <row r="1" spans="1:21" x14ac:dyDescent="0.3">
      <c r="A1" s="51" t="s">
        <v>0</v>
      </c>
      <c r="B1" s="51"/>
      <c r="C1" s="51"/>
      <c r="D1" s="51"/>
    </row>
    <row r="2" spans="1:21" x14ac:dyDescent="0.3">
      <c r="A2" s="51" t="s">
        <v>1</v>
      </c>
      <c r="B2" s="51"/>
      <c r="C2" s="51" t="s">
        <v>2</v>
      </c>
      <c r="D2" s="51" t="s">
        <v>3</v>
      </c>
      <c r="K2" s="1">
        <v>1450</v>
      </c>
      <c r="L2" s="1">
        <v>5</v>
      </c>
      <c r="M2" s="1">
        <f>K2/L2</f>
        <v>290</v>
      </c>
      <c r="N2" s="1">
        <v>3</v>
      </c>
      <c r="O2" s="1">
        <f>M2/N2</f>
        <v>96.666666666666671</v>
      </c>
    </row>
    <row r="3" spans="1:21" x14ac:dyDescent="0.3">
      <c r="A3" s="51" t="s">
        <v>4</v>
      </c>
      <c r="B3" s="51"/>
      <c r="C3" s="51">
        <v>450</v>
      </c>
      <c r="D3" s="51" t="s">
        <v>6</v>
      </c>
      <c r="G3" s="1">
        <f>1440/5</f>
        <v>288</v>
      </c>
    </row>
    <row r="4" spans="1:21" ht="43.2" x14ac:dyDescent="0.3">
      <c r="A4" s="51" t="s">
        <v>7</v>
      </c>
      <c r="B4" s="51"/>
      <c r="C4" s="51">
        <v>20</v>
      </c>
      <c r="D4" s="51" t="s">
        <v>17</v>
      </c>
      <c r="F4" s="1">
        <f>288/3</f>
        <v>96</v>
      </c>
      <c r="Q4" s="1" t="s">
        <v>29</v>
      </c>
      <c r="S4" s="1">
        <v>7500</v>
      </c>
    </row>
    <row r="5" spans="1:21" x14ac:dyDescent="0.3">
      <c r="A5" s="51" t="s">
        <v>18</v>
      </c>
      <c r="B5" s="51"/>
      <c r="C5" s="51">
        <v>3</v>
      </c>
      <c r="D5" s="51" t="s">
        <v>22</v>
      </c>
    </row>
    <row r="6" spans="1:21" x14ac:dyDescent="0.3">
      <c r="A6" s="83" t="s">
        <v>23</v>
      </c>
      <c r="B6" s="51" t="s">
        <v>27</v>
      </c>
      <c r="C6" s="51">
        <f>$C$5*(J11+O11)/2</f>
        <v>132</v>
      </c>
      <c r="D6" s="51" t="s">
        <v>22</v>
      </c>
    </row>
    <row r="7" spans="1:21" x14ac:dyDescent="0.3">
      <c r="A7" s="83"/>
      <c r="B7" s="51" t="s">
        <v>28</v>
      </c>
      <c r="C7" s="51"/>
      <c r="D7" s="51"/>
    </row>
    <row r="8" spans="1:21" x14ac:dyDescent="0.3">
      <c r="K8" s="18"/>
      <c r="O8" s="18"/>
      <c r="P8" s="18"/>
    </row>
    <row r="9" spans="1:21" x14ac:dyDescent="0.3">
      <c r="A9" s="17"/>
      <c r="B9" s="86" t="s">
        <v>8</v>
      </c>
      <c r="C9" s="86"/>
      <c r="G9" s="17"/>
      <c r="I9" s="86" t="s">
        <v>20</v>
      </c>
      <c r="J9" s="86"/>
      <c r="K9" s="86"/>
      <c r="L9" s="87" t="s">
        <v>24</v>
      </c>
      <c r="M9" s="87"/>
      <c r="N9" s="87"/>
      <c r="O9" s="87"/>
      <c r="P9" s="43"/>
      <c r="Q9" s="83" t="s">
        <v>48</v>
      </c>
      <c r="R9" s="83"/>
      <c r="S9" s="17"/>
    </row>
    <row r="10" spans="1:21" s="24" customFormat="1" ht="46.8" customHeight="1" x14ac:dyDescent="0.3">
      <c r="A10" s="24" t="s">
        <v>9</v>
      </c>
      <c r="B10" s="24" t="s">
        <v>15</v>
      </c>
      <c r="C10" s="24" t="s">
        <v>16</v>
      </c>
      <c r="D10" s="24" t="s">
        <v>52</v>
      </c>
      <c r="E10" s="24" t="s">
        <v>51</v>
      </c>
      <c r="F10" s="24" t="s">
        <v>53</v>
      </c>
      <c r="G10" s="24" t="s">
        <v>5</v>
      </c>
      <c r="H10" s="24" t="s">
        <v>47</v>
      </c>
      <c r="I10" s="24" t="s">
        <v>19</v>
      </c>
      <c r="J10" s="24" t="s">
        <v>25</v>
      </c>
      <c r="K10" s="24" t="s">
        <v>21</v>
      </c>
      <c r="L10" s="24" t="s">
        <v>19</v>
      </c>
      <c r="M10" s="24" t="s">
        <v>55</v>
      </c>
      <c r="N10" s="24" t="s">
        <v>54</v>
      </c>
      <c r="O10" s="24" t="s">
        <v>21</v>
      </c>
      <c r="P10" s="24" t="s">
        <v>155</v>
      </c>
      <c r="Q10" s="24" t="s">
        <v>15</v>
      </c>
      <c r="R10" s="24" t="s">
        <v>16</v>
      </c>
      <c r="S10" s="24" t="s">
        <v>128</v>
      </c>
    </row>
    <row r="11" spans="1:21" s="9" customFormat="1" x14ac:dyDescent="0.3">
      <c r="A11" s="9" t="s">
        <v>14</v>
      </c>
      <c r="B11" s="9">
        <v>1</v>
      </c>
      <c r="C11" s="9">
        <v>2</v>
      </c>
      <c r="D11" s="9">
        <v>96</v>
      </c>
      <c r="E11" s="9">
        <v>288</v>
      </c>
      <c r="F11" s="9">
        <f>E11/D11</f>
        <v>3</v>
      </c>
      <c r="G11" s="10">
        <v>3</v>
      </c>
      <c r="H11" s="10">
        <f>O11/K11</f>
        <v>3</v>
      </c>
      <c r="I11" s="10">
        <f>2/((G11^2+((SIN(RADIANS($C$4)))^2)*(1+2*G11))^0.5-G11)</f>
        <v>14.980875913809866</v>
      </c>
      <c r="J11" s="9">
        <v>22</v>
      </c>
      <c r="K11" s="9">
        <f>J11</f>
        <v>22</v>
      </c>
      <c r="L11" s="9">
        <f>I11*G11</f>
        <v>44.942627741429597</v>
      </c>
      <c r="M11" s="9">
        <f>ROUNDUP(L11,0)</f>
        <v>45</v>
      </c>
      <c r="N11" s="9">
        <f>G11*K11</f>
        <v>66</v>
      </c>
      <c r="O11" s="9">
        <f>ROUNDUP(N11,0)</f>
        <v>66</v>
      </c>
      <c r="P11" s="46">
        <v>3</v>
      </c>
      <c r="Q11" s="9">
        <f>$C$5*J11</f>
        <v>66</v>
      </c>
      <c r="R11" s="9">
        <f>$C$5*O11</f>
        <v>198</v>
      </c>
      <c r="S11" s="9">
        <f>(Q11+R11)/2</f>
        <v>132</v>
      </c>
      <c r="T11" s="9">
        <f>$C$5*(J11+N11)/2</f>
        <v>132</v>
      </c>
      <c r="U11" s="9">
        <f>Q11+R11</f>
        <v>264</v>
      </c>
    </row>
    <row r="12" spans="1:21" s="11" customFormat="1" x14ac:dyDescent="0.3">
      <c r="A12" s="11" t="s">
        <v>10</v>
      </c>
      <c r="B12" s="11">
        <v>5</v>
      </c>
      <c r="C12" s="11">
        <v>8</v>
      </c>
      <c r="D12" s="11">
        <v>53.295450000000002</v>
      </c>
      <c r="E12" s="11">
        <v>96</v>
      </c>
      <c r="F12" s="11">
        <f>$E$11/D12</f>
        <v>5.4038384139734257</v>
      </c>
      <c r="G12" s="12">
        <f>'[1]Gear ratio calculation '!$N$2</f>
        <v>1.8012793176972279</v>
      </c>
      <c r="H12" s="12">
        <f>O12/K12</f>
        <v>1.75</v>
      </c>
      <c r="I12" s="12">
        <f>2/((G12^2+((SIN(RADIANS($C$4)))^2)*(1+2*G12))^0.5-G12)</f>
        <v>13.916397753412019</v>
      </c>
      <c r="J12" s="11">
        <f>2*$C$6/((1+F12*J$11/N$11)*$C$5)</f>
        <v>31.41421657525397</v>
      </c>
      <c r="K12" s="11">
        <f>ROUNDUP(J12,0)</f>
        <v>32</v>
      </c>
      <c r="L12" s="11">
        <f>I12*G12</f>
        <v>25.067319450069238</v>
      </c>
      <c r="M12" s="11">
        <f>ROUNDUP(L12,0)</f>
        <v>26</v>
      </c>
      <c r="N12" s="11">
        <f>2*$C$6/$C$5-K12</f>
        <v>56</v>
      </c>
      <c r="O12" s="11">
        <f>ROUNDUP(N12,0)</f>
        <v>56</v>
      </c>
      <c r="P12" s="11">
        <v>3</v>
      </c>
      <c r="Q12" s="11">
        <f>$C$5*K12</f>
        <v>96</v>
      </c>
      <c r="R12" s="11">
        <f>$C$5*O12</f>
        <v>168</v>
      </c>
      <c r="S12" s="11">
        <f>(Q12+R12)/2</f>
        <v>132</v>
      </c>
      <c r="T12" s="11">
        <f>$C$5*(J12+N12)/2</f>
        <v>131.12132486288095</v>
      </c>
      <c r="U12" s="11">
        <f>Q12+R12</f>
        <v>264</v>
      </c>
    </row>
    <row r="13" spans="1:21" s="5" customFormat="1" x14ac:dyDescent="0.3">
      <c r="A13" s="5" t="s">
        <v>11</v>
      </c>
      <c r="B13" s="5">
        <v>4</v>
      </c>
      <c r="C13" s="5">
        <v>9</v>
      </c>
      <c r="D13" s="5">
        <v>46.589399999999998</v>
      </c>
      <c r="E13" s="5">
        <v>96</v>
      </c>
      <c r="F13" s="5">
        <f>$E$11/D13</f>
        <v>6.1816636402271765</v>
      </c>
      <c r="G13" s="13">
        <f>'[1]Gear ratio calculation '!$N$3</f>
        <v>2.0605543710021323</v>
      </c>
      <c r="H13" s="13">
        <f>O13/K13</f>
        <v>2.0344827586206895</v>
      </c>
      <c r="I13" s="13">
        <f>2/((G13^2+((SIN(RADIANS($C$4)))^2)*(1+2*G13))^0.5-G13)</f>
        <v>14.227976711762734</v>
      </c>
      <c r="J13" s="5">
        <f>2*$C$6/((1+F13*J$11/N$11)*$C$5)</f>
        <v>28.752959196125378</v>
      </c>
      <c r="K13" s="5">
        <f>ROUNDUP(J13,0)</f>
        <v>29</v>
      </c>
      <c r="L13" s="5">
        <f>I13*G13</f>
        <v>29.317519603939246</v>
      </c>
      <c r="M13" s="5">
        <f>ROUNDUP(L13,0)</f>
        <v>30</v>
      </c>
      <c r="N13" s="5">
        <f>2*$C$6/C$5-K13</f>
        <v>59</v>
      </c>
      <c r="O13" s="5">
        <f>ROUNDUP(N13,0)</f>
        <v>59</v>
      </c>
      <c r="P13" s="39">
        <v>3</v>
      </c>
      <c r="Q13" s="5">
        <f>$C$5*K13</f>
        <v>87</v>
      </c>
      <c r="R13" s="5">
        <f>$C$5*O13</f>
        <v>177</v>
      </c>
      <c r="S13" s="5">
        <f>(Q13+R13)/2</f>
        <v>132</v>
      </c>
      <c r="T13" s="5">
        <f>$C$5*(J13+N13)/2</f>
        <v>131.62943879418805</v>
      </c>
      <c r="U13" s="5">
        <f>Q13+R13</f>
        <v>264</v>
      </c>
    </row>
    <row r="14" spans="1:21" s="14" customFormat="1" x14ac:dyDescent="0.3">
      <c r="A14" s="14" t="s">
        <v>12</v>
      </c>
      <c r="B14" s="14">
        <v>3</v>
      </c>
      <c r="C14" s="14">
        <v>10</v>
      </c>
      <c r="D14" s="14">
        <v>35</v>
      </c>
      <c r="E14" s="14">
        <v>96</v>
      </c>
      <c r="F14" s="14">
        <f>$E$11/D14</f>
        <v>8.2285714285714278</v>
      </c>
      <c r="G14" s="15">
        <f>'[1]Gear ratio calculation '!$N$4</f>
        <v>2.7428571428571429</v>
      </c>
      <c r="H14" s="15">
        <f>O14/K14</f>
        <v>2.6666666666666665</v>
      </c>
      <c r="I14" s="15">
        <f>2/((G14^2+((SIN(RADIANS($C$4)))^2)*(1+2*G14))^0.5-G14)</f>
        <v>14.816950155086605</v>
      </c>
      <c r="J14" s="14">
        <f>2*$C$6/((1+F14*J$11/N$11)*$C$5)</f>
        <v>23.511450381679392</v>
      </c>
      <c r="K14" s="14">
        <f>ROUNDUP(J14,0)</f>
        <v>24</v>
      </c>
      <c r="L14" s="14">
        <f>I14*G14</f>
        <v>40.640777568237546</v>
      </c>
      <c r="M14" s="14">
        <f>ROUNDUP(L14,0)</f>
        <v>41</v>
      </c>
      <c r="N14" s="14">
        <f>2*$C$6/C$5-K14</f>
        <v>64</v>
      </c>
      <c r="O14" s="14">
        <f>ROUNDUP(N14,0)</f>
        <v>64</v>
      </c>
      <c r="P14" s="14">
        <v>3</v>
      </c>
      <c r="Q14" s="14">
        <f>$C$5*K14</f>
        <v>72</v>
      </c>
      <c r="R14" s="14">
        <f>$C$5*O14</f>
        <v>192</v>
      </c>
      <c r="S14" s="14">
        <f>(Q14+R14)/2</f>
        <v>132</v>
      </c>
      <c r="T14" s="14">
        <f>$C$5*(J14+N14)/2</f>
        <v>131.26717557251908</v>
      </c>
      <c r="U14" s="14">
        <f>Q14+R14</f>
        <v>264</v>
      </c>
    </row>
    <row r="16" spans="1:21" s="26" customFormat="1" x14ac:dyDescent="0.3">
      <c r="C16" s="26" t="s">
        <v>71</v>
      </c>
      <c r="D16" s="26" t="s">
        <v>72</v>
      </c>
      <c r="I16" s="26" t="s">
        <v>19</v>
      </c>
      <c r="J16" s="26" t="s">
        <v>73</v>
      </c>
      <c r="K16" s="26" t="s">
        <v>74</v>
      </c>
      <c r="L16" s="45" t="s">
        <v>156</v>
      </c>
      <c r="M16" s="26" t="s">
        <v>26</v>
      </c>
      <c r="Q16" s="45"/>
    </row>
    <row r="17" spans="1:18" s="7" customFormat="1" x14ac:dyDescent="0.3">
      <c r="A17" s="84" t="s">
        <v>13</v>
      </c>
      <c r="B17" s="7" t="s">
        <v>66</v>
      </c>
      <c r="C17" s="7">
        <f>D11</f>
        <v>96</v>
      </c>
      <c r="D17" s="7">
        <v>3</v>
      </c>
      <c r="I17" s="7">
        <f>2/((G18^2+((SIN(RADIANS($C$4)))^2)*(1+2*G18))^0.5-G18)</f>
        <v>12.32311872599969</v>
      </c>
      <c r="J17" s="7">
        <f>ROUND(I17,0)</f>
        <v>12</v>
      </c>
      <c r="K17" s="7">
        <f>ROUND(K18/G18,0)</f>
        <v>28</v>
      </c>
      <c r="L17" s="40">
        <v>3</v>
      </c>
      <c r="M17" s="7">
        <f>K17*$C$5</f>
        <v>84</v>
      </c>
      <c r="Q17" s="40"/>
    </row>
    <row r="18" spans="1:18" s="16" customFormat="1" x14ac:dyDescent="0.3">
      <c r="A18" s="84"/>
      <c r="B18" s="16" t="s">
        <v>68</v>
      </c>
      <c r="C18" s="16">
        <v>96</v>
      </c>
      <c r="D18" s="16">
        <v>3</v>
      </c>
      <c r="F18" s="16">
        <f>$E$11/C18</f>
        <v>3</v>
      </c>
      <c r="G18" s="16">
        <f>C17/C18</f>
        <v>1</v>
      </c>
      <c r="H18" s="16">
        <f>K18/K17</f>
        <v>1</v>
      </c>
      <c r="I18" s="16">
        <f>I17*G18</f>
        <v>12.32311872599969</v>
      </c>
      <c r="J18" s="16">
        <f>ROUND(I18,0)</f>
        <v>12</v>
      </c>
      <c r="K18" s="16">
        <f>ROUND(K19/G19,0)</f>
        <v>28</v>
      </c>
      <c r="L18" s="47">
        <v>3</v>
      </c>
      <c r="M18" s="16">
        <f>K18*$C$5</f>
        <v>84</v>
      </c>
      <c r="Q18" s="47"/>
    </row>
    <row r="19" spans="1:18" s="2" customFormat="1" x14ac:dyDescent="0.3">
      <c r="A19" s="84"/>
      <c r="B19" s="2" t="s">
        <v>67</v>
      </c>
      <c r="C19" s="2">
        <v>50</v>
      </c>
      <c r="D19" s="2">
        <v>3</v>
      </c>
      <c r="F19" s="2">
        <f>$E$11/C19</f>
        <v>5.76</v>
      </c>
      <c r="G19" s="2">
        <f>C18/C19</f>
        <v>1.92</v>
      </c>
      <c r="H19" s="2">
        <f>K19/K18</f>
        <v>1.8928571428571428</v>
      </c>
      <c r="I19" s="2">
        <f>2/((G19^2+((SIN(RADIANS($C$4)))^2)*(1+2*G19))^0.5-G19)</f>
        <v>14.067009601545763</v>
      </c>
      <c r="J19" s="2">
        <f>ROUND(I19,0)</f>
        <v>14</v>
      </c>
      <c r="K19" s="2">
        <v>53</v>
      </c>
      <c r="L19" s="44">
        <v>3</v>
      </c>
      <c r="M19" s="2">
        <f>K19*$C$5</f>
        <v>159</v>
      </c>
      <c r="Q19" s="44"/>
    </row>
    <row r="20" spans="1:18" x14ac:dyDescent="0.3">
      <c r="A20" s="17"/>
      <c r="F20" s="17"/>
      <c r="G20" s="17"/>
    </row>
    <row r="22" spans="1:18" x14ac:dyDescent="0.3">
      <c r="A22" s="1" t="s">
        <v>29</v>
      </c>
      <c r="B22" s="1">
        <v>2000</v>
      </c>
    </row>
    <row r="23" spans="1:18" x14ac:dyDescent="0.3">
      <c r="A23" s="1" t="s">
        <v>33</v>
      </c>
      <c r="B23" s="1">
        <v>1</v>
      </c>
    </row>
    <row r="24" spans="1:18" x14ac:dyDescent="0.3">
      <c r="I24" s="1">
        <v>31</v>
      </c>
    </row>
    <row r="25" spans="1:18" x14ac:dyDescent="0.3">
      <c r="A25" s="1" t="s">
        <v>30</v>
      </c>
      <c r="B25" s="1" t="s">
        <v>32</v>
      </c>
      <c r="C25" s="1" t="s">
        <v>31</v>
      </c>
      <c r="M25" s="1" t="s">
        <v>42</v>
      </c>
    </row>
    <row r="26" spans="1:18" x14ac:dyDescent="0.3">
      <c r="A26" s="1" t="s">
        <v>14</v>
      </c>
      <c r="B26" s="1">
        <f>PI()*E11*Q11/60</f>
        <v>995.25655265724652</v>
      </c>
      <c r="C26" s="1">
        <f>PI()*R11*D11/60</f>
        <v>995.25655265724663</v>
      </c>
      <c r="E26" s="1" t="s">
        <v>37</v>
      </c>
      <c r="F26" s="1">
        <f>PI()*C5</f>
        <v>9.4247779607693793</v>
      </c>
      <c r="M26" s="1">
        <v>1.25</v>
      </c>
      <c r="N26" s="1">
        <v>9.35E-2</v>
      </c>
    </row>
    <row r="27" spans="1:18" x14ac:dyDescent="0.3">
      <c r="A27" s="1" t="s">
        <v>10</v>
      </c>
      <c r="B27" s="1">
        <f>PI()*D$11*Q12/60</f>
        <v>482.54863159139222</v>
      </c>
      <c r="C27" s="1">
        <f>PI()*R12*D12/60</f>
        <v>468.81126373133407</v>
      </c>
      <c r="M27" s="1">
        <v>1.4121458977886119</v>
      </c>
      <c r="N27" s="1">
        <f>(M27-M26)*(N28-N26)/(M28-M26)+N26</f>
        <v>9.0451657121574103E-2</v>
      </c>
    </row>
    <row r="28" spans="1:18" x14ac:dyDescent="0.3">
      <c r="A28" s="18" t="s">
        <v>11</v>
      </c>
      <c r="B28" s="1">
        <f>PI()*D$11*Q13/60</f>
        <v>437.30969737969917</v>
      </c>
      <c r="C28" s="1">
        <f>PI()*R13*D13/60</f>
        <v>431.77650448671113</v>
      </c>
      <c r="M28" s="1">
        <v>2.5</v>
      </c>
      <c r="N28" s="1">
        <v>7.0000000000000007E-2</v>
      </c>
    </row>
    <row r="29" spans="1:18" x14ac:dyDescent="0.3">
      <c r="A29" s="1" t="s">
        <v>12</v>
      </c>
      <c r="B29" s="1">
        <f>PI()*D$11*Q14/60</f>
        <v>361.91147369354417</v>
      </c>
      <c r="C29" s="1">
        <f>PI()*R14*D14/60</f>
        <v>351.85837720205683</v>
      </c>
      <c r="G29" s="1" t="s">
        <v>49</v>
      </c>
      <c r="H29" s="1">
        <v>20</v>
      </c>
      <c r="K29" s="1" t="s">
        <v>129</v>
      </c>
      <c r="L29" s="1">
        <v>1550</v>
      </c>
      <c r="Q29" s="1" t="s">
        <v>130</v>
      </c>
      <c r="R29" s="1">
        <v>490</v>
      </c>
    </row>
    <row r="30" spans="1:18" x14ac:dyDescent="0.3">
      <c r="L30" s="1">
        <v>12255</v>
      </c>
      <c r="R30" s="1">
        <v>350</v>
      </c>
    </row>
    <row r="31" spans="1:18" ht="28.8" x14ac:dyDescent="0.3">
      <c r="A31" s="1" t="s">
        <v>34</v>
      </c>
      <c r="B31" s="1" t="s">
        <v>32</v>
      </c>
      <c r="C31" s="1" t="s">
        <v>31</v>
      </c>
      <c r="Q31" s="1" t="s">
        <v>132</v>
      </c>
      <c r="R31" s="1" t="s">
        <v>131</v>
      </c>
    </row>
    <row r="32" spans="1:18" x14ac:dyDescent="0.3">
      <c r="A32" s="1" t="s">
        <v>14</v>
      </c>
      <c r="B32" s="1">
        <f>$B$22/B26*$B$23</f>
        <v>2.0095321097461532</v>
      </c>
      <c r="C32" s="1">
        <f>$B$22/C26*$B$23</f>
        <v>2.0095321097461532</v>
      </c>
    </row>
    <row r="33" spans="1:27" x14ac:dyDescent="0.3">
      <c r="A33" s="1" t="s">
        <v>10</v>
      </c>
      <c r="B33" s="1">
        <f t="shared" ref="B33:C35" si="0">$B$22/B27*$B$23</f>
        <v>4.1446599763514413</v>
      </c>
      <c r="C33" s="1">
        <f>$B$22/C26*$B$23</f>
        <v>2.0095321097461532</v>
      </c>
    </row>
    <row r="34" spans="1:27" x14ac:dyDescent="0.3">
      <c r="A34" s="18" t="s">
        <v>11</v>
      </c>
      <c r="B34" s="1">
        <f t="shared" si="0"/>
        <v>4.5734179049395216</v>
      </c>
      <c r="C34" s="1">
        <f t="shared" si="0"/>
        <v>4.6320260116459266</v>
      </c>
      <c r="T34" s="18"/>
    </row>
    <row r="35" spans="1:27" x14ac:dyDescent="0.3">
      <c r="A35" s="1" t="s">
        <v>12</v>
      </c>
      <c r="B35" s="1">
        <f t="shared" si="0"/>
        <v>5.5262133018019215</v>
      </c>
      <c r="C35" s="1">
        <f t="shared" si="0"/>
        <v>5.6841051104248335</v>
      </c>
      <c r="F35" s="18"/>
      <c r="G35" s="18"/>
      <c r="R35" s="18"/>
      <c r="S35" s="18"/>
      <c r="U35" s="18"/>
      <c r="X35" s="18"/>
      <c r="Y35" s="18"/>
    </row>
    <row r="36" spans="1:27" ht="1.8" customHeight="1" x14ac:dyDescent="0.3">
      <c r="F36" s="18"/>
      <c r="G36" s="18"/>
    </row>
    <row r="37" spans="1:27" hidden="1" x14ac:dyDescent="0.3"/>
    <row r="38" spans="1:27" s="24" customFormat="1" ht="47.4" customHeight="1" x14ac:dyDescent="0.3">
      <c r="A38" s="24" t="s">
        <v>35</v>
      </c>
      <c r="C38" s="24" t="s">
        <v>30</v>
      </c>
      <c r="D38" s="14" t="s">
        <v>34</v>
      </c>
      <c r="E38" s="24" t="s">
        <v>36</v>
      </c>
      <c r="F38" s="24" t="s">
        <v>40</v>
      </c>
      <c r="G38" s="25" t="s">
        <v>94</v>
      </c>
      <c r="H38" s="24" t="s">
        <v>173</v>
      </c>
      <c r="I38" s="24" t="s">
        <v>174</v>
      </c>
      <c r="J38" s="24" t="s">
        <v>38</v>
      </c>
      <c r="K38" s="24" t="s">
        <v>81</v>
      </c>
      <c r="L38" s="14" t="s">
        <v>172</v>
      </c>
      <c r="M38" s="24" t="s">
        <v>39</v>
      </c>
      <c r="N38" s="24" t="s">
        <v>50</v>
      </c>
      <c r="O38" s="24" t="s">
        <v>80</v>
      </c>
      <c r="Q38" s="24" t="s">
        <v>56</v>
      </c>
      <c r="R38" s="14" t="s">
        <v>41</v>
      </c>
      <c r="S38" s="25" t="s">
        <v>57</v>
      </c>
      <c r="T38" s="14" t="s">
        <v>58</v>
      </c>
      <c r="U38" s="24" t="s">
        <v>59</v>
      </c>
      <c r="V38" s="24" t="s">
        <v>60</v>
      </c>
      <c r="W38" s="24" t="s">
        <v>62</v>
      </c>
      <c r="X38" s="24" t="s">
        <v>61</v>
      </c>
      <c r="Y38" s="24" t="s">
        <v>64</v>
      </c>
      <c r="Z38" s="14" t="s">
        <v>63</v>
      </c>
      <c r="AA38" s="24" t="s">
        <v>65</v>
      </c>
    </row>
    <row r="39" spans="1:27" s="16" customFormat="1" x14ac:dyDescent="0.3">
      <c r="A39" s="16" t="s">
        <v>14</v>
      </c>
      <c r="B39" s="16" t="s">
        <v>32</v>
      </c>
      <c r="C39" s="16">
        <f>PI()*E11*0.001*Q11/60</f>
        <v>0.99525655265724644</v>
      </c>
      <c r="D39" s="16">
        <f>$B$22*$B$23/C39/1000</f>
        <v>2.0095321097461532</v>
      </c>
      <c r="E39" s="16">
        <f>3/(3+C39)</f>
        <v>0.75089045233020113</v>
      </c>
      <c r="F39" s="20" t="s">
        <v>140</v>
      </c>
      <c r="G39" s="16">
        <v>105</v>
      </c>
      <c r="H39" s="16">
        <f>3*PI()*$C$5</f>
        <v>28.274333882308138</v>
      </c>
      <c r="I39" s="16">
        <f>K11</f>
        <v>22</v>
      </c>
      <c r="J39" s="16">
        <f>0.154-(0.912/I39)</f>
        <v>0.11254545454545453</v>
      </c>
      <c r="K39" s="16">
        <f>D39/COS(RADIANS($H$29))</f>
        <v>2.1384994042684813</v>
      </c>
      <c r="L39" s="16">
        <f>G39*E39*H39*PI()*$C$5*J39/1000</f>
        <v>2.3645981768234066</v>
      </c>
      <c r="M39" s="16">
        <f>C39/1000</f>
        <v>9.9525655265724649E-4</v>
      </c>
      <c r="N39" s="16">
        <v>5.0999999999999997E-2</v>
      </c>
      <c r="O39" s="16">
        <v>124</v>
      </c>
      <c r="P39" s="47"/>
      <c r="Q39" s="16">
        <f>228+(N39-0.04)*(342-228)/(0.06-0.04)</f>
        <v>290.7</v>
      </c>
      <c r="R39" s="16">
        <f>D39+21*C39*(H39*Q39/1000+D39)/(21*C39+SQRT(H39*Q39/1000+D39))/1000</f>
        <v>2.018403460586828</v>
      </c>
      <c r="S39" s="16">
        <v>84</v>
      </c>
      <c r="T39" s="16">
        <f t="shared" ref="T39:T49" si="1">S39*H39*0.001*PI()*$C$5*J39</f>
        <v>2.5192470294280254</v>
      </c>
      <c r="U39" s="16">
        <f>2*H11/(H11+1)</f>
        <v>1.5</v>
      </c>
      <c r="V39" s="16">
        <v>630</v>
      </c>
      <c r="W39" s="16">
        <f>O39</f>
        <v>124</v>
      </c>
      <c r="X39" s="16">
        <f>V39^2*SIN(RADIANS($C$4))/1.4*(2/W39/10^3)</f>
        <v>1.5639146876262433</v>
      </c>
      <c r="Y39" s="16">
        <f>Q11</f>
        <v>66</v>
      </c>
      <c r="Z39" s="16">
        <f t="shared" ref="Z39:Z48" si="2">Y39*H39*U39*X39/1000</f>
        <v>4.3776459580976139</v>
      </c>
      <c r="AA39" s="16" t="str">
        <f>IF(Z39&gt;=R39, "SAFE", "NOT SAFE")</f>
        <v>SAFE</v>
      </c>
    </row>
    <row r="40" spans="1:27" s="16" customFormat="1" x14ac:dyDescent="0.3">
      <c r="B40" s="16" t="s">
        <v>31</v>
      </c>
      <c r="C40" s="16">
        <f>PI()*0.001*R11*D11/60</f>
        <v>0.99525655265724666</v>
      </c>
      <c r="D40" s="16">
        <f t="shared" ref="D40:D49" si="3">$B$22*$B$23/C40/1000</f>
        <v>2.0095321097461527</v>
      </c>
      <c r="E40" s="16">
        <f t="shared" ref="E40:E49" si="4">3/(3+C40)</f>
        <v>0.75089045233020113</v>
      </c>
      <c r="F40" s="20" t="s">
        <v>140</v>
      </c>
      <c r="G40" s="16">
        <v>105</v>
      </c>
      <c r="H40" s="16">
        <f t="shared" ref="H40:H49" si="5">3*PI()*$C$5</f>
        <v>28.274333882308138</v>
      </c>
      <c r="I40" s="16">
        <f>O11</f>
        <v>66</v>
      </c>
      <c r="J40" s="16">
        <f t="shared" ref="J40:J49" si="6">0.154-(0.912/I40)</f>
        <v>0.14018181818181819</v>
      </c>
      <c r="K40" s="16">
        <f t="shared" ref="K40:K49" si="7">D40/COS(RADIANS($H$29))</f>
        <v>2.1384994042684808</v>
      </c>
      <c r="L40" s="16">
        <f t="shared" ref="L40:L49" si="8">G40*E40*H40*PI()*$C$5*J40/1000</f>
        <v>2.9452426402760046</v>
      </c>
      <c r="M40" s="16">
        <f t="shared" ref="M40:M49" si="9">C40/1000</f>
        <v>9.9525655265724671E-4</v>
      </c>
      <c r="N40" s="16">
        <v>5.0999999999999997E-2</v>
      </c>
      <c r="O40" s="16">
        <v>124</v>
      </c>
      <c r="P40" s="47"/>
      <c r="Q40" s="16">
        <f>Q39</f>
        <v>290.7</v>
      </c>
      <c r="R40" s="16">
        <f t="shared" ref="R40:R49" si="10">D40+21*C40*(H40*Q40/1000+D40)/(21*C40+SQRT(H40*Q40/1000+D40))/1000</f>
        <v>2.0184034605868275</v>
      </c>
      <c r="S40" s="16">
        <v>84</v>
      </c>
      <c r="T40" s="16">
        <f t="shared" si="1"/>
        <v>3.137866655394197</v>
      </c>
      <c r="U40" s="16">
        <f>U39</f>
        <v>1.5</v>
      </c>
      <c r="V40" s="16">
        <v>630</v>
      </c>
      <c r="W40" s="16">
        <f t="shared" ref="W40:W49" si="11">O40</f>
        <v>124</v>
      </c>
      <c r="X40" s="16">
        <f t="shared" ref="X40:X49" si="12">V40^2*SIN(RADIANS($C$4))/1.4*(2/W40/10^3)</f>
        <v>1.5639146876262433</v>
      </c>
      <c r="Y40" s="16">
        <f>R11</f>
        <v>198</v>
      </c>
      <c r="Z40" s="16">
        <f t="shared" si="2"/>
        <v>13.132937874292844</v>
      </c>
      <c r="AA40" s="16" t="str">
        <f t="shared" ref="AA40:AA48" si="13">IF(Z40&gt;=R40, "SAFE", "NOT SAFE")</f>
        <v>SAFE</v>
      </c>
    </row>
    <row r="41" spans="1:27" s="35" customFormat="1" x14ac:dyDescent="0.3">
      <c r="A41" s="35" t="s">
        <v>10</v>
      </c>
      <c r="B41" s="35" t="s">
        <v>32</v>
      </c>
      <c r="C41" s="35">
        <f>PI()*0.001*D$11*Q12/60</f>
        <v>0.48254863159139222</v>
      </c>
      <c r="D41" s="35">
        <f t="shared" si="3"/>
        <v>4.1446599763514413</v>
      </c>
      <c r="E41" s="35">
        <f t="shared" si="4"/>
        <v>0.86143807807476747</v>
      </c>
      <c r="F41" s="3" t="s">
        <v>79</v>
      </c>
      <c r="G41" s="35">
        <v>196</v>
      </c>
      <c r="H41" s="35">
        <f t="shared" si="5"/>
        <v>28.274333882308138</v>
      </c>
      <c r="I41" s="35">
        <f>K12</f>
        <v>32</v>
      </c>
      <c r="J41" s="35">
        <f t="shared" si="6"/>
        <v>0.1255</v>
      </c>
      <c r="K41" s="35">
        <f t="shared" si="7"/>
        <v>4.410655021303743</v>
      </c>
      <c r="L41" s="35">
        <f t="shared" si="8"/>
        <v>5.6466045227089099</v>
      </c>
      <c r="M41" s="35">
        <f t="shared" si="9"/>
        <v>4.8254863159139221E-4</v>
      </c>
      <c r="N41" s="35">
        <v>5.0999999999999997E-2</v>
      </c>
      <c r="O41" s="35">
        <v>200</v>
      </c>
      <c r="P41" s="44"/>
      <c r="Q41" s="35">
        <f>456+(N41-0.04)*(684-456)/(0.06-0.04)</f>
        <v>581.4</v>
      </c>
      <c r="R41" s="35">
        <f t="shared" si="10"/>
        <v>4.1588778404441049</v>
      </c>
      <c r="S41" s="35">
        <v>252</v>
      </c>
      <c r="T41" s="35">
        <f t="shared" si="1"/>
        <v>8.4276749372990061</v>
      </c>
      <c r="U41" s="35">
        <f>2*H12/(H12+1)</f>
        <v>1.2727272727272727</v>
      </c>
      <c r="V41" s="35">
        <v>721</v>
      </c>
      <c r="W41" s="35">
        <f t="shared" si="11"/>
        <v>200</v>
      </c>
      <c r="X41" s="35">
        <f t="shared" si="12"/>
        <v>1.2699720951897069</v>
      </c>
      <c r="Y41" s="35">
        <f>Q12</f>
        <v>96</v>
      </c>
      <c r="Z41" s="35">
        <f t="shared" si="2"/>
        <v>4.3872576922343089</v>
      </c>
      <c r="AA41" s="35" t="str">
        <f t="shared" si="13"/>
        <v>SAFE</v>
      </c>
    </row>
    <row r="42" spans="1:27" s="35" customFormat="1" x14ac:dyDescent="0.3">
      <c r="B42" s="35" t="s">
        <v>31</v>
      </c>
      <c r="C42" s="35">
        <f>PI()*0.001*R12*D12/60</f>
        <v>0.46881126373133403</v>
      </c>
      <c r="D42" s="35">
        <f t="shared" si="3"/>
        <v>4.2661091034411633</v>
      </c>
      <c r="E42" s="35">
        <f t="shared" si="4"/>
        <v>0.86484959022329655</v>
      </c>
      <c r="F42" s="3" t="s">
        <v>79</v>
      </c>
      <c r="G42" s="35">
        <v>196</v>
      </c>
      <c r="H42" s="35">
        <f t="shared" si="5"/>
        <v>28.274333882308138</v>
      </c>
      <c r="I42" s="35">
        <f>O12</f>
        <v>56</v>
      </c>
      <c r="J42" s="35">
        <f t="shared" si="6"/>
        <v>0.13771428571428571</v>
      </c>
      <c r="K42" s="35">
        <f t="shared" si="7"/>
        <v>4.5398984828392273</v>
      </c>
      <c r="L42" s="35">
        <f t="shared" si="8"/>
        <v>6.220698585462678</v>
      </c>
      <c r="M42" s="35">
        <f t="shared" si="9"/>
        <v>4.6881126373133405E-4</v>
      </c>
      <c r="N42" s="35">
        <v>5.0999999999999997E-2</v>
      </c>
      <c r="O42" s="35">
        <v>200</v>
      </c>
      <c r="P42" s="44"/>
      <c r="Q42" s="35">
        <f>Q41</f>
        <v>581.4</v>
      </c>
      <c r="R42" s="35">
        <f t="shared" si="10"/>
        <v>4.2802692613322328</v>
      </c>
      <c r="S42" s="35">
        <v>252</v>
      </c>
      <c r="T42" s="35">
        <f t="shared" si="1"/>
        <v>9.2478982806559369</v>
      </c>
      <c r="U42" s="35">
        <f>U41</f>
        <v>1.2727272727272727</v>
      </c>
      <c r="V42" s="35">
        <v>721</v>
      </c>
      <c r="W42" s="35">
        <f t="shared" si="11"/>
        <v>200</v>
      </c>
      <c r="X42" s="35">
        <f t="shared" si="12"/>
        <v>1.2699720951897069</v>
      </c>
      <c r="Y42" s="35">
        <f>R12</f>
        <v>168</v>
      </c>
      <c r="Z42" s="35">
        <f t="shared" si="2"/>
        <v>7.677700961410042</v>
      </c>
      <c r="AA42" s="35" t="str">
        <f t="shared" si="13"/>
        <v>SAFE</v>
      </c>
    </row>
    <row r="43" spans="1:27" s="21" customFormat="1" x14ac:dyDescent="0.3">
      <c r="A43" s="21" t="s">
        <v>11</v>
      </c>
      <c r="B43" s="21" t="s">
        <v>32</v>
      </c>
      <c r="C43" s="21">
        <f>PI()*0.001*D$11*Q13/60</f>
        <v>0.43730969737969916</v>
      </c>
      <c r="D43" s="21">
        <f t="shared" si="3"/>
        <v>4.5734179049395216</v>
      </c>
      <c r="E43" s="21">
        <f t="shared" si="4"/>
        <v>0.87277559024923901</v>
      </c>
      <c r="F43" s="22" t="s">
        <v>79</v>
      </c>
      <c r="G43" s="35">
        <v>196</v>
      </c>
      <c r="H43" s="21">
        <f t="shared" si="5"/>
        <v>28.274333882308138</v>
      </c>
      <c r="I43" s="21">
        <f>K13</f>
        <v>29</v>
      </c>
      <c r="J43" s="21">
        <f t="shared" si="6"/>
        <v>0.12255172413793103</v>
      </c>
      <c r="K43" s="21">
        <f t="shared" si="7"/>
        <v>4.8669296786799929</v>
      </c>
      <c r="L43" s="21">
        <f t="shared" si="8"/>
        <v>5.5865230871661602</v>
      </c>
      <c r="M43" s="21">
        <f t="shared" si="9"/>
        <v>4.3730969737969916E-4</v>
      </c>
      <c r="N43" s="21">
        <v>5.0999999999999997E-2</v>
      </c>
      <c r="O43" s="21">
        <v>200</v>
      </c>
      <c r="Q43" s="21">
        <f t="shared" ref="Q43:Q49" si="14">Q42</f>
        <v>581.4</v>
      </c>
      <c r="R43" s="21">
        <f t="shared" si="10"/>
        <v>4.5874339737247265</v>
      </c>
      <c r="S43" s="21">
        <v>252</v>
      </c>
      <c r="T43" s="21">
        <f t="shared" si="1"/>
        <v>8.2296899923507798</v>
      </c>
      <c r="U43" s="21">
        <f>2*H13/(H13+1)</f>
        <v>1.3409090909090908</v>
      </c>
      <c r="V43" s="21">
        <v>770</v>
      </c>
      <c r="W43" s="21">
        <f t="shared" si="11"/>
        <v>200</v>
      </c>
      <c r="X43" s="21">
        <f t="shared" si="12"/>
        <v>1.4484553069842072</v>
      </c>
      <c r="Y43" s="21">
        <f>Q13</f>
        <v>87</v>
      </c>
      <c r="Z43" s="21">
        <f t="shared" si="2"/>
        <v>4.777669120647233</v>
      </c>
      <c r="AA43" s="21" t="str">
        <f t="shared" si="13"/>
        <v>SAFE</v>
      </c>
    </row>
    <row r="44" spans="1:27" s="21" customFormat="1" x14ac:dyDescent="0.3">
      <c r="B44" s="21" t="s">
        <v>31</v>
      </c>
      <c r="C44" s="21">
        <f>PI()*0.001*R13*D13/60</f>
        <v>0.43177650448671112</v>
      </c>
      <c r="D44" s="21">
        <f t="shared" si="3"/>
        <v>4.6320260116459266</v>
      </c>
      <c r="E44" s="21">
        <f t="shared" si="4"/>
        <v>0.87418280184557307</v>
      </c>
      <c r="F44" s="22" t="s">
        <v>79</v>
      </c>
      <c r="G44" s="35">
        <v>196</v>
      </c>
      <c r="H44" s="21">
        <f t="shared" si="5"/>
        <v>28.274333882308138</v>
      </c>
      <c r="I44" s="21">
        <f>O13</f>
        <v>59</v>
      </c>
      <c r="J44" s="21">
        <f t="shared" si="6"/>
        <v>0.13854237288135593</v>
      </c>
      <c r="K44" s="21">
        <f t="shared" si="7"/>
        <v>4.9292991231238457</v>
      </c>
      <c r="L44" s="21">
        <f t="shared" si="8"/>
        <v>6.325639836517909</v>
      </c>
      <c r="M44" s="21">
        <f t="shared" si="9"/>
        <v>4.3177650448671112E-4</v>
      </c>
      <c r="N44" s="21">
        <v>5.0999999999999997E-2</v>
      </c>
      <c r="O44" s="21">
        <v>200</v>
      </c>
      <c r="Q44" s="21">
        <f t="shared" si="14"/>
        <v>581.4</v>
      </c>
      <c r="R44" s="21">
        <f t="shared" si="10"/>
        <v>4.646014912962273</v>
      </c>
      <c r="S44" s="21">
        <v>252</v>
      </c>
      <c r="T44" s="21">
        <f t="shared" si="1"/>
        <v>9.3035066429174247</v>
      </c>
      <c r="U44" s="21">
        <f>U43</f>
        <v>1.3409090909090908</v>
      </c>
      <c r="V44" s="21">
        <v>721</v>
      </c>
      <c r="W44" s="21">
        <f t="shared" si="11"/>
        <v>200</v>
      </c>
      <c r="X44" s="21">
        <f t="shared" si="12"/>
        <v>1.2699720951897069</v>
      </c>
      <c r="Y44" s="21">
        <f>R13</f>
        <v>177</v>
      </c>
      <c r="Z44" s="21">
        <f t="shared" si="2"/>
        <v>8.5223459970243471</v>
      </c>
      <c r="AA44" s="21" t="str">
        <f t="shared" si="13"/>
        <v>SAFE</v>
      </c>
    </row>
    <row r="45" spans="1:27" s="34" customFormat="1" x14ac:dyDescent="0.3">
      <c r="A45" s="34" t="s">
        <v>12</v>
      </c>
      <c r="B45" s="34" t="s">
        <v>32</v>
      </c>
      <c r="C45" s="34">
        <f>PI()*0.001*D$11*Q14/60</f>
        <v>0.36191147369354415</v>
      </c>
      <c r="D45" s="34">
        <f t="shared" si="3"/>
        <v>5.5262133018019224</v>
      </c>
      <c r="E45" s="34">
        <f t="shared" si="4"/>
        <v>0.89234949327921109</v>
      </c>
      <c r="F45" s="23" t="s">
        <v>79</v>
      </c>
      <c r="G45" s="35">
        <v>233</v>
      </c>
      <c r="H45" s="34">
        <f t="shared" si="5"/>
        <v>28.274333882308138</v>
      </c>
      <c r="I45" s="34">
        <f>K14</f>
        <v>24</v>
      </c>
      <c r="J45" s="34">
        <f t="shared" si="6"/>
        <v>0.11599999999999999</v>
      </c>
      <c r="K45" s="34">
        <f t="shared" si="7"/>
        <v>5.8808733617383249</v>
      </c>
      <c r="L45" s="34">
        <f t="shared" si="8"/>
        <v>6.4270606936075758</v>
      </c>
      <c r="M45" s="34">
        <f t="shared" si="9"/>
        <v>3.6191147369354416E-4</v>
      </c>
      <c r="N45" s="34">
        <v>5.0999999999999997E-2</v>
      </c>
      <c r="O45" s="34">
        <v>200</v>
      </c>
      <c r="P45" s="42"/>
      <c r="Q45" s="34">
        <f t="shared" si="14"/>
        <v>581.4</v>
      </c>
      <c r="R45" s="34">
        <f t="shared" si="10"/>
        <v>5.539799932959415</v>
      </c>
      <c r="S45" s="34">
        <v>252</v>
      </c>
      <c r="T45" s="34">
        <f t="shared" si="1"/>
        <v>7.7897234480213911</v>
      </c>
      <c r="U45" s="34">
        <f>2*H14/(H14+1)</f>
        <v>1.4545454545454546</v>
      </c>
      <c r="V45" s="34">
        <v>910</v>
      </c>
      <c r="W45" s="34">
        <f t="shared" si="11"/>
        <v>200</v>
      </c>
      <c r="X45" s="34">
        <f t="shared" si="12"/>
        <v>2.0230491477713306</v>
      </c>
      <c r="Y45" s="34">
        <f>Q14</f>
        <v>72</v>
      </c>
      <c r="Z45" s="34">
        <f t="shared" si="2"/>
        <v>5.9904384416541072</v>
      </c>
      <c r="AA45" s="34" t="str">
        <f t="shared" si="13"/>
        <v>SAFE</v>
      </c>
    </row>
    <row r="46" spans="1:27" s="34" customFormat="1" x14ac:dyDescent="0.3">
      <c r="B46" s="34" t="s">
        <v>31</v>
      </c>
      <c r="C46" s="34">
        <f>PI()*0.001*R14*D14/60</f>
        <v>0.35185837720205687</v>
      </c>
      <c r="D46" s="34">
        <f>$B$22*$B$23/C46/1000</f>
        <v>5.6841051104248326</v>
      </c>
      <c r="E46" s="34">
        <f t="shared" si="4"/>
        <v>0.895025881882346</v>
      </c>
      <c r="F46" s="23" t="s">
        <v>79</v>
      </c>
      <c r="G46" s="35">
        <v>196</v>
      </c>
      <c r="H46" s="34">
        <f t="shared" si="5"/>
        <v>28.274333882308138</v>
      </c>
      <c r="I46" s="34">
        <f>O14</f>
        <v>64</v>
      </c>
      <c r="J46" s="34">
        <f t="shared" si="6"/>
        <v>0.13974999999999999</v>
      </c>
      <c r="K46" s="34">
        <f t="shared" si="7"/>
        <v>6.0488983149308471</v>
      </c>
      <c r="L46" s="34">
        <f t="shared" si="8"/>
        <v>6.5329147600943829</v>
      </c>
      <c r="M46" s="34">
        <f t="shared" si="9"/>
        <v>3.5185837720205689E-4</v>
      </c>
      <c r="N46" s="34">
        <v>5.0999999999999997E-2</v>
      </c>
      <c r="O46" s="34">
        <v>200</v>
      </c>
      <c r="P46" s="42"/>
      <c r="Q46" s="34">
        <f t="shared" si="14"/>
        <v>581.4</v>
      </c>
      <c r="R46" s="34">
        <f t="shared" si="10"/>
        <v>5.6976230571186353</v>
      </c>
      <c r="S46" s="34">
        <v>252</v>
      </c>
      <c r="T46" s="34">
        <f t="shared" si="1"/>
        <v>9.3846021712154251</v>
      </c>
      <c r="U46" s="34">
        <f>U45</f>
        <v>1.4545454545454546</v>
      </c>
      <c r="V46" s="34">
        <v>721</v>
      </c>
      <c r="W46" s="34">
        <f t="shared" si="11"/>
        <v>200</v>
      </c>
      <c r="X46" s="34">
        <f t="shared" si="12"/>
        <v>1.2699720951897069</v>
      </c>
      <c r="Y46" s="34">
        <f>R14</f>
        <v>192</v>
      </c>
      <c r="Z46" s="34">
        <f t="shared" si="2"/>
        <v>10.02801758224985</v>
      </c>
      <c r="AA46" s="34" t="str">
        <f t="shared" si="13"/>
        <v>SAFE</v>
      </c>
    </row>
    <row r="47" spans="1:27" s="36" customFormat="1" x14ac:dyDescent="0.3">
      <c r="A47" s="85" t="s">
        <v>69</v>
      </c>
      <c r="B47" s="36" t="s">
        <v>70</v>
      </c>
      <c r="C47" s="36">
        <f>PI()*M17*0.001*C17/60</f>
        <v>0.42223005264246821</v>
      </c>
      <c r="D47" s="36">
        <f t="shared" si="3"/>
        <v>4.7367542586873617</v>
      </c>
      <c r="E47" s="36">
        <f t="shared" si="4"/>
        <v>0.87662137081741653</v>
      </c>
      <c r="F47" s="37" t="s">
        <v>79</v>
      </c>
      <c r="G47" s="36">
        <v>196</v>
      </c>
      <c r="H47" s="36">
        <f t="shared" si="5"/>
        <v>28.274333882308138</v>
      </c>
      <c r="I47" s="36">
        <f>K17</f>
        <v>28</v>
      </c>
      <c r="J47" s="36">
        <f t="shared" si="6"/>
        <v>0.12142857142857143</v>
      </c>
      <c r="K47" s="36">
        <f t="shared" si="7"/>
        <v>5.0407485957757068</v>
      </c>
      <c r="L47" s="36">
        <f t="shared" si="8"/>
        <v>5.5597148852482006</v>
      </c>
      <c r="M47" s="36">
        <f t="shared" si="9"/>
        <v>4.2223005264246819E-4</v>
      </c>
      <c r="N47" s="36">
        <v>5.0999999999999997E-2</v>
      </c>
      <c r="O47" s="36">
        <v>200</v>
      </c>
      <c r="Q47" s="36">
        <f t="shared" si="14"/>
        <v>581.4</v>
      </c>
      <c r="R47" s="36">
        <f t="shared" si="10"/>
        <v>4.7506948617107509</v>
      </c>
      <c r="S47" s="36">
        <v>252</v>
      </c>
      <c r="T47" s="36">
        <f t="shared" si="1"/>
        <v>8.154267156180028</v>
      </c>
      <c r="U47" s="36">
        <f>2*H18/(H18+1)</f>
        <v>1</v>
      </c>
      <c r="V47" s="36">
        <v>910</v>
      </c>
      <c r="W47" s="36">
        <v>200</v>
      </c>
      <c r="X47" s="36">
        <f t="shared" si="12"/>
        <v>2.0230491477713306</v>
      </c>
      <c r="Y47" s="36">
        <f>M17</f>
        <v>84</v>
      </c>
      <c r="Z47" s="36">
        <f t="shared" si="2"/>
        <v>4.8048308334100653</v>
      </c>
      <c r="AA47" s="36" t="str">
        <f t="shared" si="13"/>
        <v>SAFE</v>
      </c>
    </row>
    <row r="48" spans="1:27" s="36" customFormat="1" x14ac:dyDescent="0.3">
      <c r="A48" s="85"/>
      <c r="B48" s="36" t="s">
        <v>75</v>
      </c>
      <c r="C48" s="36">
        <f>PI()*M18*0.001*C18/60</f>
        <v>0.42223005264246821</v>
      </c>
      <c r="D48" s="36">
        <f t="shared" si="3"/>
        <v>4.7367542586873617</v>
      </c>
      <c r="E48" s="36">
        <f t="shared" si="4"/>
        <v>0.87662137081741653</v>
      </c>
      <c r="F48" s="37" t="s">
        <v>79</v>
      </c>
      <c r="G48" s="36">
        <v>196</v>
      </c>
      <c r="H48" s="36">
        <f t="shared" si="5"/>
        <v>28.274333882308138</v>
      </c>
      <c r="I48" s="36">
        <f>K18</f>
        <v>28</v>
      </c>
      <c r="J48" s="36">
        <f t="shared" si="6"/>
        <v>0.12142857142857143</v>
      </c>
      <c r="K48" s="36">
        <f t="shared" si="7"/>
        <v>5.0407485957757068</v>
      </c>
      <c r="L48" s="36">
        <f t="shared" si="8"/>
        <v>5.5597148852482006</v>
      </c>
      <c r="M48" s="36">
        <f t="shared" si="9"/>
        <v>4.2223005264246819E-4</v>
      </c>
      <c r="N48" s="36">
        <v>5.0999999999999997E-2</v>
      </c>
      <c r="O48" s="36">
        <v>200</v>
      </c>
      <c r="Q48" s="36">
        <f t="shared" si="14"/>
        <v>581.4</v>
      </c>
      <c r="R48" s="36">
        <f t="shared" si="10"/>
        <v>4.7506948617107509</v>
      </c>
      <c r="S48" s="36">
        <v>252</v>
      </c>
      <c r="T48" s="36">
        <f t="shared" si="1"/>
        <v>8.154267156180028</v>
      </c>
      <c r="U48" s="36">
        <f>2*H19/(H19+1)</f>
        <v>1.308641975308642</v>
      </c>
      <c r="V48" s="36">
        <v>910</v>
      </c>
      <c r="W48" s="36">
        <f t="shared" si="11"/>
        <v>200</v>
      </c>
      <c r="X48" s="36">
        <f t="shared" si="12"/>
        <v>2.0230491477713306</v>
      </c>
      <c r="Y48" s="36">
        <f>M18</f>
        <v>84</v>
      </c>
      <c r="Z48" s="36">
        <f t="shared" si="2"/>
        <v>6.2878033128576165</v>
      </c>
      <c r="AA48" s="36" t="str">
        <f t="shared" si="13"/>
        <v>SAFE</v>
      </c>
    </row>
    <row r="49" spans="1:27" s="36" customFormat="1" x14ac:dyDescent="0.3">
      <c r="A49" s="85"/>
      <c r="B49" s="36" t="s">
        <v>67</v>
      </c>
      <c r="C49" s="36">
        <f>PI()*M19*0.001*C19/60</f>
        <v>0.41626102660064757</v>
      </c>
      <c r="D49" s="36">
        <f t="shared" si="3"/>
        <v>4.8046775273025011</v>
      </c>
      <c r="E49" s="36">
        <f t="shared" si="4"/>
        <v>0.87815303826041413</v>
      </c>
      <c r="F49" s="37" t="s">
        <v>79</v>
      </c>
      <c r="G49" s="36">
        <v>196</v>
      </c>
      <c r="H49" s="36">
        <f t="shared" si="5"/>
        <v>28.274333882308138</v>
      </c>
      <c r="I49" s="36">
        <f>K19</f>
        <v>53</v>
      </c>
      <c r="J49" s="36">
        <f t="shared" si="6"/>
        <v>0.13679245283018868</v>
      </c>
      <c r="K49" s="36">
        <f t="shared" si="7"/>
        <v>5.113031028469849</v>
      </c>
      <c r="L49" s="36">
        <f t="shared" si="8"/>
        <v>6.2741070743735081</v>
      </c>
      <c r="M49" s="36">
        <f t="shared" si="9"/>
        <v>4.1626102660064759E-4</v>
      </c>
      <c r="N49" s="36">
        <v>5.0999999999999997E-2</v>
      </c>
      <c r="O49" s="36">
        <v>200</v>
      </c>
      <c r="Q49" s="36">
        <f t="shared" si="14"/>
        <v>581.4</v>
      </c>
      <c r="R49" s="36">
        <f t="shared" si="10"/>
        <v>4.8185869751646226</v>
      </c>
      <c r="S49" s="36">
        <v>252</v>
      </c>
      <c r="T49" s="36">
        <f t="shared" si="1"/>
        <v>9.185994632100698</v>
      </c>
      <c r="U49" s="36" t="s">
        <v>118</v>
      </c>
      <c r="V49" s="36">
        <v>721</v>
      </c>
      <c r="W49" s="36">
        <f t="shared" si="11"/>
        <v>200</v>
      </c>
      <c r="X49" s="36">
        <f t="shared" si="12"/>
        <v>1.2699720951897069</v>
      </c>
      <c r="Y49" s="36">
        <f>M19</f>
        <v>159</v>
      </c>
      <c r="Z49" s="36" t="s">
        <v>118</v>
      </c>
      <c r="AA49" s="36" t="s">
        <v>118</v>
      </c>
    </row>
    <row r="50" spans="1:27" x14ac:dyDescent="0.3">
      <c r="M50" s="18"/>
      <c r="N50" s="18"/>
      <c r="O50" s="18"/>
      <c r="P50" s="18"/>
      <c r="Q50" s="18"/>
    </row>
    <row r="51" spans="1:27" x14ac:dyDescent="0.3">
      <c r="M51" s="18"/>
      <c r="N51" s="18"/>
      <c r="O51" s="18"/>
      <c r="P51" s="18"/>
      <c r="Q51" s="18"/>
    </row>
    <row r="52" spans="1:27" x14ac:dyDescent="0.3">
      <c r="M52" s="18"/>
      <c r="N52" s="18"/>
      <c r="O52" s="18"/>
      <c r="P52" s="18"/>
      <c r="Q52" s="18"/>
    </row>
    <row r="53" spans="1:27" x14ac:dyDescent="0.3">
      <c r="M53" s="18"/>
      <c r="N53" s="18"/>
      <c r="O53" s="18"/>
      <c r="P53" s="18"/>
      <c r="Q53" s="18"/>
    </row>
    <row r="54" spans="1:27" x14ac:dyDescent="0.3">
      <c r="M54" s="18"/>
      <c r="N54" s="18"/>
      <c r="O54" s="18"/>
      <c r="P54" s="18"/>
      <c r="Q54" s="18"/>
    </row>
    <row r="55" spans="1:27" x14ac:dyDescent="0.3">
      <c r="C55" s="19">
        <v>196</v>
      </c>
      <c r="F55" s="1" t="str">
        <f>IF(L39&gt;=D39,"SAFE","NOT SAFE")</f>
        <v>SAFE</v>
      </c>
      <c r="M55" s="18"/>
      <c r="N55" s="18"/>
      <c r="O55" s="18"/>
      <c r="P55" s="18"/>
      <c r="Q55" s="18"/>
    </row>
    <row r="56" spans="1:27" x14ac:dyDescent="0.3">
      <c r="C56" s="19">
        <v>230</v>
      </c>
      <c r="F56" s="1" t="str">
        <f t="shared" ref="F56:F65" si="15">IF(L40&gt;=D40,"SAFE","NOT SAFE")</f>
        <v>SAFE</v>
      </c>
      <c r="I56" s="27"/>
      <c r="M56" s="18"/>
      <c r="N56" s="18"/>
      <c r="O56" s="18"/>
      <c r="P56" s="18">
        <f>21*C39*(H39*Q39/1000+D39)/(21*C39+SQRT(H39*Q39/1000+D39))/1000</f>
        <v>8.8713508406746463E-3</v>
      </c>
      <c r="Q56" s="18"/>
    </row>
    <row r="57" spans="1:27" ht="57.6" x14ac:dyDescent="0.3">
      <c r="C57" s="19">
        <v>105</v>
      </c>
      <c r="F57" s="1" t="str">
        <f t="shared" si="15"/>
        <v>SAFE</v>
      </c>
      <c r="H57" s="38" t="s">
        <v>111</v>
      </c>
      <c r="I57" s="1" t="s">
        <v>109</v>
      </c>
      <c r="J57" s="8" t="s">
        <v>101</v>
      </c>
      <c r="K57" s="8" t="s">
        <v>100</v>
      </c>
      <c r="L57" s="1" t="s">
        <v>106</v>
      </c>
      <c r="M57" s="18">
        <f>717/3</f>
        <v>239</v>
      </c>
      <c r="N57" s="18"/>
      <c r="O57" s="18"/>
      <c r="P57" s="18"/>
      <c r="Q57" s="18"/>
    </row>
    <row r="58" spans="1:27" ht="25.8" customHeight="1" x14ac:dyDescent="0.3">
      <c r="D58" s="1">
        <v>112</v>
      </c>
      <c r="F58" s="1" t="str">
        <f t="shared" si="15"/>
        <v>SAFE</v>
      </c>
      <c r="H58" s="1" t="s">
        <v>110</v>
      </c>
      <c r="I58" s="1" t="s">
        <v>109</v>
      </c>
      <c r="J58" s="5" t="s">
        <v>102</v>
      </c>
      <c r="K58" s="5" t="s">
        <v>103</v>
      </c>
      <c r="L58" s="1" t="s">
        <v>107</v>
      </c>
      <c r="M58" s="18">
        <f>590/3</f>
        <v>196.66666666666666</v>
      </c>
      <c r="N58" s="18"/>
      <c r="O58" s="18"/>
      <c r="P58" s="18"/>
      <c r="Q58" s="18"/>
    </row>
    <row r="59" spans="1:27" x14ac:dyDescent="0.3">
      <c r="D59" s="1">
        <v>90</v>
      </c>
      <c r="F59" s="1" t="str">
        <f t="shared" si="15"/>
        <v>SAFE</v>
      </c>
      <c r="J59" s="21"/>
      <c r="K59" s="21"/>
      <c r="R59" s="1" t="s">
        <v>43</v>
      </c>
      <c r="S59" s="1" t="s">
        <v>44</v>
      </c>
      <c r="T59" s="1" t="s">
        <v>45</v>
      </c>
      <c r="U59" s="1" t="s">
        <v>46</v>
      </c>
    </row>
    <row r="60" spans="1:27" x14ac:dyDescent="0.3">
      <c r="A60" s="1" t="s">
        <v>77</v>
      </c>
      <c r="D60" s="1">
        <v>180</v>
      </c>
      <c r="F60" s="1" t="str">
        <f t="shared" si="15"/>
        <v>SAFE</v>
      </c>
      <c r="J60" s="28"/>
      <c r="K60" s="28"/>
      <c r="R60" s="1">
        <f>(T60*S60)/((1/U60)+(1/U61))*1000</f>
        <v>353.8125</v>
      </c>
      <c r="S60" s="1">
        <v>5.0999999999999997E-2</v>
      </c>
      <c r="T60" s="1">
        <v>0.111</v>
      </c>
      <c r="U60" s="1">
        <v>125</v>
      </c>
    </row>
    <row r="61" spans="1:27" ht="100.8" x14ac:dyDescent="0.25">
      <c r="D61" s="1">
        <v>169</v>
      </c>
      <c r="F61" s="1" t="str">
        <f t="shared" si="15"/>
        <v>SAFE</v>
      </c>
      <c r="H61" s="1" t="s">
        <v>108</v>
      </c>
      <c r="I61" s="1" t="s">
        <v>112</v>
      </c>
      <c r="J61" s="16" t="s">
        <v>104</v>
      </c>
      <c r="K61" s="16" t="s">
        <v>105</v>
      </c>
      <c r="L61" s="29" t="s">
        <v>113</v>
      </c>
      <c r="M61" s="29">
        <f>362/3</f>
        <v>120.66666666666667</v>
      </c>
      <c r="N61" s="29"/>
      <c r="O61" s="29"/>
      <c r="P61" s="29"/>
      <c r="Q61" s="29"/>
      <c r="R61" s="1">
        <f>R60</f>
        <v>353.8125</v>
      </c>
      <c r="S61" s="1">
        <v>5.0999999999999997E-2</v>
      </c>
      <c r="T61" s="1">
        <v>0.111</v>
      </c>
      <c r="U61" s="1">
        <v>125</v>
      </c>
    </row>
    <row r="62" spans="1:27" x14ac:dyDescent="0.3">
      <c r="A62" s="1" t="s">
        <v>76</v>
      </c>
      <c r="B62" s="1" t="s">
        <v>78</v>
      </c>
      <c r="D62" s="1">
        <v>201</v>
      </c>
      <c r="F62" s="1" t="str">
        <f t="shared" si="15"/>
        <v>SAFE</v>
      </c>
      <c r="R62" s="1">
        <f>(T60*S60)/((1/U62)+(1/U63))*1000</f>
        <v>566.09999999999991</v>
      </c>
      <c r="S62" s="1">
        <v>5.0999999999999997E-2</v>
      </c>
      <c r="T62" s="1">
        <v>0.111</v>
      </c>
      <c r="U62" s="1">
        <v>200</v>
      </c>
    </row>
    <row r="63" spans="1:27" x14ac:dyDescent="0.3">
      <c r="D63" s="1">
        <v>180</v>
      </c>
      <c r="F63" s="1" t="str">
        <f t="shared" si="15"/>
        <v>SAFE</v>
      </c>
      <c r="R63" s="1">
        <f>R62</f>
        <v>566.09999999999991</v>
      </c>
      <c r="S63" s="1">
        <v>5.0999999999999997E-2</v>
      </c>
      <c r="T63" s="1">
        <v>0.111</v>
      </c>
      <c r="U63" s="1">
        <v>200</v>
      </c>
    </row>
    <row r="64" spans="1:27" x14ac:dyDescent="0.3">
      <c r="D64" s="1">
        <v>251</v>
      </c>
      <c r="F64" s="1" t="str">
        <f t="shared" si="15"/>
        <v>SAFE</v>
      </c>
      <c r="R64" s="1">
        <f>(T60*S60)/((1/U64)+(1/U65))*1000</f>
        <v>566.09999999999991</v>
      </c>
      <c r="S64" s="1">
        <v>5.0999999999999997E-2</v>
      </c>
      <c r="T64" s="1">
        <v>0.111</v>
      </c>
      <c r="U64" s="1">
        <v>200</v>
      </c>
    </row>
    <row r="65" spans="4:21" x14ac:dyDescent="0.3">
      <c r="D65" s="1">
        <v>214</v>
      </c>
      <c r="F65" s="1" t="str">
        <f t="shared" si="15"/>
        <v>SAFE</v>
      </c>
      <c r="R65" s="1">
        <f>R64</f>
        <v>566.09999999999991</v>
      </c>
      <c r="S65" s="1">
        <v>5.0999999999999997E-2</v>
      </c>
      <c r="T65" s="1">
        <v>0.111</v>
      </c>
      <c r="U65" s="1">
        <v>200</v>
      </c>
    </row>
    <row r="66" spans="4:21" x14ac:dyDescent="0.3">
      <c r="D66" s="1">
        <v>201</v>
      </c>
      <c r="R66" s="1">
        <f>(T60*S60)/((1/U66)+(1/U67))*1000</f>
        <v>566.09999999999991</v>
      </c>
      <c r="S66" s="1">
        <v>5.0999999999999997E-2</v>
      </c>
      <c r="T66" s="1">
        <v>0.111</v>
      </c>
      <c r="U66" s="1">
        <v>200</v>
      </c>
    </row>
    <row r="67" spans="4:21" x14ac:dyDescent="0.3">
      <c r="D67" s="1">
        <v>181</v>
      </c>
      <c r="R67" s="1">
        <f>R66</f>
        <v>566.09999999999991</v>
      </c>
      <c r="S67" s="1">
        <v>5.0999999999999997E-2</v>
      </c>
      <c r="T67" s="1">
        <v>0.111</v>
      </c>
      <c r="U67" s="1">
        <v>200</v>
      </c>
    </row>
    <row r="68" spans="4:21" x14ac:dyDescent="0.3">
      <c r="D68" s="1">
        <v>178</v>
      </c>
      <c r="R68" s="1">
        <f>R67</f>
        <v>566.09999999999991</v>
      </c>
      <c r="S68" s="1">
        <v>5.0999999999999997E-2</v>
      </c>
      <c r="T68" s="1">
        <v>0.111</v>
      </c>
      <c r="U68" s="1">
        <v>200</v>
      </c>
    </row>
    <row r="69" spans="4:21" x14ac:dyDescent="0.3">
      <c r="R69" s="1">
        <f>R68</f>
        <v>566.09999999999991</v>
      </c>
      <c r="S69" s="1">
        <v>5.0999999999999997E-2</v>
      </c>
      <c r="T69" s="1">
        <v>0.111</v>
      </c>
      <c r="U69" s="1">
        <v>200</v>
      </c>
    </row>
    <row r="70" spans="4:21" x14ac:dyDescent="0.3">
      <c r="R70" s="1">
        <f>R69</f>
        <v>566.09999999999991</v>
      </c>
      <c r="S70" s="1">
        <v>5.0999999999999997E-2</v>
      </c>
      <c r="T70" s="1">
        <v>0.111</v>
      </c>
      <c r="U70" s="1">
        <v>200</v>
      </c>
    </row>
  </sheetData>
  <mergeCells count="7">
    <mergeCell ref="Q9:R9"/>
    <mergeCell ref="A17:A19"/>
    <mergeCell ref="A47:A49"/>
    <mergeCell ref="A6:A7"/>
    <mergeCell ref="I9:K9"/>
    <mergeCell ref="B9:C9"/>
    <mergeCell ref="L9:O9"/>
  </mergeCells>
  <hyperlinks>
    <hyperlink ref="H57" r:id="rId1" xr:uid="{F75F2975-CB24-4492-8BC8-17BF9C7EF337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BB297C-C683-49DC-A399-C80549A2A7CF}">
  <dimension ref="A2:AQ92"/>
  <sheetViews>
    <sheetView topLeftCell="A27" zoomScale="72" zoomScaleNormal="72" workbookViewId="0">
      <selection activeCell="V8" sqref="V8"/>
    </sheetView>
  </sheetViews>
  <sheetFormatPr defaultRowHeight="14.4" x14ac:dyDescent="0.3"/>
  <cols>
    <col min="1" max="1" width="8.88671875" style="1"/>
    <col min="2" max="2" width="16" style="1" customWidth="1"/>
    <col min="3" max="3" width="16.6640625" style="1" customWidth="1"/>
    <col min="4" max="4" width="19.109375" style="1" customWidth="1"/>
    <col min="5" max="5" width="16.88671875" style="1" customWidth="1"/>
    <col min="6" max="6" width="13.5546875" style="1" customWidth="1"/>
    <col min="7" max="7" width="11.21875" style="1" customWidth="1"/>
    <col min="8" max="8" width="11.77734375" style="1" customWidth="1"/>
    <col min="9" max="9" width="10.5546875" style="1" customWidth="1"/>
    <col min="10" max="10" width="9.77734375" style="1" customWidth="1"/>
    <col min="11" max="11" width="17.21875" style="1" customWidth="1"/>
    <col min="12" max="12" width="13.21875" style="1" customWidth="1"/>
    <col min="13" max="13" width="12.6640625" style="1" customWidth="1"/>
    <col min="14" max="14" width="14.88671875" style="1" customWidth="1"/>
    <col min="15" max="15" width="13.21875" style="1" customWidth="1"/>
    <col min="16" max="16" width="16.33203125" style="1" customWidth="1"/>
    <col min="17" max="21" width="12.5546875" style="1" bestFit="1" customWidth="1"/>
    <col min="22" max="22" width="8.88671875" style="1"/>
    <col min="23" max="25" width="12.5546875" style="1" bestFit="1" customWidth="1"/>
    <col min="26" max="16384" width="8.88671875" style="1"/>
  </cols>
  <sheetData>
    <row r="2" spans="1:43" x14ac:dyDescent="0.3">
      <c r="A2" s="88" t="s">
        <v>82</v>
      </c>
      <c r="B2" s="88"/>
      <c r="C2" s="8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</row>
    <row r="3" spans="1:43" s="4" customFormat="1" ht="43.2" x14ac:dyDescent="0.3">
      <c r="A3" s="4" t="s">
        <v>9</v>
      </c>
      <c r="B3" s="4" t="s">
        <v>92</v>
      </c>
      <c r="C3" s="4" t="s">
        <v>98</v>
      </c>
      <c r="D3" s="4" t="s">
        <v>97</v>
      </c>
      <c r="E3" s="4" t="s">
        <v>96</v>
      </c>
      <c r="F3" s="4" t="s">
        <v>95</v>
      </c>
      <c r="G3" s="4" t="s">
        <v>99</v>
      </c>
      <c r="H3" s="4" t="s">
        <v>122</v>
      </c>
      <c r="I3" s="4" t="s">
        <v>121</v>
      </c>
      <c r="J3" s="4" t="s">
        <v>125</v>
      </c>
      <c r="K3" s="4" t="s">
        <v>124</v>
      </c>
      <c r="L3" s="4" t="s">
        <v>123</v>
      </c>
      <c r="M3" s="4" t="s">
        <v>134</v>
      </c>
      <c r="N3" s="4" t="s">
        <v>133</v>
      </c>
      <c r="O3" s="4" t="s">
        <v>84</v>
      </c>
      <c r="P3" s="4" t="s">
        <v>85</v>
      </c>
      <c r="Q3" s="4" t="s">
        <v>86</v>
      </c>
      <c r="R3" s="4" t="s">
        <v>135</v>
      </c>
      <c r="S3" s="4" t="s">
        <v>136</v>
      </c>
      <c r="T3" s="4" t="s">
        <v>26</v>
      </c>
      <c r="V3" s="4" t="s">
        <v>178</v>
      </c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</row>
    <row r="4" spans="1:43" s="30" customFormat="1" x14ac:dyDescent="0.3">
      <c r="A4" s="30">
        <v>1</v>
      </c>
      <c r="B4" s="30">
        <v>82.5</v>
      </c>
      <c r="C4" s="30">
        <v>1500</v>
      </c>
      <c r="D4" s="30">
        <f>'Gear box '!D12*2*PI()/60</f>
        <v>5.5810864729920713</v>
      </c>
      <c r="E4" s="30">
        <f>C4/D4</f>
        <v>268.76487351679327</v>
      </c>
      <c r="F4" s="30">
        <f>'Gear box '!R12</f>
        <v>168</v>
      </c>
      <c r="G4" s="30">
        <f>E4*2*1000/F4</f>
        <v>3199.581827580872</v>
      </c>
      <c r="H4" s="30">
        <f>G4*TAN(RADIANS(20))</f>
        <v>1164.5525473384937</v>
      </c>
      <c r="I4" s="30">
        <f>SQRT((G4^2)+(H4^2))</f>
        <v>3404.9238621294203</v>
      </c>
      <c r="J4" s="30">
        <f>H4*B4/1000</f>
        <v>96.075585155425728</v>
      </c>
      <c r="K4" s="30">
        <f>G4*B4/1000</f>
        <v>263.9655007754219</v>
      </c>
      <c r="L4" s="30">
        <f>SQRT((J4^2)+(K4^2))</f>
        <v>280.90621862567713</v>
      </c>
      <c r="M4" s="30">
        <f>$F$10/O4</f>
        <v>441.66666666666669</v>
      </c>
      <c r="N4" s="30">
        <f>$H$10/O4</f>
        <v>325</v>
      </c>
      <c r="O4" s="30">
        <v>1.2</v>
      </c>
      <c r="P4" s="30">
        <v>1.5</v>
      </c>
      <c r="Q4" s="30">
        <v>1</v>
      </c>
      <c r="R4" s="30">
        <f>(16*SQRT((P4*L4)^2+(Q4*E4)^2)/(PI()*N4*10^6))^(1/3)*1000</f>
        <v>19.858876880856656</v>
      </c>
      <c r="S4" s="30">
        <f>(16*(P4*L4+SQRT((P4*L4)^2+(Q4*E4)^2))/(PI()*M4*10^6))^(1/3)*1000</f>
        <v>21.981972126105426</v>
      </c>
      <c r="T4" s="30">
        <f>ROUNDUP(MAX(R4,S4), 0)</f>
        <v>22</v>
      </c>
      <c r="U4" s="92">
        <f>MAX(T4:T7)</f>
        <v>33</v>
      </c>
      <c r="V4" s="92">
        <v>35</v>
      </c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</row>
    <row r="5" spans="1:43" s="6" customFormat="1" x14ac:dyDescent="0.3">
      <c r="A5" s="6">
        <v>2</v>
      </c>
      <c r="B5" s="6">
        <v>120</v>
      </c>
      <c r="C5" s="82">
        <v>1500</v>
      </c>
      <c r="D5" s="6">
        <f>'Gear box '!D13*2*PI()/60</f>
        <v>4.8788305591718766</v>
      </c>
      <c r="E5" s="6">
        <f>C5/D5</f>
        <v>307.45072652299842</v>
      </c>
      <c r="F5" s="6">
        <f>'Gear box '!R13</f>
        <v>177</v>
      </c>
      <c r="G5" s="6">
        <f>E5*2*1000/F5</f>
        <v>3474.0195087344455</v>
      </c>
      <c r="H5" s="6">
        <f>G5*TAN(RADIANS(20))</f>
        <v>1264.4396944394332</v>
      </c>
      <c r="I5" s="6">
        <f>SQRT((G5^2)+(H5^2))</f>
        <v>3696.9743423428845</v>
      </c>
      <c r="J5" s="49">
        <f t="shared" ref="J5:J7" si="0">H5*B5/1000</f>
        <v>151.73276333273199</v>
      </c>
      <c r="K5" s="49">
        <f t="shared" ref="K5:K7" si="1">G5*B5/1000</f>
        <v>416.88234104813347</v>
      </c>
      <c r="L5" s="6">
        <f>SQRT((J5^2)+(K5^2))</f>
        <v>443.63692108114617</v>
      </c>
      <c r="M5" s="30">
        <f>$F$10/O5</f>
        <v>441.66666666666669</v>
      </c>
      <c r="N5" s="30">
        <f>$H$10/O5</f>
        <v>325</v>
      </c>
      <c r="O5" s="6">
        <v>1.2</v>
      </c>
      <c r="P5" s="6">
        <v>1.5</v>
      </c>
      <c r="Q5" s="6">
        <v>1</v>
      </c>
      <c r="R5" s="30">
        <f>(16*SQRT((P5*L5)^2+(Q5*E5)^2)/(PI()*N5*10^6))^(1/3)*1000</f>
        <v>22.56347795807844</v>
      </c>
      <c r="S5" s="30">
        <f t="shared" ref="S5:S7" si="2">(16*(P5*L5+SQRT((P5*L5)^2+(Q5*E5)^2))/(PI()*M5*10^6))^(1/3)*1000</f>
        <v>25.264622993194514</v>
      </c>
      <c r="T5" s="30">
        <f t="shared" ref="T5:T7" si="3">ROUNDUP(MAX(R5,S5), 0)</f>
        <v>26</v>
      </c>
      <c r="U5" s="92"/>
      <c r="V5" s="92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</row>
    <row r="6" spans="1:43" s="7" customFormat="1" x14ac:dyDescent="0.3">
      <c r="A6" s="7">
        <v>3</v>
      </c>
      <c r="B6" s="7">
        <v>212.5</v>
      </c>
      <c r="C6" s="82">
        <v>1500</v>
      </c>
      <c r="D6" s="7">
        <f>'Gear box '!D14*2*PI()/60</f>
        <v>3.6651914291880918</v>
      </c>
      <c r="E6" s="7">
        <f>C6/D6</f>
        <v>409.25556795058804</v>
      </c>
      <c r="F6" s="7">
        <f>'Gear box '!R14</f>
        <v>192</v>
      </c>
      <c r="G6" s="7">
        <f>E6*2*1000/F6</f>
        <v>4263.0788328186254</v>
      </c>
      <c r="H6" s="7">
        <f>G6*TAN(RADIANS(20))</f>
        <v>1551.6338014762835</v>
      </c>
      <c r="I6" s="7">
        <f>SQRT((G6^2)+(H6^2))</f>
        <v>4536.6737361981359</v>
      </c>
      <c r="J6" s="49">
        <f t="shared" si="0"/>
        <v>329.72218281371022</v>
      </c>
      <c r="K6" s="49">
        <f t="shared" si="1"/>
        <v>905.90425197395791</v>
      </c>
      <c r="L6" s="7">
        <f>SQRT((J6^2)+(K6^2))</f>
        <v>964.04316894210399</v>
      </c>
      <c r="M6" s="30">
        <f>$F$10/O6</f>
        <v>441.66666666666669</v>
      </c>
      <c r="N6" s="30">
        <f>$H$10/O6</f>
        <v>325</v>
      </c>
      <c r="O6" s="7">
        <v>1.2</v>
      </c>
      <c r="P6" s="7">
        <v>1.5</v>
      </c>
      <c r="Q6" s="7">
        <v>1</v>
      </c>
      <c r="R6" s="30">
        <f>(16*SQRT((P6*L6)^2+(Q6*E6)^2)/(PI()*N6*10^6))^(1/3)*1000</f>
        <v>28.663898578212017</v>
      </c>
      <c r="S6" s="30">
        <f t="shared" si="2"/>
        <v>32.397622766329675</v>
      </c>
      <c r="T6" s="30">
        <f t="shared" si="3"/>
        <v>33</v>
      </c>
      <c r="U6" s="92"/>
      <c r="V6" s="92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</row>
    <row r="7" spans="1:43" s="8" customFormat="1" x14ac:dyDescent="0.3">
      <c r="A7" s="8" t="s">
        <v>83</v>
      </c>
      <c r="B7" s="8">
        <v>27.5</v>
      </c>
      <c r="C7" s="82">
        <v>1500</v>
      </c>
      <c r="D7" s="8">
        <f>'Gear box '!C19*PI()*2/60</f>
        <v>5.2359877559829888</v>
      </c>
      <c r="E7" s="8">
        <f>C7/D7</f>
        <v>286.47889756541161</v>
      </c>
      <c r="F7" s="8">
        <f>'Gear box '!M19</f>
        <v>159</v>
      </c>
      <c r="G7" s="8">
        <f>E7*2*1000/F7</f>
        <v>3603.5081454768761</v>
      </c>
      <c r="H7" s="8">
        <f>G7*TAN(RADIANS(20))</f>
        <v>1311.569703889387</v>
      </c>
      <c r="I7" s="8">
        <f>SQRT((G7^2)+(H7^2))</f>
        <v>3834.7732713523874</v>
      </c>
      <c r="J7" s="49">
        <f t="shared" si="0"/>
        <v>36.068166856958143</v>
      </c>
      <c r="K7" s="49">
        <f t="shared" si="1"/>
        <v>99.096474000614094</v>
      </c>
      <c r="L7" s="8">
        <f>SQRT((J7^2)+(K7^2))</f>
        <v>105.45626496219064</v>
      </c>
      <c r="M7" s="30">
        <f>$F$10/O7</f>
        <v>441.66666666666669</v>
      </c>
      <c r="N7" s="30">
        <f>$H$10/O7</f>
        <v>325</v>
      </c>
      <c r="O7" s="8">
        <v>1.2</v>
      </c>
      <c r="P7" s="8">
        <v>1.5</v>
      </c>
      <c r="Q7" s="8">
        <v>1</v>
      </c>
      <c r="R7" s="30">
        <f>(16*SQRT((P7*L7)^2+(Q7*E7)^2)/(PI()*N7*10^6))^(1/3)*1000</f>
        <v>17.244690346131815</v>
      </c>
      <c r="S7" s="30">
        <f t="shared" si="2"/>
        <v>17.755597797840331</v>
      </c>
      <c r="T7" s="30">
        <f t="shared" si="3"/>
        <v>18</v>
      </c>
      <c r="U7" s="92"/>
      <c r="V7" s="92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</row>
    <row r="8" spans="1:43" x14ac:dyDescent="0.3"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</row>
    <row r="9" spans="1:43" x14ac:dyDescent="0.3">
      <c r="F9" s="95" t="s">
        <v>175</v>
      </c>
      <c r="G9" s="95"/>
      <c r="H9" s="96" t="s">
        <v>176</v>
      </c>
      <c r="I9" s="97"/>
      <c r="J9" s="90" t="s">
        <v>203</v>
      </c>
      <c r="K9" s="91"/>
      <c r="N9" s="18"/>
      <c r="O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</row>
    <row r="10" spans="1:43" ht="57.6" customHeight="1" x14ac:dyDescent="0.3">
      <c r="D10" s="53" t="s">
        <v>137</v>
      </c>
      <c r="E10" s="33" t="s">
        <v>138</v>
      </c>
      <c r="F10" s="98">
        <v>530</v>
      </c>
      <c r="G10" s="98"/>
      <c r="H10" s="98">
        <v>390</v>
      </c>
      <c r="I10" s="98"/>
      <c r="J10" s="86">
        <v>640</v>
      </c>
      <c r="K10" s="86"/>
      <c r="M10" s="32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</row>
    <row r="11" spans="1:43" s="32" customFormat="1" ht="24.6" customHeight="1" x14ac:dyDescent="0.3"/>
    <row r="12" spans="1:43" s="48" customFormat="1" ht="24.6" customHeight="1" x14ac:dyDescent="0.3"/>
    <row r="13" spans="1:43" s="48" customFormat="1" ht="24.6" customHeight="1" x14ac:dyDescent="0.3"/>
    <row r="14" spans="1:43" s="48" customFormat="1" ht="24.6" customHeight="1" x14ac:dyDescent="0.3"/>
    <row r="15" spans="1:43" s="48" customFormat="1" ht="24.6" customHeight="1" x14ac:dyDescent="0.3"/>
    <row r="16" spans="1:43" s="48" customFormat="1" ht="24.6" customHeight="1" x14ac:dyDescent="0.3"/>
    <row r="17" spans="1:43" s="48" customFormat="1" ht="24.6" customHeight="1" x14ac:dyDescent="0.3"/>
    <row r="18" spans="1:43" s="48" customFormat="1" ht="24.6" customHeight="1" x14ac:dyDescent="0.3"/>
    <row r="19" spans="1:43" s="48" customFormat="1" ht="24.6" customHeight="1" x14ac:dyDescent="0.3"/>
    <row r="20" spans="1:43" s="48" customFormat="1" ht="24.6" customHeight="1" x14ac:dyDescent="0.3"/>
    <row r="21" spans="1:43" s="48" customFormat="1" ht="24.6" customHeight="1" x14ac:dyDescent="0.3"/>
    <row r="22" spans="1:43" s="48" customFormat="1" ht="24.6" customHeight="1" x14ac:dyDescent="0.3"/>
    <row r="23" spans="1:43" s="48" customFormat="1" ht="24.6" customHeight="1" x14ac:dyDescent="0.3"/>
    <row r="24" spans="1:43" s="48" customFormat="1" ht="24.6" customHeight="1" x14ac:dyDescent="0.3"/>
    <row r="25" spans="1:43" s="48" customFormat="1" ht="24.6" customHeight="1" x14ac:dyDescent="0.3"/>
    <row r="26" spans="1:43" s="48" customFormat="1" ht="24.6" customHeight="1" x14ac:dyDescent="0.3"/>
    <row r="27" spans="1:43" s="48" customFormat="1" ht="24.6" customHeight="1" x14ac:dyDescent="0.3"/>
    <row r="28" spans="1:43" s="32" customFormat="1" x14ac:dyDescent="0.3"/>
    <row r="29" spans="1:43" s="32" customFormat="1" x14ac:dyDescent="0.3"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</row>
    <row r="30" spans="1:43" x14ac:dyDescent="0.3"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</row>
    <row r="31" spans="1:43" x14ac:dyDescent="0.3">
      <c r="A31" s="89" t="s">
        <v>116</v>
      </c>
      <c r="B31" s="89"/>
      <c r="C31" s="89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</row>
    <row r="32" spans="1:43" s="7" customFormat="1" ht="43.2" x14ac:dyDescent="0.3">
      <c r="A32" s="7" t="s">
        <v>9</v>
      </c>
      <c r="B32" s="7" t="s">
        <v>93</v>
      </c>
      <c r="C32" s="7" t="s">
        <v>92</v>
      </c>
      <c r="D32" s="7" t="s">
        <v>98</v>
      </c>
      <c r="E32" s="7" t="s">
        <v>97</v>
      </c>
      <c r="F32" s="7" t="s">
        <v>96</v>
      </c>
      <c r="G32" s="7" t="s">
        <v>95</v>
      </c>
      <c r="H32" s="7" t="s">
        <v>99</v>
      </c>
      <c r="I32" s="7" t="s">
        <v>122</v>
      </c>
      <c r="J32" s="7" t="s">
        <v>121</v>
      </c>
      <c r="K32" s="7" t="s">
        <v>125</v>
      </c>
      <c r="L32" s="7" t="s">
        <v>124</v>
      </c>
      <c r="M32" s="7" t="s">
        <v>123</v>
      </c>
      <c r="N32" s="31" t="s">
        <v>134</v>
      </c>
      <c r="O32" s="7" t="s">
        <v>133</v>
      </c>
      <c r="P32" s="7" t="s">
        <v>84</v>
      </c>
      <c r="Q32" s="7" t="s">
        <v>85</v>
      </c>
      <c r="R32" s="7" t="s">
        <v>86</v>
      </c>
      <c r="S32" s="7" t="s">
        <v>135</v>
      </c>
      <c r="T32" s="7" t="s">
        <v>136</v>
      </c>
      <c r="U32" s="7" t="s">
        <v>26</v>
      </c>
      <c r="V32" s="7" t="s">
        <v>178</v>
      </c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</row>
    <row r="33" spans="1:43" s="5" customFormat="1" x14ac:dyDescent="0.3">
      <c r="A33" s="5" t="s">
        <v>118</v>
      </c>
      <c r="B33" s="5">
        <v>27.5</v>
      </c>
      <c r="C33" s="5" t="s">
        <v>118</v>
      </c>
      <c r="D33" s="5">
        <v>1500</v>
      </c>
      <c r="E33" s="5">
        <f>'Gear box '!E11*2*PI()/60</f>
        <v>30.159289474462014</v>
      </c>
      <c r="F33" s="5">
        <f>D33/E33</f>
        <v>49.735919716217296</v>
      </c>
      <c r="G33" s="5">
        <f>'Gear box '!Q11</f>
        <v>66</v>
      </c>
      <c r="H33" s="5">
        <f>F33*2*1000/G33</f>
        <v>1507.1490823096149</v>
      </c>
      <c r="I33" s="5">
        <f>H33*TAN(RADIANS(20))</f>
        <v>548.5574045623224</v>
      </c>
      <c r="J33" s="5">
        <f>SQRT((H33^2)+(I33^2))</f>
        <v>1603.8745532013611</v>
      </c>
      <c r="K33" s="5">
        <f>H33*B33/1000</f>
        <v>41.446599763514406</v>
      </c>
      <c r="L33" s="5">
        <f>I33*B33/1000</f>
        <v>15.085328625463866</v>
      </c>
      <c r="M33" s="5">
        <f>SQRT((K33^2)+(L33^2))</f>
        <v>44.10655021303743</v>
      </c>
      <c r="N33" s="5">
        <f>M4</f>
        <v>441.66666666666669</v>
      </c>
      <c r="O33" s="5">
        <f>N4</f>
        <v>325</v>
      </c>
      <c r="P33" s="5">
        <v>1.2</v>
      </c>
      <c r="Q33" s="5">
        <v>1.5</v>
      </c>
      <c r="R33" s="5">
        <v>1</v>
      </c>
      <c r="S33" s="5">
        <f>(16*SQRT((Q33*M33)^2+(R33*F33)^2)/(PI()*O33*10^6))^(1/3)*1000</f>
        <v>10.905668631645478</v>
      </c>
      <c r="T33" s="5">
        <f>(16*(Q33*M33+SQRT((Q33*M33)^2+(R33*F33)^2))/(PI()*N33*10^6))^(1/3)*1000</f>
        <v>11.975266892753918</v>
      </c>
      <c r="U33" s="5">
        <f>ROUNDUP(MAX(S33,T33), 0)</f>
        <v>12</v>
      </c>
      <c r="V33" s="5">
        <v>15</v>
      </c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</row>
    <row r="34" spans="1:43" x14ac:dyDescent="0.3"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</row>
    <row r="35" spans="1:43" s="48" customFormat="1" x14ac:dyDescent="0.3"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</row>
    <row r="36" spans="1:43" s="48" customFormat="1" x14ac:dyDescent="0.3"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</row>
    <row r="37" spans="1:43" s="48" customFormat="1" x14ac:dyDescent="0.3"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</row>
    <row r="38" spans="1:43" s="48" customFormat="1" x14ac:dyDescent="0.3"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</row>
    <row r="39" spans="1:43" s="48" customFormat="1" x14ac:dyDescent="0.3"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</row>
    <row r="40" spans="1:43" x14ac:dyDescent="0.3"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M40" s="18"/>
      <c r="AN40" s="18"/>
      <c r="AO40" s="18"/>
      <c r="AP40" s="18"/>
      <c r="AQ40" s="18"/>
    </row>
    <row r="41" spans="1:43" x14ac:dyDescent="0.3"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</row>
    <row r="42" spans="1:43" x14ac:dyDescent="0.3"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</row>
    <row r="43" spans="1:43" x14ac:dyDescent="0.3"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</row>
    <row r="44" spans="1:43" x14ac:dyDescent="0.3"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8"/>
    </row>
    <row r="45" spans="1:43" x14ac:dyDescent="0.3">
      <c r="A45" s="89" t="s">
        <v>117</v>
      </c>
      <c r="B45" s="89"/>
      <c r="C45" s="89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</row>
    <row r="46" spans="1:43" s="8" customFormat="1" ht="43.2" x14ac:dyDescent="0.3">
      <c r="A46" s="8" t="s">
        <v>9</v>
      </c>
      <c r="B46" s="8" t="s">
        <v>93</v>
      </c>
      <c r="C46" s="8" t="s">
        <v>92</v>
      </c>
      <c r="D46" s="8" t="s">
        <v>126</v>
      </c>
      <c r="E46" s="8" t="s">
        <v>97</v>
      </c>
      <c r="F46" s="8" t="s">
        <v>96</v>
      </c>
      <c r="G46" s="8" t="s">
        <v>95</v>
      </c>
      <c r="H46" s="8" t="s">
        <v>99</v>
      </c>
      <c r="I46" s="8" t="s">
        <v>122</v>
      </c>
      <c r="J46" s="8" t="s">
        <v>121</v>
      </c>
      <c r="K46" s="8" t="s">
        <v>125</v>
      </c>
      <c r="L46" s="8" t="s">
        <v>124</v>
      </c>
      <c r="M46" s="8" t="s">
        <v>123</v>
      </c>
      <c r="N46" s="33" t="s">
        <v>134</v>
      </c>
      <c r="O46" s="33" t="s">
        <v>133</v>
      </c>
      <c r="P46" s="8" t="s">
        <v>84</v>
      </c>
      <c r="Q46" s="8" t="s">
        <v>85</v>
      </c>
      <c r="R46" s="8" t="s">
        <v>86</v>
      </c>
      <c r="S46" s="33" t="s">
        <v>135</v>
      </c>
      <c r="T46" s="8" t="s">
        <v>136</v>
      </c>
      <c r="U46" s="33" t="s">
        <v>26</v>
      </c>
      <c r="V46" s="8" t="s">
        <v>178</v>
      </c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</row>
    <row r="47" spans="1:43" s="4" customFormat="1" x14ac:dyDescent="0.3">
      <c r="A47" s="4" t="s">
        <v>118</v>
      </c>
      <c r="B47" s="4" t="s">
        <v>118</v>
      </c>
      <c r="C47" s="4">
        <v>27.5</v>
      </c>
      <c r="D47" s="4">
        <v>1500</v>
      </c>
      <c r="E47" s="4">
        <f>'Gear box '!C18*2*PI()/60</f>
        <v>10.053096491487338</v>
      </c>
      <c r="F47" s="4">
        <f>D47/E47</f>
        <v>149.20775914865189</v>
      </c>
      <c r="G47" s="4">
        <f>'Gear box '!M18</f>
        <v>84</v>
      </c>
      <c r="H47" s="4">
        <f>F47*2*1000/G47</f>
        <v>3552.5656940155209</v>
      </c>
      <c r="I47" s="4">
        <f>H47*TAN(RADIANS(20))</f>
        <v>1293.0281678969029</v>
      </c>
      <c r="J47" s="4">
        <f>SQRT((H47^2)+(I47^2))</f>
        <v>3780.5614468317799</v>
      </c>
      <c r="K47" s="4">
        <f>H47*C47/1000</f>
        <v>97.695556585426814</v>
      </c>
      <c r="L47" s="4">
        <f>I47*C47/1000</f>
        <v>35.558274617164834</v>
      </c>
      <c r="M47" s="4">
        <f>SQRT((K47^2)+(L47^2))</f>
        <v>103.96543978787393</v>
      </c>
      <c r="N47" s="4">
        <f>N33</f>
        <v>441.66666666666669</v>
      </c>
      <c r="O47" s="4">
        <f>O33</f>
        <v>325</v>
      </c>
      <c r="P47" s="4">
        <v>1.2</v>
      </c>
      <c r="Q47" s="4">
        <v>1.5</v>
      </c>
      <c r="R47" s="4">
        <v>1</v>
      </c>
      <c r="S47" s="4">
        <f>(16*SQRT((Q47*M47)^2+(R47*F47)^2)/(PI()*O47*10^6))^(1/3)*1000</f>
        <v>15.010661204621057</v>
      </c>
      <c r="T47" s="4">
        <f>(16*(Q47*M47+SQRT((Q47*M47)^2+(R47*F47)^2))/(PI()*N47*10^6))^(1/3)*1000</f>
        <v>16.245009231404268</v>
      </c>
      <c r="U47" s="4">
        <f>ROUNDUP(MAX(S47,T47), 0)</f>
        <v>17</v>
      </c>
      <c r="V47" s="4">
        <v>22</v>
      </c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</row>
    <row r="48" spans="1:43" x14ac:dyDescent="0.3"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</row>
    <row r="49" spans="1:43" s="32" customFormat="1" x14ac:dyDescent="0.3"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</row>
    <row r="50" spans="1:43" s="32" customFormat="1" x14ac:dyDescent="0.3"/>
    <row r="51" spans="1:43" x14ac:dyDescent="0.3"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</row>
    <row r="52" spans="1:43" x14ac:dyDescent="0.3">
      <c r="A52" s="89" t="s">
        <v>119</v>
      </c>
      <c r="B52" s="89"/>
      <c r="C52" s="89"/>
      <c r="K52" s="83" t="s">
        <v>161</v>
      </c>
      <c r="L52" s="83"/>
      <c r="M52" s="83"/>
      <c r="N52" s="94" t="s">
        <v>162</v>
      </c>
      <c r="O52" s="94"/>
      <c r="P52" s="94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/>
      <c r="AM52" s="18"/>
      <c r="AN52" s="18"/>
      <c r="AO52" s="18"/>
      <c r="AP52" s="18"/>
    </row>
    <row r="53" spans="1:43" s="54" customFormat="1" ht="43.2" x14ac:dyDescent="0.3">
      <c r="A53" s="54" t="s">
        <v>9</v>
      </c>
      <c r="B53" s="54" t="s">
        <v>93</v>
      </c>
      <c r="C53" s="54" t="s">
        <v>92</v>
      </c>
      <c r="D53" s="54" t="s">
        <v>98</v>
      </c>
      <c r="E53" s="54" t="s">
        <v>97</v>
      </c>
      <c r="F53" s="54" t="s">
        <v>96</v>
      </c>
      <c r="G53" s="54" t="s">
        <v>95</v>
      </c>
      <c r="H53" s="54" t="s">
        <v>99</v>
      </c>
      <c r="I53" s="54" t="s">
        <v>122</v>
      </c>
      <c r="J53" s="54" t="s">
        <v>121</v>
      </c>
      <c r="K53" s="57" t="s">
        <v>157</v>
      </c>
      <c r="L53" s="57" t="s">
        <v>158</v>
      </c>
      <c r="M53" s="57" t="s">
        <v>164</v>
      </c>
      <c r="N53" s="57" t="s">
        <v>159</v>
      </c>
      <c r="O53" s="57" t="s">
        <v>160</v>
      </c>
      <c r="P53" s="54" t="s">
        <v>165</v>
      </c>
      <c r="Q53" s="54" t="s">
        <v>127</v>
      </c>
      <c r="R53" s="54" t="s">
        <v>134</v>
      </c>
      <c r="S53" s="54" t="s">
        <v>133</v>
      </c>
      <c r="T53" s="54" t="s">
        <v>84</v>
      </c>
      <c r="U53" s="54" t="s">
        <v>85</v>
      </c>
      <c r="V53" s="54" t="s">
        <v>86</v>
      </c>
      <c r="W53" s="54" t="s">
        <v>135</v>
      </c>
      <c r="X53" s="54" t="s">
        <v>136</v>
      </c>
      <c r="Y53" s="54" t="s">
        <v>26</v>
      </c>
      <c r="Z53" s="54" t="s">
        <v>178</v>
      </c>
    </row>
    <row r="54" spans="1:43" s="55" customFormat="1" x14ac:dyDescent="0.3">
      <c r="A54" s="55" t="s">
        <v>120</v>
      </c>
      <c r="B54" s="55">
        <v>27.5</v>
      </c>
      <c r="C54" s="55">
        <v>271</v>
      </c>
      <c r="D54" s="55">
        <v>1500</v>
      </c>
      <c r="E54" s="55">
        <f>'Gear box '!D11*2*PI()/60</f>
        <v>10.053096491487338</v>
      </c>
      <c r="F54" s="55">
        <f>D54/E54</f>
        <v>149.20775914865189</v>
      </c>
      <c r="G54" s="55">
        <f>'Gear box '!R11</f>
        <v>198</v>
      </c>
      <c r="H54" s="55">
        <f>F54*2*1000/G54</f>
        <v>1507.1490823096149</v>
      </c>
      <c r="I54" s="55">
        <f>H54*TAN(RADIANS(20))</f>
        <v>548.5574045623224</v>
      </c>
      <c r="J54" s="55">
        <f>SQRT((H54^2)+(I54^2))</f>
        <v>1603.8745532013611</v>
      </c>
      <c r="R54" s="55">
        <f>M4</f>
        <v>441.66666666666669</v>
      </c>
      <c r="S54" s="55">
        <f>O47</f>
        <v>325</v>
      </c>
      <c r="T54" s="55">
        <v>1.2</v>
      </c>
      <c r="U54" s="55">
        <v>1.5</v>
      </c>
      <c r="V54" s="55">
        <v>1</v>
      </c>
      <c r="W54" s="55">
        <f>(16*SQRT((U54*Q55)^2+(V54*F54)^2)/(PI()*S54*10^6))^(1/3)*1000</f>
        <v>18.424947876757905</v>
      </c>
      <c r="X54" s="55">
        <f>(16*(U54*Q55+SQRT((U54*Q55)^2+(V54*F54)^2))/(PI()*R54*10^6))^(1/3)*1000</f>
        <v>20.701452620420643</v>
      </c>
      <c r="Y54" s="55">
        <f>ROUNDUP(MAX(W54,X54), 0)</f>
        <v>21</v>
      </c>
      <c r="Z54" s="93">
        <v>22</v>
      </c>
    </row>
    <row r="55" spans="1:43" s="53" customFormat="1" x14ac:dyDescent="0.3">
      <c r="A55" s="53">
        <v>3</v>
      </c>
      <c r="B55" s="53">
        <v>86</v>
      </c>
      <c r="C55" s="53">
        <v>212.5</v>
      </c>
      <c r="D55" s="53">
        <v>1500</v>
      </c>
      <c r="E55" s="53">
        <f>E54</f>
        <v>10.053096491487338</v>
      </c>
      <c r="F55" s="53">
        <f>D55/E55</f>
        <v>149.20775914865189</v>
      </c>
      <c r="G55" s="53">
        <f>'Gear box '!Q14</f>
        <v>72</v>
      </c>
      <c r="H55" s="53">
        <f>F55*2*1000/G55</f>
        <v>4144.6599763514414</v>
      </c>
      <c r="I55" s="53">
        <f>H55*TAN(RADIANS(20))</f>
        <v>1508.5328625463867</v>
      </c>
      <c r="J55" s="53">
        <f>SQRT((H55^2)+(I55^2))</f>
        <v>4410.6550213037435</v>
      </c>
      <c r="K55" s="53">
        <f>(H$54*(B$60-B$54)-H55*(B$60-B55))*B$54/B$60/1000</f>
        <v>-43.511987272667781</v>
      </c>
      <c r="L55" s="53">
        <f>(I$54*(B$60-B$54)+I55*(B$60-B55))*B$54/B$60/1000</f>
        <v>43.228184164174721</v>
      </c>
      <c r="M55" s="53">
        <f>SQRT(K55^2+L55^2)</f>
        <v>61.334891721993031</v>
      </c>
      <c r="N55" s="53">
        <f>(H$54*B$54-H55*B55)*(B$60-B55)/B$60/1000</f>
        <v>-224.24207242236443</v>
      </c>
      <c r="O55" s="53">
        <f>(I$54*B$54+I55*B55)*(B$60-B55)/B$60/1000</f>
        <v>103.09571321925056</v>
      </c>
      <c r="P55" s="53">
        <f>SQRT(N55^2+O55^2)</f>
        <v>246.80606380002678</v>
      </c>
      <c r="Q55" s="53">
        <f>MAX(M55,P55)</f>
        <v>246.80606380002678</v>
      </c>
      <c r="R55" s="53">
        <f t="shared" ref="R55:S58" si="4">R54</f>
        <v>441.66666666666669</v>
      </c>
      <c r="S55" s="53">
        <f t="shared" si="4"/>
        <v>325</v>
      </c>
      <c r="T55" s="53">
        <v>1.2</v>
      </c>
      <c r="U55" s="53">
        <v>1.5</v>
      </c>
      <c r="V55" s="53">
        <v>1</v>
      </c>
      <c r="W55" s="53">
        <f>(16*SQRT((U55*Q55)^2+(V55*F55)^2)/(PI()*S55*10^6))^(1/3)*1000</f>
        <v>18.424947876757905</v>
      </c>
      <c r="X55" s="53">
        <f>(16*(U55*Q55+SQRT((U55*Q55)^2+(V55*F55)^2))/(PI()*R55*10^6))^(1/3)*1000</f>
        <v>20.701452620420643</v>
      </c>
      <c r="Y55" s="53">
        <f t="shared" ref="Y55:Y58" si="5">ROUNDUP(MAX(W55,X55), 0)</f>
        <v>21</v>
      </c>
      <c r="Z55" s="93"/>
    </row>
    <row r="56" spans="1:43" s="21" customFormat="1" x14ac:dyDescent="0.3">
      <c r="A56" s="21">
        <v>2</v>
      </c>
      <c r="B56" s="21">
        <v>178.5</v>
      </c>
      <c r="C56" s="21">
        <v>120</v>
      </c>
      <c r="D56" s="21">
        <v>1500</v>
      </c>
      <c r="E56" s="21">
        <f>E55</f>
        <v>10.053096491487338</v>
      </c>
      <c r="F56" s="21">
        <f>D56/E56</f>
        <v>149.20775914865189</v>
      </c>
      <c r="G56" s="21">
        <f>'Gear box '!Q13</f>
        <v>87</v>
      </c>
      <c r="H56" s="21">
        <f>F56*2*1000/G56</f>
        <v>3430.063428704641</v>
      </c>
      <c r="I56" s="21">
        <f>H56*TAN(RADIANS(20))</f>
        <v>1248.4409896935615</v>
      </c>
      <c r="J56" s="21">
        <f>SQRT((H56^2)+(I56^2))</f>
        <v>3650.1972590099945</v>
      </c>
      <c r="K56" s="21">
        <f t="shared" ref="K56:K58" si="6">(H$54*(B$60-B$54)-H56*(B$60-B56))*B$54/B$60/1000</f>
        <v>-0.29206291059601674</v>
      </c>
      <c r="L56" s="21">
        <f t="shared" ref="L56:L58" si="7">(I$54*(B$60-B$54)+I56*(B$60-B56))*B$54/B$60/1000</f>
        <v>27.497418169143923</v>
      </c>
      <c r="M56" s="21">
        <f t="shared" ref="M56:M58" si="8">SQRT(K56^2+L56^2)</f>
        <v>27.498969193635464</v>
      </c>
      <c r="N56" s="21">
        <f>(H$54*B$54-H56*B56)*(B$60-B56)/B$60/1000</f>
        <v>-229.47526523025692</v>
      </c>
      <c r="O56" s="21">
        <f>(I$54*B$54+I56*B56)*(B$60-B56)/B$60/1000</f>
        <v>95.65107348171442</v>
      </c>
      <c r="P56" s="21">
        <f t="shared" ref="P56:P58" si="9">SQRT(N56^2+O56^2)</f>
        <v>248.61219843503474</v>
      </c>
      <c r="Q56" s="21">
        <f t="shared" ref="Q56:Q58" si="10">MAX(M56,P56)</f>
        <v>248.61219843503474</v>
      </c>
      <c r="R56" s="21">
        <f t="shared" si="4"/>
        <v>441.66666666666669</v>
      </c>
      <c r="S56" s="21">
        <f t="shared" si="4"/>
        <v>325</v>
      </c>
      <c r="T56" s="21">
        <v>1.2</v>
      </c>
      <c r="U56" s="21">
        <v>1.5</v>
      </c>
      <c r="V56" s="21">
        <v>1</v>
      </c>
      <c r="W56" s="21">
        <f t="shared" ref="W56:W58" si="11">(16*SQRT((U56*Q56)^2+(V56*F56)^2)/(PI()*S56*10^6))^(1/3)*1000</f>
        <v>18.463550817385993</v>
      </c>
      <c r="X56" s="21">
        <f t="shared" ref="X56:X58" si="12">(16*(U56*Q56+SQRT((U56*Q56)^2+(V56*F56)^2))/(PI()*R56*10^6))^(1/3)*1000</f>
        <v>20.748195430469632</v>
      </c>
      <c r="Y56" s="21">
        <f t="shared" si="5"/>
        <v>21</v>
      </c>
      <c r="Z56" s="93"/>
    </row>
    <row r="57" spans="1:43" s="54" customFormat="1" x14ac:dyDescent="0.3">
      <c r="A57" s="54">
        <v>1</v>
      </c>
      <c r="B57" s="54">
        <v>216</v>
      </c>
      <c r="C57" s="54">
        <v>82.5</v>
      </c>
      <c r="D57" s="54">
        <v>1500</v>
      </c>
      <c r="E57" s="54">
        <f>E56</f>
        <v>10.053096491487338</v>
      </c>
      <c r="F57" s="54">
        <f>D57/E57</f>
        <v>149.20775914865189</v>
      </c>
      <c r="G57" s="54">
        <f>'Gear box '!Q12</f>
        <v>96</v>
      </c>
      <c r="H57" s="54">
        <f>F57*2*1000/G57</f>
        <v>3108.4949822635808</v>
      </c>
      <c r="I57" s="54">
        <f>H57*TAN(RADIANS(20))</f>
        <v>1131.3996469097899</v>
      </c>
      <c r="J57" s="54">
        <f>SQRT((H57^2)+(I57^2))</f>
        <v>3307.9912659778074</v>
      </c>
      <c r="K57" s="54">
        <f t="shared" si="6"/>
        <v>14.002112378230837</v>
      </c>
      <c r="L57" s="54">
        <f t="shared" si="7"/>
        <v>22.29476384062745</v>
      </c>
      <c r="M57" s="54">
        <f t="shared" si="8"/>
        <v>26.32708958016352</v>
      </c>
      <c r="N57" s="54">
        <f>(H$54*B$54-H57*B57)*(B$60-B57)/B$60/1000</f>
        <v>-174.11737388089475</v>
      </c>
      <c r="O57" s="54">
        <f>(I$54*B$54+I57*B57)*(B$60-B57)/B$60/1000</f>
        <v>71.712165224566931</v>
      </c>
      <c r="P57" s="54">
        <f t="shared" si="9"/>
        <v>188.30691577415544</v>
      </c>
      <c r="Q57" s="54">
        <f t="shared" si="10"/>
        <v>188.30691577415544</v>
      </c>
      <c r="R57" s="54">
        <f t="shared" si="4"/>
        <v>441.66666666666669</v>
      </c>
      <c r="S57" s="54">
        <f t="shared" si="4"/>
        <v>325</v>
      </c>
      <c r="T57" s="54">
        <v>1.2</v>
      </c>
      <c r="U57" s="54">
        <v>1.5</v>
      </c>
      <c r="V57" s="54">
        <v>1</v>
      </c>
      <c r="W57" s="54">
        <f t="shared" si="11"/>
        <v>17.106539357450874</v>
      </c>
      <c r="X57" s="54">
        <f t="shared" si="12"/>
        <v>19.075175664428009</v>
      </c>
      <c r="Y57" s="54">
        <f t="shared" si="5"/>
        <v>20</v>
      </c>
      <c r="Z57" s="93"/>
    </row>
    <row r="58" spans="1:43" s="52" customFormat="1" x14ac:dyDescent="0.3">
      <c r="A58" s="52" t="s">
        <v>91</v>
      </c>
      <c r="B58" s="52">
        <v>271</v>
      </c>
      <c r="C58" s="52">
        <v>27.5</v>
      </c>
      <c r="D58" s="52">
        <v>1500</v>
      </c>
      <c r="E58" s="52">
        <f>E57</f>
        <v>10.053096491487338</v>
      </c>
      <c r="F58" s="52">
        <f>D58/E58</f>
        <v>149.20775914865189</v>
      </c>
      <c r="G58" s="52">
        <f>'Gear box '!M18</f>
        <v>84</v>
      </c>
      <c r="H58" s="52">
        <f>F58*2*1000/G58</f>
        <v>3552.5656940155209</v>
      </c>
      <c r="I58" s="52">
        <f>H58*TAN(RADIANS(20))</f>
        <v>1293.0281678969029</v>
      </c>
      <c r="J58" s="52">
        <f>SQRT((H58^2)+(I58^2))</f>
        <v>3780.5614468317799</v>
      </c>
      <c r="K58" s="52">
        <f t="shared" si="6"/>
        <v>28.627808140077608</v>
      </c>
      <c r="L58" s="52">
        <f t="shared" si="7"/>
        <v>16.971445927881877</v>
      </c>
      <c r="M58" s="52">
        <f t="shared" si="8"/>
        <v>33.280345187334099</v>
      </c>
      <c r="N58" s="52">
        <f>(H$54*B$54-H58*B58)*(B$60-B58)/B$60/1000</f>
        <v>-84.876764961990034</v>
      </c>
      <c r="O58" s="52">
        <f>(I$54*B$54+I58*B58)*(B$60-B58)/B$60/1000</f>
        <v>33.672157314746819</v>
      </c>
      <c r="P58" s="52">
        <f t="shared" si="9"/>
        <v>91.31198940249827</v>
      </c>
      <c r="Q58" s="52">
        <f t="shared" si="10"/>
        <v>91.31198940249827</v>
      </c>
      <c r="R58" s="52">
        <f t="shared" si="4"/>
        <v>441.66666666666669</v>
      </c>
      <c r="S58" s="52">
        <f t="shared" si="4"/>
        <v>325</v>
      </c>
      <c r="T58" s="52">
        <v>1.2</v>
      </c>
      <c r="U58" s="52">
        <v>1.5</v>
      </c>
      <c r="V58" s="52">
        <v>1</v>
      </c>
      <c r="W58" s="52">
        <f t="shared" si="11"/>
        <v>14.696045139686911</v>
      </c>
      <c r="X58" s="52">
        <f t="shared" si="12"/>
        <v>15.760715531569637</v>
      </c>
      <c r="Y58" s="52">
        <f t="shared" si="5"/>
        <v>16</v>
      </c>
      <c r="Z58" s="93"/>
    </row>
    <row r="59" spans="1:43" x14ac:dyDescent="0.3">
      <c r="B59" s="1">
        <v>298.5</v>
      </c>
      <c r="K59" s="50"/>
      <c r="L59" s="50"/>
      <c r="M59" s="50"/>
      <c r="N59" s="50"/>
      <c r="O59" s="50"/>
      <c r="P59" s="50"/>
      <c r="Q59" s="50"/>
      <c r="AB59" s="18"/>
      <c r="AC59" s="18"/>
      <c r="AD59" s="18"/>
      <c r="AE59" s="18"/>
      <c r="AF59" s="18"/>
      <c r="AG59" s="18"/>
      <c r="AH59" s="18"/>
      <c r="AI59" s="18"/>
      <c r="AJ59" s="18"/>
      <c r="AK59" s="18"/>
      <c r="AL59" s="18"/>
      <c r="AM59" s="18"/>
      <c r="AN59" s="18"/>
      <c r="AO59" s="18"/>
      <c r="AP59" s="18"/>
      <c r="AQ59" s="18"/>
    </row>
    <row r="60" spans="1:43" x14ac:dyDescent="0.3">
      <c r="A60" s="1" t="s">
        <v>163</v>
      </c>
      <c r="B60" s="1">
        <v>298.5</v>
      </c>
      <c r="K60" s="18"/>
      <c r="L60" s="18"/>
      <c r="M60" s="18"/>
      <c r="N60" s="18"/>
      <c r="O60" s="18"/>
      <c r="P60" s="18"/>
      <c r="Q60" s="18"/>
      <c r="AB60" s="18"/>
      <c r="AC60" s="18"/>
      <c r="AD60" s="18"/>
      <c r="AE60" s="18"/>
      <c r="AF60" s="18"/>
      <c r="AG60" s="18"/>
      <c r="AH60" s="18"/>
      <c r="AI60" s="18"/>
      <c r="AJ60" s="18"/>
      <c r="AK60" s="18"/>
      <c r="AL60" s="18"/>
      <c r="AM60" s="18"/>
      <c r="AN60" s="18"/>
      <c r="AO60" s="18"/>
      <c r="AP60" s="18"/>
      <c r="AQ60" s="18"/>
    </row>
    <row r="61" spans="1:43" x14ac:dyDescent="0.3">
      <c r="K61" s="18"/>
      <c r="L61" s="18"/>
      <c r="M61" s="18"/>
      <c r="N61" s="18"/>
      <c r="O61" s="18"/>
      <c r="P61" s="18"/>
      <c r="Q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</row>
    <row r="62" spans="1:43" x14ac:dyDescent="0.3">
      <c r="K62" s="18"/>
      <c r="L62" s="18"/>
      <c r="M62" s="18"/>
      <c r="N62" s="18"/>
      <c r="O62" s="18"/>
      <c r="P62" s="18"/>
      <c r="Q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</row>
    <row r="63" spans="1:43" x14ac:dyDescent="0.3">
      <c r="K63" s="18"/>
      <c r="L63" s="18"/>
      <c r="M63" s="18"/>
      <c r="N63" s="18"/>
      <c r="O63" s="18"/>
      <c r="P63" s="18"/>
      <c r="Q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</row>
    <row r="64" spans="1:43" x14ac:dyDescent="0.3">
      <c r="K64" s="18"/>
      <c r="L64" s="18"/>
      <c r="M64" s="18"/>
      <c r="N64" s="18"/>
      <c r="O64" s="18"/>
      <c r="P64" s="18"/>
      <c r="Q64" s="18"/>
    </row>
    <row r="65" spans="2:17" x14ac:dyDescent="0.3">
      <c r="K65" s="18"/>
      <c r="L65" s="18"/>
      <c r="M65" s="18"/>
      <c r="N65" s="18"/>
      <c r="O65" s="18"/>
      <c r="P65" s="18"/>
      <c r="Q65" s="18"/>
    </row>
    <row r="74" spans="2:17" x14ac:dyDescent="0.3">
      <c r="D74" s="1" t="s">
        <v>89</v>
      </c>
    </row>
    <row r="75" spans="2:17" x14ac:dyDescent="0.3">
      <c r="B75" s="1" t="s">
        <v>87</v>
      </c>
      <c r="C75" s="1">
        <v>80</v>
      </c>
      <c r="D75" s="1" t="s">
        <v>88</v>
      </c>
    </row>
    <row r="76" spans="2:17" x14ac:dyDescent="0.3">
      <c r="C76" s="1">
        <v>50</v>
      </c>
      <c r="D76" s="1">
        <v>1</v>
      </c>
    </row>
    <row r="77" spans="2:17" x14ac:dyDescent="0.3">
      <c r="C77" s="1">
        <v>20</v>
      </c>
      <c r="D77" s="1">
        <v>2</v>
      </c>
    </row>
    <row r="78" spans="2:17" x14ac:dyDescent="0.3">
      <c r="C78" s="1">
        <v>40</v>
      </c>
      <c r="D78" s="1">
        <v>3</v>
      </c>
    </row>
    <row r="79" spans="2:17" x14ac:dyDescent="0.3">
      <c r="C79" s="1">
        <v>150</v>
      </c>
    </row>
    <row r="80" spans="2:17" x14ac:dyDescent="0.3">
      <c r="D80" s="1" t="s">
        <v>89</v>
      </c>
    </row>
    <row r="84" spans="1:12" ht="28.8" x14ac:dyDescent="0.3">
      <c r="K84" s="19" t="s">
        <v>114</v>
      </c>
      <c r="L84" s="19" t="s">
        <v>115</v>
      </c>
    </row>
    <row r="86" spans="1:12" x14ac:dyDescent="0.3">
      <c r="B86" s="88" t="s">
        <v>90</v>
      </c>
      <c r="C86" s="88"/>
      <c r="D86" s="88"/>
    </row>
    <row r="88" spans="1:12" x14ac:dyDescent="0.3">
      <c r="A88" s="1" t="s">
        <v>9</v>
      </c>
    </row>
    <row r="89" spans="1:12" x14ac:dyDescent="0.3">
      <c r="A89" s="1">
        <v>1</v>
      </c>
    </row>
    <row r="90" spans="1:12" x14ac:dyDescent="0.3">
      <c r="A90" s="1">
        <v>2</v>
      </c>
    </row>
    <row r="91" spans="1:12" x14ac:dyDescent="0.3">
      <c r="A91" s="1">
        <v>3</v>
      </c>
    </row>
    <row r="92" spans="1:12" x14ac:dyDescent="0.3">
      <c r="A92" s="1" t="s">
        <v>91</v>
      </c>
    </row>
  </sheetData>
  <mergeCells count="16">
    <mergeCell ref="J9:K9"/>
    <mergeCell ref="J10:K10"/>
    <mergeCell ref="V4:V7"/>
    <mergeCell ref="Z54:Z58"/>
    <mergeCell ref="A2:C2"/>
    <mergeCell ref="N52:P52"/>
    <mergeCell ref="F9:G9"/>
    <mergeCell ref="H9:I9"/>
    <mergeCell ref="H10:I10"/>
    <mergeCell ref="F10:G10"/>
    <mergeCell ref="U4:U7"/>
    <mergeCell ref="B86:D86"/>
    <mergeCell ref="A31:C31"/>
    <mergeCell ref="A45:C45"/>
    <mergeCell ref="A52:C52"/>
    <mergeCell ref="K52:M5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6C655-420B-4530-B512-B4504740A4BB}">
  <dimension ref="A1:Q25"/>
  <sheetViews>
    <sheetView topLeftCell="C17" zoomScale="117" zoomScaleNormal="117" workbookViewId="0">
      <selection activeCell="F21" sqref="F21"/>
    </sheetView>
  </sheetViews>
  <sheetFormatPr defaultRowHeight="14.4" x14ac:dyDescent="0.3"/>
  <cols>
    <col min="1" max="1" width="11" customWidth="1"/>
    <col min="2" max="2" width="14" customWidth="1"/>
    <col min="3" max="3" width="12.5546875" customWidth="1"/>
    <col min="4" max="4" width="13" customWidth="1"/>
    <col min="5" max="5" width="13.77734375" customWidth="1"/>
    <col min="6" max="6" width="12.44140625" customWidth="1"/>
  </cols>
  <sheetData>
    <row r="1" spans="1:9" s="59" customFormat="1" ht="43.2" customHeight="1" x14ac:dyDescent="0.3">
      <c r="A1" s="56" t="s">
        <v>141</v>
      </c>
      <c r="B1" s="56" t="s">
        <v>166</v>
      </c>
      <c r="C1" s="56" t="s">
        <v>167</v>
      </c>
      <c r="D1" s="56" t="s">
        <v>168</v>
      </c>
      <c r="E1" s="56" t="s">
        <v>169</v>
      </c>
      <c r="F1" s="56" t="s">
        <v>139</v>
      </c>
      <c r="H1" s="71"/>
      <c r="I1" s="71"/>
    </row>
    <row r="2" spans="1:9" s="61" customFormat="1" x14ac:dyDescent="0.3">
      <c r="A2" s="60">
        <v>1</v>
      </c>
      <c r="B2" s="60" t="s">
        <v>170</v>
      </c>
      <c r="C2" s="60">
        <f>Shaft!H33</f>
        <v>1507.1490823096149</v>
      </c>
      <c r="D2" s="60">
        <f>Shaft!I33</f>
        <v>548.5574045623224</v>
      </c>
      <c r="E2" s="60">
        <f>Shaft!J33</f>
        <v>1603.8745532013611</v>
      </c>
      <c r="F2" s="60">
        <f>E2</f>
        <v>1603.8745532013611</v>
      </c>
      <c r="H2" s="71"/>
      <c r="I2" s="71"/>
    </row>
    <row r="3" spans="1:9" s="62" customFormat="1" x14ac:dyDescent="0.3">
      <c r="A3" s="99">
        <v>2</v>
      </c>
      <c r="B3" s="68">
        <v>3</v>
      </c>
      <c r="C3" s="68">
        <f>Shaft!K55/Shaft!$B$54*1000</f>
        <v>-1582.2540826424647</v>
      </c>
      <c r="D3" s="68">
        <f>Shaft!L55/Shaft!$B$54*1000</f>
        <v>1571.9339696063535</v>
      </c>
      <c r="E3" s="68">
        <f>SQRT(C3^2+D3^2)</f>
        <v>2230.3596989815646</v>
      </c>
      <c r="F3" s="99">
        <f>MAX(E3:E6)</f>
        <v>2230.3596989815646</v>
      </c>
      <c r="H3" s="71"/>
      <c r="I3" s="71"/>
    </row>
    <row r="4" spans="1:9" s="62" customFormat="1" x14ac:dyDescent="0.3">
      <c r="A4" s="99"/>
      <c r="B4" s="68">
        <v>2</v>
      </c>
      <c r="C4" s="68">
        <f>Shaft!K56/Shaft!$B$54*1000</f>
        <v>-10.620469476218791</v>
      </c>
      <c r="D4" s="68">
        <f>Shaft!L56/Shaft!$B$54*1000</f>
        <v>999.90611524159726</v>
      </c>
      <c r="E4" s="68">
        <f t="shared" ref="E4:E15" si="0">SQRT(C4^2+D4^2)</f>
        <v>999.96251613219863</v>
      </c>
      <c r="F4" s="99"/>
      <c r="H4" s="71"/>
      <c r="I4" s="71"/>
    </row>
    <row r="5" spans="1:9" s="62" customFormat="1" x14ac:dyDescent="0.3">
      <c r="A5" s="99"/>
      <c r="B5" s="68">
        <v>1</v>
      </c>
      <c r="C5" s="68">
        <f>Shaft!K57/Shaft!$B$54*1000</f>
        <v>509.16772284475775</v>
      </c>
      <c r="D5" s="68">
        <f>Shaft!L57/Shaft!$B$54*1000</f>
        <v>810.71868511372543</v>
      </c>
      <c r="E5" s="68">
        <f t="shared" si="0"/>
        <v>957.34871200594614</v>
      </c>
      <c r="F5" s="99"/>
      <c r="H5" s="71"/>
      <c r="I5" s="71"/>
    </row>
    <row r="6" spans="1:9" s="62" customFormat="1" x14ac:dyDescent="0.3">
      <c r="A6" s="99"/>
      <c r="B6" s="68" t="s">
        <v>171</v>
      </c>
      <c r="C6" s="68">
        <f>Shaft!K58/Shaft!$B$54*1000</f>
        <v>1041.0112050937312</v>
      </c>
      <c r="D6" s="68">
        <f>Shaft!L58/Shaft!$B$54*1000</f>
        <v>617.14348828661366</v>
      </c>
      <c r="E6" s="68">
        <f t="shared" si="0"/>
        <v>1210.1943704485127</v>
      </c>
      <c r="F6" s="99"/>
      <c r="H6" s="71"/>
      <c r="I6" s="71"/>
    </row>
    <row r="7" spans="1:9" s="63" customFormat="1" x14ac:dyDescent="0.3">
      <c r="A7" s="100">
        <v>3</v>
      </c>
      <c r="B7" s="69">
        <v>3</v>
      </c>
      <c r="C7" s="69">
        <f>Shaft!N55/(Shaft!$B$60-Shaft!B55)*1000</f>
        <v>-1055.256811399362</v>
      </c>
      <c r="D7" s="69">
        <f>Shaft!O55/(Shaft!$B$60-Shaft!B55)*1000</f>
        <v>485.15629750235559</v>
      </c>
      <c r="E7" s="69">
        <f t="shared" si="0"/>
        <v>1161.4403002354202</v>
      </c>
      <c r="F7" s="100">
        <f>MAX(E7:E10)</f>
        <v>3320.4359782726647</v>
      </c>
      <c r="H7" s="71"/>
      <c r="I7" s="71"/>
    </row>
    <row r="8" spans="1:9" s="63" customFormat="1" x14ac:dyDescent="0.3">
      <c r="A8" s="100"/>
      <c r="B8" s="69">
        <v>2</v>
      </c>
      <c r="C8" s="69">
        <f>Shaft!N56/(Shaft!$B$60-Shaft!B56)*1000</f>
        <v>-1912.2938769188077</v>
      </c>
      <c r="D8" s="69">
        <f>Shaft!O56/(Shaft!$B$60-Shaft!B56)*1000</f>
        <v>797.09227901428676</v>
      </c>
      <c r="E8" s="69">
        <f t="shared" si="0"/>
        <v>2071.7683202919561</v>
      </c>
      <c r="F8" s="100"/>
      <c r="H8" s="71"/>
      <c r="I8" s="71"/>
    </row>
    <row r="9" spans="1:9" s="63" customFormat="1" x14ac:dyDescent="0.3">
      <c r="A9" s="100"/>
      <c r="B9" s="69">
        <v>1</v>
      </c>
      <c r="C9" s="69">
        <f>Shaft!N57/(Shaft!$B$60-Shaft!B57)*1000</f>
        <v>-2110.5136227987241</v>
      </c>
      <c r="D9" s="69">
        <f>Shaft!O57/(Shaft!$B$60-Shaft!B57)*1000</f>
        <v>869.238366358387</v>
      </c>
      <c r="E9" s="69">
        <f t="shared" si="0"/>
        <v>2282.508069989763</v>
      </c>
      <c r="F9" s="100"/>
      <c r="H9" s="71"/>
      <c r="I9" s="71"/>
    </row>
    <row r="10" spans="1:9" s="63" customFormat="1" x14ac:dyDescent="0.3">
      <c r="A10" s="100"/>
      <c r="B10" s="69" t="s">
        <v>171</v>
      </c>
      <c r="C10" s="69">
        <f>Shaft!N58/(Shaft!$B$60-Shaft!B58)*1000</f>
        <v>-3086.4278167996376</v>
      </c>
      <c r="D10" s="69">
        <f>Shaft!O58/(Shaft!$B$60-Shaft!B58)*1000</f>
        <v>1224.4420841726117</v>
      </c>
      <c r="E10" s="69">
        <f t="shared" si="0"/>
        <v>3320.4359782726647</v>
      </c>
      <c r="F10" s="100"/>
      <c r="H10" s="71"/>
      <c r="I10" s="71"/>
    </row>
    <row r="11" spans="1:9" s="64" customFormat="1" x14ac:dyDescent="0.3">
      <c r="A11" s="101">
        <v>4</v>
      </c>
      <c r="B11" s="70">
        <v>3</v>
      </c>
      <c r="C11" s="70">
        <f>Shaft!G6</f>
        <v>4263.0788328186254</v>
      </c>
      <c r="D11" s="70">
        <f>Shaft!H6</f>
        <v>1551.6338014762835</v>
      </c>
      <c r="E11" s="70">
        <f t="shared" si="0"/>
        <v>4536.6737361981359</v>
      </c>
      <c r="F11" s="101">
        <f>MAX(E11:E14)</f>
        <v>5073.1085968081861</v>
      </c>
      <c r="H11" s="71"/>
      <c r="I11" s="71"/>
    </row>
    <row r="12" spans="1:9" s="64" customFormat="1" x14ac:dyDescent="0.3">
      <c r="A12" s="101"/>
      <c r="B12" s="70">
        <v>2</v>
      </c>
      <c r="C12" s="70">
        <f>Shaft!G5</f>
        <v>3474.0195087344455</v>
      </c>
      <c r="D12" s="70">
        <f>Shaft!I5</f>
        <v>3696.9743423428845</v>
      </c>
      <c r="E12" s="70">
        <f t="shared" si="0"/>
        <v>5073.1085968081861</v>
      </c>
      <c r="F12" s="101"/>
      <c r="H12" s="71"/>
      <c r="I12" s="71"/>
    </row>
    <row r="13" spans="1:9" s="64" customFormat="1" x14ac:dyDescent="0.3">
      <c r="A13" s="101"/>
      <c r="B13" s="70">
        <v>1</v>
      </c>
      <c r="C13" s="70">
        <f>Shaft!G4</f>
        <v>3199.581827580872</v>
      </c>
      <c r="D13" s="70">
        <f>Shaft!I4</f>
        <v>3404.9238621294203</v>
      </c>
      <c r="E13" s="70">
        <f t="shared" si="0"/>
        <v>4672.3474162656275</v>
      </c>
      <c r="F13" s="101"/>
      <c r="H13" s="71"/>
      <c r="I13" s="71"/>
    </row>
    <row r="14" spans="1:9" s="64" customFormat="1" x14ac:dyDescent="0.3">
      <c r="A14" s="101"/>
      <c r="B14" s="70" t="s">
        <v>171</v>
      </c>
      <c r="C14" s="70">
        <f>Shaft!G7</f>
        <v>3603.5081454768761</v>
      </c>
      <c r="D14" s="70">
        <f>Shaft!H7</f>
        <v>1311.569703889387</v>
      </c>
      <c r="E14" s="70">
        <f t="shared" si="0"/>
        <v>3834.7732713523874</v>
      </c>
      <c r="F14" s="101"/>
      <c r="H14" s="71"/>
      <c r="I14" s="71"/>
    </row>
    <row r="15" spans="1:9" s="67" customFormat="1" x14ac:dyDescent="0.3">
      <c r="A15" s="65">
        <v>5</v>
      </c>
      <c r="B15" s="65" t="s">
        <v>170</v>
      </c>
      <c r="C15" s="65">
        <f>Shaft!H47</f>
        <v>3552.5656940155209</v>
      </c>
      <c r="D15" s="65">
        <f>Shaft!I47</f>
        <v>1293.0281678969029</v>
      </c>
      <c r="E15" s="65">
        <f t="shared" si="0"/>
        <v>3780.5614468317799</v>
      </c>
      <c r="F15" s="65">
        <f>E15</f>
        <v>3780.5614468317799</v>
      </c>
      <c r="H15" s="71"/>
      <c r="I15" s="71"/>
    </row>
    <row r="20" spans="1:17" s="59" customFormat="1" x14ac:dyDescent="0.3">
      <c r="A20" s="59" t="s">
        <v>141</v>
      </c>
      <c r="B20" s="59" t="s">
        <v>142</v>
      </c>
      <c r="C20" s="59" t="s">
        <v>143</v>
      </c>
      <c r="D20" s="59" t="s">
        <v>144</v>
      </c>
      <c r="E20" s="59" t="s">
        <v>145</v>
      </c>
      <c r="F20" s="59" t="s">
        <v>146</v>
      </c>
      <c r="G20" s="59" t="s">
        <v>147</v>
      </c>
      <c r="H20" s="59" t="s">
        <v>148</v>
      </c>
      <c r="I20" s="59" t="s">
        <v>149</v>
      </c>
      <c r="J20" s="59" t="s">
        <v>150</v>
      </c>
      <c r="K20" s="71"/>
      <c r="L20" s="71"/>
      <c r="M20" s="71"/>
      <c r="N20" s="71"/>
    </row>
    <row r="21" spans="1:17" ht="30.6" customHeight="1" x14ac:dyDescent="0.3">
      <c r="A21" s="61">
        <v>1</v>
      </c>
      <c r="B21" s="61">
        <f>Q$23*Q$24*30*Q$25*60*'Gear box '!E11/1000000</f>
        <v>124.416</v>
      </c>
      <c r="C21" s="61">
        <v>0.9</v>
      </c>
      <c r="D21" s="61">
        <v>1</v>
      </c>
      <c r="E21" s="61">
        <f>B21^(1/3)*F2</f>
        <v>8006.8644295650038</v>
      </c>
      <c r="F21" s="61">
        <v>6302</v>
      </c>
      <c r="G21" s="61">
        <f>Shaft!V33</f>
        <v>15</v>
      </c>
      <c r="H21" s="61">
        <v>42</v>
      </c>
      <c r="I21" s="61">
        <v>13</v>
      </c>
      <c r="J21" s="61">
        <v>1.5</v>
      </c>
    </row>
    <row r="22" spans="1:17" ht="26.4" customHeight="1" x14ac:dyDescent="0.3">
      <c r="A22" s="73">
        <v>2</v>
      </c>
      <c r="B22" s="73">
        <f>Q$23*Q$24*30*Q$25*60*'Gear box '!D11/1000000</f>
        <v>41.472000000000001</v>
      </c>
      <c r="C22" s="73">
        <v>0.9</v>
      </c>
      <c r="D22" s="73">
        <v>1</v>
      </c>
      <c r="E22" s="73">
        <f t="shared" ref="E22" si="1">B22^(1/3)*F3</f>
        <v>7720.1647619690939</v>
      </c>
      <c r="F22" s="74" t="s">
        <v>177</v>
      </c>
      <c r="G22" s="73">
        <f>Shaft!Z54</f>
        <v>22</v>
      </c>
      <c r="H22" s="73">
        <v>50</v>
      </c>
      <c r="I22" s="73">
        <v>14</v>
      </c>
      <c r="J22" s="73">
        <v>1.5</v>
      </c>
      <c r="O22" s="72" t="s">
        <v>151</v>
      </c>
      <c r="P22" s="72"/>
      <c r="Q22" s="72"/>
    </row>
    <row r="23" spans="1:17" ht="27" customHeight="1" x14ac:dyDescent="0.3">
      <c r="A23" s="75">
        <v>3</v>
      </c>
      <c r="B23" s="75">
        <f>B22</f>
        <v>41.472000000000001</v>
      </c>
      <c r="C23" s="75">
        <v>0.9</v>
      </c>
      <c r="D23" s="75">
        <v>1</v>
      </c>
      <c r="E23" s="75">
        <f>B23^(1/3)*F7</f>
        <v>11493.353670952823</v>
      </c>
      <c r="F23" s="76" t="s">
        <v>179</v>
      </c>
      <c r="G23" s="75">
        <f>G22</f>
        <v>22</v>
      </c>
      <c r="H23" s="75">
        <v>56</v>
      </c>
      <c r="I23" s="75">
        <v>16</v>
      </c>
      <c r="J23" s="75">
        <v>2</v>
      </c>
      <c r="O23" s="72" t="s">
        <v>152</v>
      </c>
      <c r="P23" s="72"/>
      <c r="Q23" s="72">
        <v>3</v>
      </c>
    </row>
    <row r="24" spans="1:17" ht="24" customHeight="1" x14ac:dyDescent="0.3">
      <c r="A24" s="63">
        <v>4</v>
      </c>
      <c r="B24" s="63">
        <f>Q$23*Q$24*30*Q$25*60*'Gear box '!D12/1000000</f>
        <v>23.023634400000002</v>
      </c>
      <c r="C24" s="63">
        <v>0.9</v>
      </c>
      <c r="D24" s="63">
        <v>1</v>
      </c>
      <c r="E24" s="63">
        <f>B24^(1/3)*F11</f>
        <v>14432.186060986391</v>
      </c>
      <c r="F24" s="63">
        <v>6207</v>
      </c>
      <c r="G24" s="63">
        <v>35</v>
      </c>
      <c r="H24" s="63">
        <v>72</v>
      </c>
      <c r="I24" s="63">
        <v>17</v>
      </c>
      <c r="J24" s="63">
        <v>2</v>
      </c>
      <c r="O24" s="72" t="s">
        <v>153</v>
      </c>
      <c r="P24" s="72"/>
      <c r="Q24" s="72">
        <v>10</v>
      </c>
    </row>
    <row r="25" spans="1:17" ht="24.6" customHeight="1" x14ac:dyDescent="0.3">
      <c r="A25" s="72">
        <v>5</v>
      </c>
      <c r="B25" s="72">
        <f>Q$23*Q$24*30*Q$25*60*'Gear box '!D11/1000000</f>
        <v>41.472000000000001</v>
      </c>
      <c r="C25" s="72">
        <v>0.9</v>
      </c>
      <c r="D25" s="72">
        <v>1</v>
      </c>
      <c r="E25" s="72">
        <f>B25^(1/3)*F15</f>
        <v>13086.031493313334</v>
      </c>
      <c r="F25" s="77" t="s">
        <v>179</v>
      </c>
      <c r="G25" s="72">
        <f>Shaft!V47</f>
        <v>22</v>
      </c>
      <c r="H25" s="72">
        <v>56</v>
      </c>
      <c r="I25" s="72">
        <v>16</v>
      </c>
      <c r="J25" s="72">
        <v>2</v>
      </c>
      <c r="O25" s="72" t="s">
        <v>154</v>
      </c>
      <c r="P25" s="72"/>
      <c r="Q25" s="72">
        <v>8</v>
      </c>
    </row>
  </sheetData>
  <mergeCells count="6">
    <mergeCell ref="A3:A6"/>
    <mergeCell ref="A7:A10"/>
    <mergeCell ref="A11:A14"/>
    <mergeCell ref="F3:F6"/>
    <mergeCell ref="F7:F10"/>
    <mergeCell ref="F11:F1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ED10D-026F-45BC-9423-CDA5C6F3A4DE}">
  <dimension ref="A1:K14"/>
  <sheetViews>
    <sheetView workbookViewId="0">
      <selection activeCell="R13" sqref="R13"/>
    </sheetView>
  </sheetViews>
  <sheetFormatPr defaultRowHeight="14.4" x14ac:dyDescent="0.3"/>
  <cols>
    <col min="2" max="2" width="20.109375" customWidth="1"/>
    <col min="3" max="3" width="12.109375" customWidth="1"/>
    <col min="4" max="4" width="11.44140625" customWidth="1"/>
    <col min="5" max="5" width="10" customWidth="1"/>
    <col min="7" max="7" width="10.77734375" customWidth="1"/>
    <col min="8" max="8" width="13.33203125" customWidth="1"/>
    <col min="9" max="9" width="11.109375" customWidth="1"/>
  </cols>
  <sheetData>
    <row r="1" spans="1:11" ht="72" x14ac:dyDescent="0.3">
      <c r="A1" s="58" t="s">
        <v>9</v>
      </c>
      <c r="B1" s="58" t="s">
        <v>180</v>
      </c>
      <c r="C1" s="58" t="s">
        <v>181</v>
      </c>
      <c r="D1" s="58" t="s">
        <v>182</v>
      </c>
      <c r="E1" s="58" t="s">
        <v>183</v>
      </c>
      <c r="F1" s="58" t="s">
        <v>184</v>
      </c>
      <c r="G1" s="58" t="s">
        <v>185</v>
      </c>
      <c r="H1" s="58" t="s">
        <v>186</v>
      </c>
      <c r="I1" s="58" t="s">
        <v>187</v>
      </c>
      <c r="J1" s="58" t="s">
        <v>188</v>
      </c>
      <c r="K1" s="78"/>
    </row>
    <row r="2" spans="1:11" x14ac:dyDescent="0.3">
      <c r="A2" s="62" t="s">
        <v>189</v>
      </c>
      <c r="B2" s="62">
        <v>1.4999999999999999E-2</v>
      </c>
      <c r="C2" s="62">
        <f>Shaft!F33</f>
        <v>49.735919716217296</v>
      </c>
      <c r="D2" s="62">
        <v>6</v>
      </c>
      <c r="E2" s="62">
        <v>6</v>
      </c>
      <c r="F2" s="62">
        <f>(C2)/(D2*10^-3*C$13/1.8*10^6*B2/2)*10^3</f>
        <v>10.774679314605136</v>
      </c>
      <c r="G2" s="62">
        <f>(C2)/(E2*10^-3/2*C$14/1.8*10^6*B2/2)*10^3</f>
        <v>15.915494309189537</v>
      </c>
      <c r="H2" s="62">
        <f>'Gear box '!H39</f>
        <v>28.274333882308138</v>
      </c>
      <c r="I2" s="62">
        <f>IF(G2&gt;H2,G2,H2)</f>
        <v>28.274333882308138</v>
      </c>
      <c r="J2" s="62">
        <f>1-0.2*D2/(B2*10^3)-1.1*(E2/2)/(B2*10^3)</f>
        <v>0.7</v>
      </c>
    </row>
    <row r="3" spans="1:11" x14ac:dyDescent="0.3">
      <c r="A3" s="63" t="s">
        <v>190</v>
      </c>
      <c r="B3" s="63">
        <v>2.1999999999999999E-2</v>
      </c>
      <c r="C3" s="63">
        <f>Shaft!F54</f>
        <v>149.20775914865189</v>
      </c>
      <c r="D3" s="63">
        <v>8</v>
      </c>
      <c r="E3" s="63">
        <v>7</v>
      </c>
      <c r="F3" s="63">
        <f t="shared" ref="F3:F8" si="0">(C3)/(D3*10^-3*C$13/1.8*10^6*B3/2)*10^3</f>
        <v>16.529337584905605</v>
      </c>
      <c r="G3" s="63">
        <f t="shared" ref="G3:G8" si="1">(C3)/(E3*10^-3/2*C$14/1.8*10^6*B3/2)*10^3</f>
        <v>27.90378872390373</v>
      </c>
      <c r="H3" s="63">
        <f>'Gear box '!H40</f>
        <v>28.274333882308138</v>
      </c>
      <c r="I3" s="63">
        <f t="shared" ref="I3:I8" si="2">IF(G3&gt;H3,G3,H3)</f>
        <v>28.274333882308138</v>
      </c>
      <c r="J3" s="63">
        <f t="shared" ref="J3:J8" si="3">1-0.2*D3/(B3*10^3)-1.1*(E3/2)/(B3*10^3)</f>
        <v>0.7522727272727272</v>
      </c>
    </row>
    <row r="4" spans="1:11" x14ac:dyDescent="0.3">
      <c r="A4" s="63" t="s">
        <v>191</v>
      </c>
      <c r="B4" s="63">
        <f t="shared" ref="B4:C7" si="4">B3</f>
        <v>2.1999999999999999E-2</v>
      </c>
      <c r="C4" s="63">
        <f t="shared" si="4"/>
        <v>149.20775914865189</v>
      </c>
      <c r="D4" s="63">
        <v>8</v>
      </c>
      <c r="E4" s="63">
        <v>7</v>
      </c>
      <c r="F4" s="63">
        <f t="shared" si="0"/>
        <v>16.529337584905605</v>
      </c>
      <c r="G4" s="63">
        <f t="shared" si="1"/>
        <v>27.90378872390373</v>
      </c>
      <c r="H4" s="63">
        <f>'Gear box '!H41</f>
        <v>28.274333882308138</v>
      </c>
      <c r="I4" s="63">
        <f t="shared" si="2"/>
        <v>28.274333882308138</v>
      </c>
      <c r="J4" s="63">
        <f t="shared" si="3"/>
        <v>0.7522727272727272</v>
      </c>
    </row>
    <row r="5" spans="1:11" x14ac:dyDescent="0.3">
      <c r="A5" s="63" t="s">
        <v>192</v>
      </c>
      <c r="B5" s="63">
        <f t="shared" si="4"/>
        <v>2.1999999999999999E-2</v>
      </c>
      <c r="C5" s="63">
        <f t="shared" si="4"/>
        <v>149.20775914865189</v>
      </c>
      <c r="D5" s="63">
        <v>8</v>
      </c>
      <c r="E5" s="63">
        <v>7</v>
      </c>
      <c r="F5" s="63">
        <f t="shared" si="0"/>
        <v>16.529337584905605</v>
      </c>
      <c r="G5" s="63">
        <f t="shared" si="1"/>
        <v>27.90378872390373</v>
      </c>
      <c r="H5" s="63">
        <f>'Gear box '!H42</f>
        <v>28.274333882308138</v>
      </c>
      <c r="I5" s="63">
        <f t="shared" si="2"/>
        <v>28.274333882308138</v>
      </c>
      <c r="J5" s="63">
        <f t="shared" si="3"/>
        <v>0.7522727272727272</v>
      </c>
    </row>
    <row r="6" spans="1:11" x14ac:dyDescent="0.3">
      <c r="A6" s="63" t="s">
        <v>193</v>
      </c>
      <c r="B6" s="63">
        <f t="shared" si="4"/>
        <v>2.1999999999999999E-2</v>
      </c>
      <c r="C6" s="63">
        <f t="shared" si="4"/>
        <v>149.20775914865189</v>
      </c>
      <c r="D6" s="63">
        <v>8</v>
      </c>
      <c r="E6" s="63">
        <v>7</v>
      </c>
      <c r="F6" s="63">
        <f t="shared" si="0"/>
        <v>16.529337584905605</v>
      </c>
      <c r="G6" s="63">
        <f t="shared" si="1"/>
        <v>27.90378872390373</v>
      </c>
      <c r="H6" s="63">
        <f>'Gear box '!H43</f>
        <v>28.274333882308138</v>
      </c>
      <c r="I6" s="63">
        <f t="shared" si="2"/>
        <v>28.274333882308138</v>
      </c>
      <c r="J6" s="63">
        <f t="shared" si="3"/>
        <v>0.7522727272727272</v>
      </c>
    </row>
    <row r="7" spans="1:11" x14ac:dyDescent="0.3">
      <c r="A7" s="63" t="s">
        <v>194</v>
      </c>
      <c r="B7" s="63">
        <f t="shared" si="4"/>
        <v>2.1999999999999999E-2</v>
      </c>
      <c r="C7" s="63">
        <f t="shared" si="4"/>
        <v>149.20775914865189</v>
      </c>
      <c r="D7" s="63">
        <v>8</v>
      </c>
      <c r="E7" s="63">
        <v>7</v>
      </c>
      <c r="F7" s="63">
        <f t="shared" si="0"/>
        <v>16.529337584905605</v>
      </c>
      <c r="G7" s="63">
        <f t="shared" si="1"/>
        <v>27.90378872390373</v>
      </c>
      <c r="H7" s="63">
        <f>'Gear box '!H44</f>
        <v>28.274333882308138</v>
      </c>
      <c r="I7" s="63">
        <f t="shared" si="2"/>
        <v>28.274333882308138</v>
      </c>
      <c r="J7" s="63">
        <f t="shared" si="3"/>
        <v>0.7522727272727272</v>
      </c>
    </row>
    <row r="8" spans="1:11" x14ac:dyDescent="0.3">
      <c r="A8" s="61" t="s">
        <v>195</v>
      </c>
      <c r="B8" s="61">
        <v>2.1999999999999999E-2</v>
      </c>
      <c r="C8" s="61">
        <f>Shaft!F47</f>
        <v>149.20775914865189</v>
      </c>
      <c r="D8" s="61">
        <v>8</v>
      </c>
      <c r="E8" s="61">
        <v>7</v>
      </c>
      <c r="F8" s="61">
        <f t="shared" si="0"/>
        <v>16.529337584905605</v>
      </c>
      <c r="G8" s="61">
        <f t="shared" si="1"/>
        <v>27.90378872390373</v>
      </c>
      <c r="H8" s="61">
        <f>'Gear box '!H45</f>
        <v>28.274333882308138</v>
      </c>
      <c r="I8" s="61">
        <f t="shared" si="2"/>
        <v>28.274333882308138</v>
      </c>
      <c r="J8" s="61">
        <f t="shared" si="3"/>
        <v>0.7522727272727272</v>
      </c>
    </row>
    <row r="11" spans="1:11" x14ac:dyDescent="0.3">
      <c r="B11" s="79" t="s">
        <v>196</v>
      </c>
      <c r="C11" s="79" t="s">
        <v>197</v>
      </c>
      <c r="D11" s="79"/>
    </row>
    <row r="12" spans="1:11" x14ac:dyDescent="0.3">
      <c r="B12" s="79" t="s">
        <v>198</v>
      </c>
      <c r="C12" s="79">
        <v>320</v>
      </c>
      <c r="D12" s="79" t="s">
        <v>199</v>
      </c>
    </row>
    <row r="13" spans="1:11" x14ac:dyDescent="0.3">
      <c r="B13" s="79" t="s">
        <v>200</v>
      </c>
      <c r="C13" s="79">
        <v>184.64</v>
      </c>
      <c r="D13" s="79" t="s">
        <v>201</v>
      </c>
    </row>
    <row r="14" spans="1:11" x14ac:dyDescent="0.3">
      <c r="B14" s="79" t="s">
        <v>202</v>
      </c>
      <c r="C14" s="79">
        <v>250</v>
      </c>
      <c r="D14" s="79" t="s">
        <v>201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EF59BD-C28C-4F11-ADC8-8BEE0A1CFD40}">
  <dimension ref="B2:L6"/>
  <sheetViews>
    <sheetView workbookViewId="0">
      <selection activeCell="L3" sqref="L3"/>
    </sheetView>
  </sheetViews>
  <sheetFormatPr defaultRowHeight="14.4" x14ac:dyDescent="0.3"/>
  <sheetData>
    <row r="2" spans="2:12" s="17" customFormat="1" ht="86.4" x14ac:dyDescent="0.3">
      <c r="B2" s="80" t="s">
        <v>9</v>
      </c>
      <c r="C2" s="80" t="s">
        <v>181</v>
      </c>
      <c r="D2" s="80" t="s">
        <v>204</v>
      </c>
      <c r="E2" s="80" t="s">
        <v>205</v>
      </c>
      <c r="F2" s="80" t="s">
        <v>206</v>
      </c>
      <c r="G2" s="80" t="s">
        <v>207</v>
      </c>
      <c r="H2" s="80" t="s">
        <v>208</v>
      </c>
      <c r="I2" s="80" t="s">
        <v>209</v>
      </c>
      <c r="J2" s="80" t="s">
        <v>210</v>
      </c>
      <c r="K2" s="80" t="s">
        <v>211</v>
      </c>
      <c r="L2" s="80" t="s">
        <v>212</v>
      </c>
    </row>
    <row r="3" spans="2:12" x14ac:dyDescent="0.3">
      <c r="B3" t="s">
        <v>213</v>
      </c>
      <c r="C3">
        <f>Shaft!D6</f>
        <v>3.6651914291880918</v>
      </c>
      <c r="D3">
        <v>16</v>
      </c>
      <c r="E3">
        <v>20</v>
      </c>
      <c r="F3">
        <f>Shaft!T6</f>
        <v>33</v>
      </c>
      <c r="G3">
        <f>(D3-1.3)/F3</f>
        <v>0.44545454545454544</v>
      </c>
      <c r="H3">
        <f>D3/G3</f>
        <v>35.91836734693878</v>
      </c>
      <c r="I3">
        <f>F3^2/H3</f>
        <v>30.318749999999998</v>
      </c>
      <c r="J3">
        <f>(D3-1.3)/G3</f>
        <v>33</v>
      </c>
      <c r="K3">
        <f>(D3+1.6)/G3</f>
        <v>39.510204081632658</v>
      </c>
      <c r="L3">
        <f>ROUNDUP(K3,0)</f>
        <v>40</v>
      </c>
    </row>
    <row r="4" spans="2:12" x14ac:dyDescent="0.3">
      <c r="B4" t="s">
        <v>214</v>
      </c>
      <c r="C4">
        <f>Shaft!E5</f>
        <v>307.45072652299842</v>
      </c>
      <c r="D4">
        <v>16</v>
      </c>
      <c r="E4">
        <v>20</v>
      </c>
      <c r="F4">
        <f>Shaft!T5</f>
        <v>26</v>
      </c>
      <c r="G4">
        <f t="shared" ref="G4:G6" si="0">(D4-1.3)/F4</f>
        <v>0.56538461538461537</v>
      </c>
      <c r="H4">
        <f t="shared" ref="H4:H6" si="1">D4/G4</f>
        <v>28.299319727891156</v>
      </c>
      <c r="I4">
        <f t="shared" ref="I4:I6" si="2">F4^2/H4</f>
        <v>23.887499999999999</v>
      </c>
      <c r="J4">
        <f t="shared" ref="J4:J6" si="3">(D4-1.3)/G4</f>
        <v>26</v>
      </c>
      <c r="K4">
        <f t="shared" ref="K4:K6" si="4">(D4+1.6)/G4</f>
        <v>31.129251700680275</v>
      </c>
      <c r="L4">
        <f t="shared" ref="L4:L6" si="5">ROUNDUP(K4,0)</f>
        <v>32</v>
      </c>
    </row>
    <row r="5" spans="2:12" x14ac:dyDescent="0.3">
      <c r="B5" t="s">
        <v>215</v>
      </c>
      <c r="C5">
        <f>Shaft!E4</f>
        <v>268.76487351679327</v>
      </c>
      <c r="D5">
        <v>16</v>
      </c>
      <c r="E5">
        <v>20</v>
      </c>
      <c r="F5">
        <f>Shaft!T4</f>
        <v>22</v>
      </c>
      <c r="G5">
        <f t="shared" si="0"/>
        <v>0.6681818181818181</v>
      </c>
      <c r="H5">
        <f t="shared" si="1"/>
        <v>23.945578231292519</v>
      </c>
      <c r="I5">
        <f t="shared" si="2"/>
        <v>20.212499999999999</v>
      </c>
      <c r="J5">
        <f t="shared" si="3"/>
        <v>22</v>
      </c>
      <c r="K5">
        <f t="shared" si="4"/>
        <v>26.340136054421773</v>
      </c>
      <c r="L5">
        <f t="shared" si="5"/>
        <v>27</v>
      </c>
    </row>
    <row r="6" spans="2:12" x14ac:dyDescent="0.3">
      <c r="B6" t="s">
        <v>195</v>
      </c>
      <c r="C6">
        <f>Shaft!E7</f>
        <v>286.47889756541161</v>
      </c>
      <c r="D6">
        <v>16</v>
      </c>
      <c r="E6">
        <v>20</v>
      </c>
      <c r="F6">
        <f>Shaft!T7</f>
        <v>18</v>
      </c>
      <c r="G6">
        <f t="shared" si="0"/>
        <v>0.81666666666666665</v>
      </c>
      <c r="H6">
        <f t="shared" si="1"/>
        <v>19.591836734693878</v>
      </c>
      <c r="I6">
        <f t="shared" si="2"/>
        <v>16.537499999999998</v>
      </c>
      <c r="J6">
        <f t="shared" si="3"/>
        <v>18</v>
      </c>
      <c r="K6">
        <f t="shared" si="4"/>
        <v>21.551020408163268</v>
      </c>
      <c r="L6">
        <f t="shared" si="5"/>
        <v>22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57220-D6AD-438F-B31D-73B1477D4E23}">
  <dimension ref="A1:L13"/>
  <sheetViews>
    <sheetView zoomScale="122" zoomScaleNormal="122" workbookViewId="0">
      <selection activeCell="E25" sqref="E25"/>
    </sheetView>
  </sheetViews>
  <sheetFormatPr defaultRowHeight="14.4" x14ac:dyDescent="0.3"/>
  <cols>
    <col min="5" max="5" width="11.109375" customWidth="1"/>
    <col min="6" max="6" width="11" customWidth="1"/>
    <col min="7" max="8" width="10.5546875" customWidth="1"/>
    <col min="9" max="9" width="10.88671875" customWidth="1"/>
    <col min="10" max="10" width="11.109375" customWidth="1"/>
    <col min="11" max="11" width="11.21875" customWidth="1"/>
  </cols>
  <sheetData>
    <row r="1" spans="1:12" x14ac:dyDescent="0.3">
      <c r="A1" s="102" t="s">
        <v>216</v>
      </c>
      <c r="B1" s="102"/>
      <c r="C1" s="102"/>
      <c r="D1" s="102"/>
      <c r="E1" s="102"/>
      <c r="F1" s="102"/>
      <c r="G1" s="103" t="s">
        <v>221</v>
      </c>
      <c r="H1" s="103"/>
      <c r="I1" s="103"/>
      <c r="J1" s="103"/>
      <c r="K1" s="103"/>
      <c r="L1" s="103"/>
    </row>
    <row r="2" spans="1:12" s="73" customFormat="1" x14ac:dyDescent="0.3">
      <c r="A2" s="81" t="s">
        <v>217</v>
      </c>
      <c r="B2" s="81" t="s">
        <v>218</v>
      </c>
      <c r="C2" s="81" t="s">
        <v>147</v>
      </c>
      <c r="D2" s="81" t="s">
        <v>148</v>
      </c>
      <c r="E2" s="81" t="s">
        <v>219</v>
      </c>
      <c r="F2" s="81" t="s">
        <v>220</v>
      </c>
      <c r="G2" s="81" t="s">
        <v>222</v>
      </c>
      <c r="H2" s="81" t="s">
        <v>223</v>
      </c>
      <c r="I2" s="81" t="s">
        <v>224</v>
      </c>
      <c r="J2" s="81" t="s">
        <v>225</v>
      </c>
      <c r="K2" s="81" t="s">
        <v>226</v>
      </c>
      <c r="L2" s="81" t="s">
        <v>220</v>
      </c>
    </row>
    <row r="3" spans="1:12" s="67" customFormat="1" x14ac:dyDescent="0.3">
      <c r="A3" s="66">
        <f>Shaft!E4</f>
        <v>268.76487351679327</v>
      </c>
      <c r="B3" s="66">
        <f>E$13</f>
        <v>14</v>
      </c>
      <c r="C3" s="66">
        <f>[2]Shafts!Q$40</f>
        <v>35</v>
      </c>
      <c r="D3" s="66">
        <f>2*C3+13</f>
        <v>83</v>
      </c>
      <c r="E3" s="66">
        <f>A3*16*D3*10^(-3)/(PI()*(D3^4-C3^4)*10^(-12))*10^(-6)</f>
        <v>2.4720796631213209</v>
      </c>
      <c r="F3" s="66" t="str">
        <f>IF(B3&gt;E3, "SAFE", "NOT SAFE")</f>
        <v>SAFE</v>
      </c>
      <c r="G3" s="66">
        <v>12</v>
      </c>
      <c r="H3" s="66">
        <v>8</v>
      </c>
      <c r="I3" s="66">
        <f>3.5*C3/2</f>
        <v>61.25</v>
      </c>
      <c r="J3" s="66">
        <f>A3/(I3*G3*C3)*2*10^3</f>
        <v>20.895228261752635</v>
      </c>
      <c r="K3" s="66">
        <f>A3*4/I3/H3/C3*1000</f>
        <v>62.685684785257905</v>
      </c>
      <c r="L3" s="66" t="str">
        <f>IF(AND(J3&lt;E12, K3&lt;E11), "SAFE", "NOT SAFE")</f>
        <v>SAFE</v>
      </c>
    </row>
    <row r="4" spans="1:12" s="67" customFormat="1" x14ac:dyDescent="0.3">
      <c r="A4" s="66">
        <f>Shaft!E5</f>
        <v>307.45072652299842</v>
      </c>
      <c r="B4" s="66">
        <f t="shared" ref="B4:B6" si="0">E$13</f>
        <v>14</v>
      </c>
      <c r="C4" s="66">
        <f>[2]Shafts!Q$40</f>
        <v>35</v>
      </c>
      <c r="D4" s="66">
        <f t="shared" ref="D4:D6" si="1">2*C4+13</f>
        <v>83</v>
      </c>
      <c r="E4" s="66">
        <f t="shared" ref="E4:E6" si="2">A4*16*D4*10^(-3)/(PI()*(D4^4-C4^4)*10^(-12))*10^(-6)</f>
        <v>2.8279093116009051</v>
      </c>
      <c r="F4" s="66" t="str">
        <f t="shared" ref="F4:F6" si="3">IF(B4&gt;E4, "SAFE", "NOT SAFE")</f>
        <v>SAFE</v>
      </c>
      <c r="G4" s="66">
        <v>12</v>
      </c>
      <c r="H4" s="66">
        <v>8</v>
      </c>
      <c r="I4" s="66">
        <f t="shared" ref="I4:I6" si="4">3.5*C4/2</f>
        <v>61.25</v>
      </c>
      <c r="J4" s="66">
        <f t="shared" ref="J4:J6" si="5">A4/(I4*G4*C4)*2*10^3</f>
        <v>23.902874753974608</v>
      </c>
      <c r="K4" s="66">
        <f t="shared" ref="K4:K6" si="6">A4*4/I4/H4/C4*1000</f>
        <v>71.708624261923831</v>
      </c>
      <c r="L4" s="66" t="str">
        <f>IF(AND(J4&lt;E$12, K4&lt;E$11), "SAFE", "NOT SAFE")</f>
        <v>SAFE</v>
      </c>
    </row>
    <row r="5" spans="1:12" s="67" customFormat="1" x14ac:dyDescent="0.3">
      <c r="A5" s="66">
        <f>Shaft!E6</f>
        <v>409.25556795058804</v>
      </c>
      <c r="B5" s="66">
        <f t="shared" si="0"/>
        <v>14</v>
      </c>
      <c r="C5" s="66">
        <f>[2]Shafts!Q$40</f>
        <v>35</v>
      </c>
      <c r="D5" s="66">
        <f t="shared" si="1"/>
        <v>83</v>
      </c>
      <c r="E5" s="66">
        <f t="shared" si="2"/>
        <v>3.7643028023399769</v>
      </c>
      <c r="F5" s="66" t="str">
        <f t="shared" si="3"/>
        <v>SAFE</v>
      </c>
      <c r="G5" s="66">
        <v>12</v>
      </c>
      <c r="H5" s="66">
        <v>8</v>
      </c>
      <c r="I5" s="66">
        <f t="shared" si="4"/>
        <v>61.25</v>
      </c>
      <c r="J5" s="66">
        <f t="shared" si="5"/>
        <v>31.817731230366416</v>
      </c>
      <c r="K5" s="66">
        <f t="shared" si="6"/>
        <v>95.453193691099258</v>
      </c>
      <c r="L5" s="66" t="str">
        <f t="shared" ref="L5:L6" si="7">IF(AND(J5&lt;E$12, K5&lt;E$11), "SAFE", "NOT SAFE")</f>
        <v>SAFE</v>
      </c>
    </row>
    <row r="6" spans="1:12" s="67" customFormat="1" x14ac:dyDescent="0.3">
      <c r="A6" s="66">
        <f>Shaft!E7</f>
        <v>286.47889756541161</v>
      </c>
      <c r="B6" s="66">
        <f t="shared" si="0"/>
        <v>14</v>
      </c>
      <c r="C6" s="66">
        <f>[2]Shafts!Q$40</f>
        <v>35</v>
      </c>
      <c r="D6" s="66">
        <f t="shared" si="1"/>
        <v>83</v>
      </c>
      <c r="E6" s="66">
        <f t="shared" si="2"/>
        <v>2.6350119616379839</v>
      </c>
      <c r="F6" s="66" t="str">
        <f t="shared" si="3"/>
        <v>SAFE</v>
      </c>
      <c r="G6" s="66">
        <v>12</v>
      </c>
      <c r="H6" s="66">
        <v>8</v>
      </c>
      <c r="I6" s="66">
        <f t="shared" si="4"/>
        <v>61.25</v>
      </c>
      <c r="J6" s="66">
        <f t="shared" si="5"/>
        <v>22.272411861256494</v>
      </c>
      <c r="K6" s="66">
        <f t="shared" si="6"/>
        <v>66.817235583769474</v>
      </c>
      <c r="L6" s="66" t="str">
        <f t="shared" si="7"/>
        <v>SAFE</v>
      </c>
    </row>
    <row r="11" spans="1:12" x14ac:dyDescent="0.3">
      <c r="A11" s="103" t="s">
        <v>227</v>
      </c>
      <c r="B11" s="103"/>
      <c r="C11" s="103"/>
      <c r="D11" s="103"/>
      <c r="E11" s="63">
        <v>270</v>
      </c>
    </row>
    <row r="12" spans="1:12" x14ac:dyDescent="0.3">
      <c r="A12" s="103" t="s">
        <v>228</v>
      </c>
      <c r="B12" s="103"/>
      <c r="C12" s="103"/>
      <c r="D12" s="103"/>
      <c r="E12" s="63">
        <v>200</v>
      </c>
    </row>
    <row r="13" spans="1:12" x14ac:dyDescent="0.3">
      <c r="A13" s="103" t="s">
        <v>229</v>
      </c>
      <c r="B13" s="103"/>
      <c r="C13" s="103"/>
      <c r="D13" s="103"/>
      <c r="E13" s="63">
        <v>14</v>
      </c>
    </row>
  </sheetData>
  <mergeCells count="5">
    <mergeCell ref="A1:F1"/>
    <mergeCell ref="G1:L1"/>
    <mergeCell ref="A11:D11"/>
    <mergeCell ref="A13:D13"/>
    <mergeCell ref="A12:D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Gear box </vt:lpstr>
      <vt:lpstr>Shaft</vt:lpstr>
      <vt:lpstr> Bearings</vt:lpstr>
      <vt:lpstr>Key</vt:lpstr>
      <vt:lpstr>Splines</vt:lpstr>
      <vt:lpstr>Coupling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Nimesh Rukshan</dc:creator>
  <cp:lastModifiedBy>MSii</cp:lastModifiedBy>
  <cp:lastPrinted>2022-10-21T18:16:57Z</cp:lastPrinted>
  <dcterms:created xsi:type="dcterms:W3CDTF">2022-10-18T09:23:57Z</dcterms:created>
  <dcterms:modified xsi:type="dcterms:W3CDTF">2022-11-23T21:56:42Z</dcterms:modified>
</cp:coreProperties>
</file>