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17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omments8.xml" ContentType="application/vnd.openxmlformats-officedocument.spreadsheetml.comments+xml"/>
  <Override PartName="/xl/media/image1031.png" ContentType="image/png"/>
  <Override PartName="/xl/media/image1032.png" ContentType="image/png"/>
  <Override PartName="/xl/media/image1045.wmf" ContentType="image/x-wmf"/>
  <Override PartName="/xl/media/image1044.jpeg" ContentType="image/jpeg"/>
  <Override PartName="/xl/media/image1033.png" ContentType="image/png"/>
  <Override PartName="/xl/media/image1034.png" ContentType="image/png"/>
  <Override PartName="/xl/media/image1035.png" ContentType="image/png"/>
  <Override PartName="/xl/media/image1038.jpeg" ContentType="image/jpeg"/>
  <Override PartName="/xl/media/image1036.png" ContentType="image/png"/>
  <Override PartName="/xl/media/image1037.png" ContentType="image/png"/>
  <Override PartName="/xl/media/image1039.jpeg" ContentType="image/jpeg"/>
  <Override PartName="/xl/media/image1050.wmf" ContentType="image/x-wmf"/>
  <Override PartName="/xl/media/image1040.png" ContentType="image/png"/>
  <Override PartName="/xl/media/image1041.jpeg" ContentType="image/jpeg"/>
  <Override PartName="/xl/media/image1042.jpeg" ContentType="image/jpeg"/>
  <Override PartName="/xl/media/image1043.png" ContentType="image/png"/>
  <Override PartName="/xl/media/image1046.jpeg" ContentType="image/jpeg"/>
  <Override PartName="/xl/media/image1053.png" ContentType="image/png"/>
  <Override PartName="/xl/media/image1047.png" ContentType="image/png"/>
  <Override PartName="/xl/media/image1048.png" ContentType="image/png"/>
  <Override PartName="/xl/media/image1049.png" ContentType="image/png"/>
  <Override PartName="/xl/media/image1051.png" ContentType="image/png"/>
  <Override PartName="/xl/media/image1052.png" ContentType="image/png"/>
  <Override PartName="/xl/media/image1054.png" ContentType="image/png"/>
  <Override PartName="/xl/media/image1055.png" ContentType="image/png"/>
  <Override PartName="/xl/media/image1056.png" ContentType="image/png"/>
  <Override PartName="/xl/media/image1057.png" ContentType="image/png"/>
  <Override PartName="/xl/media/image1058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ШАБЛОН РАСЧЁТА" sheetId="1" state="visible" r:id="rId2"/>
    <sheet name="Управление и питание" sheetId="2" state="visible" r:id="rId3"/>
    <sheet name="данные ГЖ алюм 16,25,50" sheetId="3" state="visible" r:id="rId4"/>
    <sheet name="Данные по римским RS" sheetId="4" state="visible" r:id="rId5"/>
    <sheet name="данные ГЖ дерево_пластик" sheetId="5" state="visible" r:id="rId6"/>
    <sheet name="данные по римским HS" sheetId="6" state="visible" r:id="rId7"/>
    <sheet name="данные по ЭК в долларах" sheetId="7" state="visible" r:id="rId8"/>
    <sheet name="данные по моторизации" sheetId="8" state="visible" r:id="rId9"/>
    <sheet name="Цены Somfy от Амиго" sheetId="9" state="visible" r:id="rId10"/>
    <sheet name="_Данные по электрокарнизам" sheetId="10" state="hidden" r:id="rId11"/>
    <sheet name="Услуги" sheetId="11" state="visible" r:id="rId12"/>
    <sheet name="_Рулонки с ЭП системы и опции" sheetId="12" state="hidden" r:id="rId13"/>
    <sheet name="Рулонки с ЭП расчёт систем и оп" sheetId="13" state="visible" r:id="rId14"/>
    <sheet name="Рулонки компл. Амиго " sheetId="14" state="visible" r:id="rId15"/>
    <sheet name="Доп данные по компл рулонки" sheetId="15" state="visible" r:id="rId16"/>
    <sheet name="цены ткани Amigo" sheetId="16" state="visible" r:id="rId17"/>
    <sheet name="_Рулонки компл. Somfy" sheetId="17" state="hidden" r:id="rId18"/>
    <sheet name="_Somfy для рулонок (каталожные)" sheetId="18" state="hidden" r:id="rId19"/>
    <sheet name="_КОМПЛЕКТАЦИЯ AMIGO" sheetId="19" state="hidden" r:id="rId20"/>
    <sheet name="_цены моторизация Amigo" sheetId="20" state="hidden" r:id="rId21"/>
    <sheet name="_Короб" sheetId="21" state="hidden" r:id="rId22"/>
    <sheet name="_данные по цепочечным" sheetId="22" state="hidden" r:id="rId23"/>
    <sheet name="данные по Антей" sheetId="23" state="visible" r:id="rId24"/>
    <sheet name="_Данные моторизация Амиго (комп" sheetId="24" state="hidden" r:id="rId25"/>
    <sheet name="Все моторы" sheetId="25" state="visible" r:id="rId26"/>
  </sheets>
  <externalReferences>
    <externalReference r:id="rId27"/>
  </externalReferences>
  <definedNames>
    <definedName function="false" hidden="false" localSheetId="18" name="_xlnm.Print_Area" vbProcedure="false">'_КОМПЛЕКТАЦИЯ AMIGO'!$A$2:$I$150</definedName>
    <definedName function="false" hidden="false" localSheetId="18" name="_xlnm.Print_Titles" vbProcedure="false">'_КОМПЛЕКТАЦИЯ AMIGO'!$2:$7</definedName>
    <definedName function="false" hidden="true" localSheetId="12" name="_xlnm._FilterDatabase" vbProcedure="false">'Рулонки с ЭП расчёт систем и оп'!$E:$E</definedName>
    <definedName function="false" hidden="false" localSheetId="18" name="_xlnm._FilterDatabase" vbProcedure="false">'_КОМПЛЕКТАЦИЯ AMIGO'!$A$7:$I$150</definedName>
    <definedName function="false" hidden="false" localSheetId="18" name="адрес" vbProcedure="false">'[1]Прайс Зебра Мини'!$B$2</definedName>
    <definedName function="false" hidden="false" localSheetId="18" name="мыло" vbProcedure="false">'[1]Прайс Зебра Мини'!$B$4</definedName>
    <definedName function="false" hidden="false" localSheetId="18" name="название" vbProcedure="false">'[1]Прайс Зебра Мини'!$B$1</definedName>
    <definedName function="false" hidden="false" localSheetId="18" name="телефоны" vbProcedure="false">'[1]Прайс Зебра Мини'!$B$3</definedName>
    <definedName function="false" hidden="false" localSheetId="18" name="цена1" vbProcedure="false">#REF!</definedName>
    <definedName function="false" hidden="false" localSheetId="18" name="цена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 Cyr"/>
            <family val="0"/>
            <charset val="204"/>
          </rPr>
          <t xml:space="preserve">По умолчанию ставится расчётное кол-во, но сумма считается даже если забиваем вручную
</t>
        </r>
      </text>
    </comment>
    <comment ref="B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C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D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E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F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G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H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I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J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  <comment ref="K36" authorId="0">
      <text>
        <r>
          <rPr>
            <sz val="10"/>
            <rFont val="Arial"/>
            <family val="2"/>
            <charset val="204"/>
          </rPr>
          <t xml:space="preserve">Должен быть больше нуля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27" authorId="0">
      <text>
        <r>
          <rPr>
            <sz val="10"/>
            <rFont val="Arial Cyr"/>
            <family val="0"/>
            <charset val="204"/>
          </rPr>
          <t xml:space="preserve">Спец цена ниже каталожной</t>
        </r>
      </text>
    </comment>
  </commentList>
</comments>
</file>

<file path=xl/sharedStrings.xml><?xml version="1.0" encoding="utf-8"?>
<sst xmlns="http://schemas.openxmlformats.org/spreadsheetml/2006/main" count="5999" uniqueCount="2705">
  <si>
    <t xml:space="preserve">доллар</t>
  </si>
  <si>
    <t xml:space="preserve">Somfy доллар</t>
  </si>
  <si>
    <t xml:space="preserve">Юань</t>
  </si>
  <si>
    <t xml:space="preserve">Курс</t>
  </si>
  <si>
    <t xml:space="preserve">Рулонки с мотором</t>
  </si>
  <si>
    <t xml:space="preserve">Раздвижные электрокарнизы</t>
  </si>
  <si>
    <t xml:space="preserve">Пульты</t>
  </si>
  <si>
    <t xml:space="preserve">ГЖ дерево 25/50</t>
  </si>
  <si>
    <t xml:space="preserve">Римские 50 мм</t>
  </si>
  <si>
    <t xml:space="preserve">ГЖ алюм. 16/25/50</t>
  </si>
  <si>
    <t xml:space="preserve">Рулонные шторы с эл/приводом</t>
  </si>
  <si>
    <t xml:space="preserve">Изделие 1</t>
  </si>
  <si>
    <t xml:space="preserve">Видимая ширина полотна №1, м</t>
  </si>
  <si>
    <t xml:space="preserve">Видимая высота полотна №1, м</t>
  </si>
  <si>
    <t xml:space="preserve">Видимая ширина полотна №2, м</t>
  </si>
  <si>
    <t xml:space="preserve">Видимая высота полотна №2, м</t>
  </si>
  <si>
    <t xml:space="preserve">Выбрать управление</t>
  </si>
  <si>
    <t xml:space="preserve">управление для КП</t>
  </si>
  <si>
    <t xml:space="preserve">модель мотора для КП</t>
  </si>
  <si>
    <t xml:space="preserve">Цена мотора</t>
  </si>
  <si>
    <t xml:space="preserve">Кол-во моторов</t>
  </si>
  <si>
    <t xml:space="preserve">Стоимость моторов</t>
  </si>
  <si>
    <t xml:space="preserve">Выбрать систему</t>
  </si>
  <si>
    <t xml:space="preserve">название системы для КП</t>
  </si>
  <si>
    <t xml:space="preserve">стоимость штучных элементов системы</t>
  </si>
  <si>
    <t xml:space="preserve">стоимость гориз.погонаж. элементов системы</t>
  </si>
  <si>
    <t xml:space="preserve">стоимость вертик.погонаж. элементов системы</t>
  </si>
  <si>
    <t xml:space="preserve">контроль кол-ва доп. Полотен</t>
  </si>
  <si>
    <t xml:space="preserve">настенное крепление (для кассет)</t>
  </si>
  <si>
    <t xml:space="preserve">нет</t>
  </si>
  <si>
    <t xml:space="preserve">контроль выбора настенных креплений</t>
  </si>
  <si>
    <t xml:space="preserve">применимость настенных кронштейнов</t>
  </si>
  <si>
    <t xml:space="preserve">минимальное расстояние между кроншт</t>
  </si>
  <si>
    <t xml:space="preserve">Кол-во настенных кронштейнов (для кассет)</t>
  </si>
  <si>
    <t xml:space="preserve">какой настенный кронштейн</t>
  </si>
  <si>
    <t xml:space="preserve">цена настенного кронштейна</t>
  </si>
  <si>
    <t xml:space="preserve">стоимость настенных кронштейнов</t>
  </si>
  <si>
    <t xml:space="preserve">обтягивание кассеты тканью</t>
  </si>
  <si>
    <t xml:space="preserve">Нет</t>
  </si>
  <si>
    <t xml:space="preserve">стоимость обтягивания кассеты тканью</t>
  </si>
  <si>
    <t xml:space="preserve">Стоимость системы</t>
  </si>
  <si>
    <t xml:space="preserve">Труба</t>
  </si>
  <si>
    <t xml:space="preserve">Коэффициент остатков трубы</t>
  </si>
  <si>
    <t xml:space="preserve">Выбрать ткань полотна №1</t>
  </si>
  <si>
    <t xml:space="preserve">Название ткани для КП</t>
  </si>
  <si>
    <t xml:space="preserve">Цвет ткани</t>
  </si>
  <si>
    <t xml:space="preserve">Контроль высоты ткани для нарезки</t>
  </si>
  <si>
    <t xml:space="preserve">Цена за п.м.</t>
  </si>
  <si>
    <t xml:space="preserve">Рисунок</t>
  </si>
  <si>
    <t xml:space="preserve">Возможные варианты раскроя</t>
  </si>
  <si>
    <t xml:space="preserve">Возможен ли раскрой по высоте</t>
  </si>
  <si>
    <t xml:space="preserve">Ширина рулона, м</t>
  </si>
  <si>
    <t xml:space="preserve">Запас ткани для намотки, м</t>
  </si>
  <si>
    <t xml:space="preserve">Длина ткани для заказа, п.м.</t>
  </si>
  <si>
    <t xml:space="preserve">Проверка возможно ли кроить по ширине</t>
  </si>
  <si>
    <t xml:space="preserve">Проверка возможно ли кроить по высоте</t>
  </si>
  <si>
    <t xml:space="preserve">Стоимость полотна №1 если по ширине</t>
  </si>
  <si>
    <t xml:space="preserve">Стоимость полотна №1 если по высоте</t>
  </si>
  <si>
    <t xml:space="preserve">По ширине</t>
  </si>
  <si>
    <t xml:space="preserve">По высоте</t>
  </si>
  <si>
    <t xml:space="preserve">При расчёте учитывать стоимость по раскрою</t>
  </si>
  <si>
    <t xml:space="preserve">по высоте</t>
  </si>
  <si>
    <t xml:space="preserve">Выбрать ткань полотна №2</t>
  </si>
  <si>
    <t xml:space="preserve">ткань для КП</t>
  </si>
  <si>
    <t xml:space="preserve">Стоимость полотна №2 если по ширине</t>
  </si>
  <si>
    <t xml:space="preserve">Стоимость полотна №2 если по высоте</t>
  </si>
  <si>
    <t xml:space="preserve">Выбрать нижнюю рейку</t>
  </si>
  <si>
    <t xml:space="preserve">Стоимость штучных компл.рейки</t>
  </si>
  <si>
    <t xml:space="preserve">Стоимость погонажа рейки</t>
  </si>
  <si>
    <t xml:space="preserve">Оборачивание рейки тканью</t>
  </si>
  <si>
    <t xml:space="preserve">Цена оборачивания рейки</t>
  </si>
  <si>
    <t xml:space="preserve">Стоимость нижней рейки</t>
  </si>
  <si>
    <t xml:space="preserve">резка ткани</t>
  </si>
  <si>
    <t xml:space="preserve">доставка от поставщика</t>
  </si>
  <si>
    <t xml:space="preserve">упаковка</t>
  </si>
  <si>
    <t xml:space="preserve">сборка изделия</t>
  </si>
  <si>
    <t xml:space="preserve">Выбрать вид направляющих</t>
  </si>
  <si>
    <t xml:space="preserve">Стоимость штучных элементов.направляющих</t>
  </si>
  <si>
    <t xml:space="preserve">Стоимость гориз. Элементов направляющих</t>
  </si>
  <si>
    <t xml:space="preserve">Стоимость вертик. Элементов направляющих</t>
  </si>
  <si>
    <t xml:space="preserve">Стоимость направляющих (за 2 шт.)</t>
  </si>
  <si>
    <t xml:space="preserve">Дополнительные расходы</t>
  </si>
  <si>
    <t xml:space="preserve">Высота установки</t>
  </si>
  <si>
    <t xml:space="preserve">Стоимость Установки</t>
  </si>
  <si>
    <t xml:space="preserve">Итого:</t>
  </si>
  <si>
    <t xml:space="preserve">Стоимость открытого механизма без ткани с голой рейкой</t>
  </si>
  <si>
    <t xml:space="preserve">Стоимость ткани с нарезкой</t>
  </si>
  <si>
    <t xml:space="preserve">Опции (для Дополнительно):</t>
  </si>
  <si>
    <t xml:space="preserve">оборачивание рейки</t>
  </si>
  <si>
    <t xml:space="preserve">Обтягивание короба тканью</t>
  </si>
  <si>
    <t xml:space="preserve">Направляющие</t>
  </si>
  <si>
    <t xml:space="preserve">КП для разовых клиентов без услуг</t>
  </si>
  <si>
    <t xml:space="preserve">КП для разовых клиентов с услугами</t>
  </si>
  <si>
    <t xml:space="preserve">КП для партнёров без услуг</t>
  </si>
  <si>
    <t xml:space="preserve">КП для партнёров с услугами</t>
  </si>
  <si>
    <t xml:space="preserve">Зарядное устройство</t>
  </si>
  <si>
    <t xml:space="preserve">З/у DC264 для 16LE/25LE/35LE и АКБ</t>
  </si>
  <si>
    <t xml:space="preserve">Сводные данные по рулонкам</t>
  </si>
  <si>
    <t xml:space="preserve">Цена установки</t>
  </si>
  <si>
    <t xml:space="preserve">Сумма за установку</t>
  </si>
  <si>
    <t xml:space="preserve">Наименование</t>
  </si>
  <si>
    <t xml:space="preserve">Кол-во</t>
  </si>
  <si>
    <t xml:space="preserve">Размеры</t>
  </si>
  <si>
    <t xml:space="preserve">Дополнительно</t>
  </si>
  <si>
    <t xml:space="preserve">Цена, руб.</t>
  </si>
  <si>
    <t xml:space="preserve">Сумма, руб.</t>
  </si>
  <si>
    <t xml:space="preserve">строка только для З/У</t>
  </si>
  <si>
    <t xml:space="preserve">Скидка, %</t>
  </si>
  <si>
    <t xml:space="preserve">Итого со скидкой:</t>
  </si>
  <si>
    <t xml:space="preserve">Выбрать модель мотора</t>
  </si>
  <si>
    <t xml:space="preserve">Тандем?</t>
  </si>
  <si>
    <t xml:space="preserve">Выбрать модель карниза</t>
  </si>
  <si>
    <t xml:space="preserve">длина, м</t>
  </si>
  <si>
    <t xml:space="preserve">диапазон длины</t>
  </si>
  <si>
    <t xml:space="preserve">составной?</t>
  </si>
  <si>
    <t xml:space="preserve">инфо по загибу</t>
  </si>
  <si>
    <t xml:space="preserve">Дополнительная стоимость (загиба, др.)</t>
  </si>
  <si>
    <t xml:space="preserve">модель для КП</t>
  </si>
  <si>
    <t xml:space="preserve">номер строки модели карниза для выбора цен диапазона длины</t>
  </si>
  <si>
    <t xml:space="preserve">Цена карниза с доп.стоимостью без мотора</t>
  </si>
  <si>
    <t xml:space="preserve">Цена карниза с мотором (моторами)</t>
  </si>
  <si>
    <t xml:space="preserve">Категория высоты установки</t>
  </si>
  <si>
    <t xml:space="preserve">Категория длины для установки</t>
  </si>
  <si>
    <t xml:space="preserve">базовая цена установки (до 3 метров)</t>
  </si>
  <si>
    <t xml:space="preserve">шаг цены</t>
  </si>
  <si>
    <t xml:space="preserve">Стоимость установки</t>
  </si>
  <si>
    <t xml:space="preserve">Итог</t>
  </si>
  <si>
    <t xml:space="preserve">Настенные уголки</t>
  </si>
  <si>
    <t xml:space="preserve">Цена уголка</t>
  </si>
  <si>
    <t xml:space="preserve">Кол-во креплений</t>
  </si>
  <si>
    <t xml:space="preserve">Стоимость уголков</t>
  </si>
  <si>
    <t xml:space="preserve">Уголок однорядный 75 мм</t>
  </si>
  <si>
    <t xml:space="preserve">Уголок двухрядный 170 мм</t>
  </si>
  <si>
    <t xml:space="preserve">У Г О Л К И</t>
  </si>
  <si>
    <t xml:space="preserve">Сводные данные по раздвижным электрокарнизам</t>
  </si>
  <si>
    <t xml:space="preserve">Пульты АККО и SOMFY</t>
  </si>
  <si>
    <t xml:space="preserve">Сводные данные по пультам</t>
  </si>
  <si>
    <t xml:space="preserve">Выбрать пульт</t>
  </si>
  <si>
    <t xml:space="preserve">Горизонтальные жалюзи дерево / пластик (25/50 мм)</t>
  </si>
  <si>
    <t xml:space="preserve">Выбрать ламели</t>
  </si>
  <si>
    <t xml:space="preserve">Название для КП</t>
  </si>
  <si>
    <t xml:space="preserve">Ширина изделия, м</t>
  </si>
  <si>
    <t xml:space="preserve">контрольная сумма по ширине</t>
  </si>
  <si>
    <t xml:space="preserve">Мин.шир.</t>
  </si>
  <si>
    <t xml:space="preserve">Макс.шир.</t>
  </si>
  <si>
    <t xml:space="preserve">Высота изделия, м</t>
  </si>
  <si>
    <t xml:space="preserve">Макс.высота</t>
  </si>
  <si>
    <t xml:space="preserve">контрольная сумма по высоте</t>
  </si>
  <si>
    <t xml:space="preserve">Контроль ширины</t>
  </si>
  <si>
    <t xml:space="preserve">Контроль высоты</t>
  </si>
  <si>
    <t xml:space="preserve">Площадь изделия, кв.м.</t>
  </si>
  <si>
    <t xml:space="preserve">Макс.площадь</t>
  </si>
  <si>
    <t xml:space="preserve">Контроль площади</t>
  </si>
  <si>
    <t xml:space="preserve">контрольная сумма по площади</t>
  </si>
  <si>
    <t xml:space="preserve">контрольная сумма по размерам</t>
  </si>
  <si>
    <t xml:space="preserve">Контроль всех размеров</t>
  </si>
  <si>
    <t xml:space="preserve">Доставка от поставщика</t>
  </si>
  <si>
    <t xml:space="preserve">Цена за 1 кв.м. без опций </t>
  </si>
  <si>
    <t xml:space="preserve">Цена изделия без опций без эл/привода</t>
  </si>
  <si>
    <t xml:space="preserve">Цена изделия с нарушением размеров</t>
  </si>
  <si>
    <t xml:space="preserve">Декорат. лесенка (только для 50 мм)</t>
  </si>
  <si>
    <t xml:space="preserve">Стоимость декоративной лесенки</t>
  </si>
  <si>
    <t xml:space="preserve">Боковая фиксация</t>
  </si>
  <si>
    <t xml:space="preserve">Стоимость боковой фиксации</t>
  </si>
  <si>
    <t xml:space="preserve">Стоимость изделия без эл/привода итоговая</t>
  </si>
  <si>
    <t xml:space="preserve">Выбрать моторизацию</t>
  </si>
  <si>
    <t xml:space="preserve">-</t>
  </si>
  <si>
    <t xml:space="preserve">Моторизация для КП</t>
  </si>
  <si>
    <t xml:space="preserve">Стоимость моторизации</t>
  </si>
  <si>
    <t xml:space="preserve">категория изделия (с/без мотора)</t>
  </si>
  <si>
    <t xml:space="preserve">Стоимость изделия итоговая</t>
  </si>
  <si>
    <t xml:space="preserve">Стоимость изделия итоговая с нарушением размеров</t>
  </si>
  <si>
    <t xml:space="preserve">З/у для Sonesse 30 WireFree 230/12 В</t>
  </si>
  <si>
    <t xml:space="preserve">КОНТРОЛЬ РАЗМЕРОВ ПРИМЕРНЫЙ, проверяйте по таблицам (зависит от управления)</t>
  </si>
  <si>
    <t xml:space="preserve">Сводные данные по ГЖ жалюзи дерево / пластик (25/50 мм)</t>
  </si>
  <si>
    <t xml:space="preserve">скидка на ГЖ дерево не более 15% !!!!!!!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</si>
  <si>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</si>
  <si>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</si>
  <si>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</si>
  <si>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</si>
  <si>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</si>
  <si>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</si>
  <si>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</si>
  <si>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</si>
  <si>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</si>
  <si>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</si>
  <si>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Римские электрокарнизы HS (50 мм)</t>
  </si>
  <si>
    <t xml:space="preserve">Диапазон длины карниза</t>
  </si>
  <si>
    <t xml:space="preserve">Длина карниза, м</t>
  </si>
  <si>
    <t xml:space="preserve">Кол-во нитей</t>
  </si>
  <si>
    <t xml:space="preserve">Цена нитенакопителя</t>
  </si>
  <si>
    <t xml:space="preserve">Цена карниза без мотора и без накопителей</t>
  </si>
  <si>
    <t xml:space="preserve">Цена карниза в сборе</t>
  </si>
  <si>
    <t xml:space="preserve">Сводные данные по римским электрокарнизам</t>
  </si>
  <si>
    <t xml:space="preserve">Горизонтальные жалюзи алюминий (16/25/50 мм)</t>
  </si>
  <si>
    <t xml:space="preserve">Межрамные</t>
  </si>
  <si>
    <t xml:space="preserve">Стоимость опции «межрамные»</t>
  </si>
  <si>
    <t xml:space="preserve">Крепление на пластик.окно</t>
  </si>
  <si>
    <t xml:space="preserve">Стоимость крепл-я на пластик.окно</t>
  </si>
  <si>
    <t xml:space="preserve">Сводные данные по ГЖ алюм. 16/25/50 мм</t>
  </si>
  <si>
    <t xml:space="preserve">скидка на ГЖ алюм. не более 15% !!!!!!!</t>
  </si>
  <si>
    <t xml:space="preserve">Римские электрокарнизы RS ПРОТЕКС и НОВЫЙ</t>
  </si>
  <si>
    <t xml:space="preserve">Длина за вычетом отступов</t>
  </si>
  <si>
    <t xml:space="preserve">Максим.расстояние между нитями</t>
  </si>
  <si>
    <t xml:space="preserve">Первичн.расчёт кол-ва накопителей</t>
  </si>
  <si>
    <t xml:space="preserve">первичн.расчёт расст. между нитями</t>
  </si>
  <si>
    <t xml:space="preserve">стоимость штучных на 1 изделие</t>
  </si>
  <si>
    <t xml:space="preserve">стоимость гориз.погонажа на 1 изд-е</t>
  </si>
  <si>
    <t xml:space="preserve">стоимость вертик.погонажа на 1 изд-е</t>
  </si>
  <si>
    <t xml:space="preserve">доплата за длину свыше 3 м за каждые 0,5 метра</t>
  </si>
  <si>
    <t xml:space="preserve">Кол-во доп.полуметров</t>
  </si>
  <si>
    <t xml:space="preserve">Итого доплата сверхдлину</t>
  </si>
  <si>
    <t xml:space="preserve">работа</t>
  </si>
  <si>
    <t xml:space="preserve">Цена карниза без мотора</t>
  </si>
  <si>
    <t xml:space="preserve">Нужны стеновые кронштейны (уголки)?</t>
  </si>
  <si>
    <t xml:space="preserve">Кол-во стержней</t>
  </si>
  <si>
    <t xml:space="preserve">Цена стержня за 1 пог.м.</t>
  </si>
  <si>
    <t xml:space="preserve">Цена одного стержня</t>
  </si>
  <si>
    <t xml:space="preserve">Стоимость стержней</t>
  </si>
  <si>
    <t xml:space="preserve">Какой отвес</t>
  </si>
  <si>
    <t xml:space="preserve">Цена отвеса за 1 пог.м.</t>
  </si>
  <si>
    <t xml:space="preserve">Цена одного отвеса</t>
  </si>
  <si>
    <t xml:space="preserve">Цена карниза с мотором</t>
  </si>
  <si>
    <t xml:space="preserve">название карниза для КП</t>
  </si>
  <si>
    <t xml:space="preserve">курс</t>
  </si>
  <si>
    <t xml:space="preserve">$</t>
  </si>
  <si>
    <t xml:space="preserve">АС1600</t>
  </si>
  <si>
    <t xml:space="preserve">Пульт АС1600 одноканальный</t>
  </si>
  <si>
    <t xml:space="preserve">Переносной / настенный, с магнитным держателем</t>
  </si>
  <si>
    <t xml:space="preserve">АС1670</t>
  </si>
  <si>
    <t xml:space="preserve">Пульт АС1670 одноканальный</t>
  </si>
  <si>
    <t xml:space="preserve">настенный</t>
  </si>
  <si>
    <t xml:space="preserve">АС1660</t>
  </si>
  <si>
    <t xml:space="preserve">Пульт АС1660 1-канальный с 2-мя контроллерами</t>
  </si>
  <si>
    <t xml:space="preserve">АС1671</t>
  </si>
  <si>
    <t xml:space="preserve">Пульт АС1671 2-канальный</t>
  </si>
  <si>
    <t xml:space="preserve">АС1700</t>
  </si>
  <si>
    <t xml:space="preserve">Пульт АС1700 одноканальный сенсорный, стеклянная панель</t>
  </si>
  <si>
    <t xml:space="preserve">АС1673</t>
  </si>
  <si>
    <t xml:space="preserve">Пульт АС1673 многоканальный (до 15 каналов)</t>
  </si>
  <si>
    <t xml:space="preserve">АС1770</t>
  </si>
  <si>
    <t xml:space="preserve">Пульт АС1770 одноканальный сенсорный, стеклянная панель</t>
  </si>
  <si>
    <t xml:space="preserve">АС1602</t>
  </si>
  <si>
    <t xml:space="preserve">Пульт АС1602 многоканальный (до 15 каналов)</t>
  </si>
  <si>
    <t xml:space="preserve">АС1603</t>
  </si>
  <si>
    <t xml:space="preserve">Пульт АС1603 с таймером одноканальный</t>
  </si>
  <si>
    <t xml:space="preserve">АС1675</t>
  </si>
  <si>
    <t xml:space="preserve">Пульт АС1675 с таймером одноканальный</t>
  </si>
  <si>
    <t xml:space="preserve">АС1662</t>
  </si>
  <si>
    <t xml:space="preserve">Пульт АС1662 с 2-мя контроллерами многоканальный (до 15 каналов)</t>
  </si>
  <si>
    <t xml:space="preserve">АС1702</t>
  </si>
  <si>
    <t xml:space="preserve">Пульт АС1702 многоканальный (до 15 каналов) сенсорный, стеклянная панель</t>
  </si>
  <si>
    <t xml:space="preserve">АС1665</t>
  </si>
  <si>
    <t xml:space="preserve">Пульт АС1665 с таймером, 2-мя контроллерами многоканальный (до 5 каналов)</t>
  </si>
  <si>
    <t xml:space="preserve">АС1663</t>
  </si>
  <si>
    <t xml:space="preserve">Пульт АС1663 с таймером, 2-мя контроллерами</t>
  </si>
  <si>
    <t xml:space="preserve">SITUO 1 RTS II PURE</t>
  </si>
  <si>
    <t xml:space="preserve">Пульт SITUO 1 RTS PURE 1-канальный </t>
  </si>
  <si>
    <t xml:space="preserve">переносной, IP 30, цвет белый, новый изогнутый дизайн</t>
  </si>
  <si>
    <t xml:space="preserve">SITUO 1 RTS II IRON</t>
  </si>
  <si>
    <t xml:space="preserve">Пульт SITUO 1 RTS SILVER 1-канальный </t>
  </si>
  <si>
    <t xml:space="preserve">переносной, IP 30, цвет серебристый, новый изогнутый дизайн</t>
  </si>
  <si>
    <t xml:space="preserve">SITUO 1 RTS II NATURAL</t>
  </si>
  <si>
    <t xml:space="preserve">Пульт SITUO 1 RTS ROSE GOLD 1-канальный </t>
  </si>
  <si>
    <t xml:space="preserve">переносной, IP 30, цвет розовое золото, новый изогнутый дизайн</t>
  </si>
  <si>
    <t xml:space="preserve">SITUO 1 RTS II ARCTIC</t>
  </si>
  <si>
    <t xml:space="preserve">Пульт SITUO 1 RTS GOLD 1-канальный </t>
  </si>
  <si>
    <t xml:space="preserve">переносной, IP 30, цвет золото, новый изогнутый дизайн</t>
  </si>
  <si>
    <t xml:space="preserve">SITUO 2 RTS II PURE, радиопередатчик 2-канальный </t>
  </si>
  <si>
    <t xml:space="preserve">Пульт SITUO 2 RTS II PURE, радиопередатчик 2-канальный </t>
  </si>
  <si>
    <t xml:space="preserve">Переносной, IP 30, цвет белый, новый изогнутый дизайн</t>
  </si>
  <si>
    <t xml:space="preserve">SITUO 5 RTS II PURE, радиопередатчик 4+1-канальный </t>
  </si>
  <si>
    <t xml:space="preserve">Пульт SITUO 5 RTS II PURE, радиопередатчик 4+1-канальный </t>
  </si>
  <si>
    <t xml:space="preserve">IP 30, цвет белый, новый изогнутый дизайн</t>
  </si>
  <si>
    <t xml:space="preserve">Situo 5 RTS II IRON, радиопередатчик 5-канальный </t>
  </si>
  <si>
    <t xml:space="preserve">Пульт Situo 5 RTS II IRON, радиопередатчик 5-канальный </t>
  </si>
  <si>
    <t xml:space="preserve">Situo 5 RTS II NATURAL, радиопередатчик 5-канальный </t>
  </si>
  <si>
    <t xml:space="preserve">Пульт Situo 5 RTS II NATURAL, радиопередатчик 5-канальный </t>
  </si>
  <si>
    <t xml:space="preserve">Переносной, IP 30, цвет сеетлое дерево, новый изогнутый дизайн</t>
  </si>
  <si>
    <t xml:space="preserve">Situo 5 RTS II ARCTIC, радиопередатчик 5-канальный </t>
  </si>
  <si>
    <t xml:space="preserve">Пульт Situo 5 RTS II ARCTIC, радиопередатчик 5-канальный </t>
  </si>
  <si>
    <t xml:space="preserve">Переносной, IP 30, цвет белый с узором, новый изогнутый дизайн</t>
  </si>
  <si>
    <t xml:space="preserve">SITUO 1 VARIATION RTS II PURE, для жалюзи 1-канальный </t>
  </si>
  <si>
    <t xml:space="preserve">Пульт SITUO 1 VARIATION RTS II PURE, для жалюзи 1-канальный </t>
  </si>
  <si>
    <t xml:space="preserve">SITUO 1 VARIATION RTS II IRON радиопередатчик для жалюзи 1-канальный </t>
  </si>
  <si>
    <t xml:space="preserve">Пульт SITUO 1 VARIATION RTS II IRON радиопередатчик для жалюзи 1-канальный </t>
  </si>
  <si>
    <t xml:space="preserve">Переносной, IP 30, цвет серебристый, новый изогнутый дизайн</t>
  </si>
  <si>
    <t xml:space="preserve">SITUO 5 VARIATION RTS II PURE, для жалюзи 5-канальный </t>
  </si>
  <si>
    <t xml:space="preserve">Пульт SITUO 5 VARIATION RTS II PURE, для жалюзи 5-канальный </t>
  </si>
  <si>
    <t xml:space="preserve">SITUO 5 VARIATION RTS II IRON радиопередатчик для жалюзи 5-канальный </t>
  </si>
  <si>
    <r>
      <rPr>
        <sz val="8"/>
        <rFont val="Arial"/>
        <family val="2"/>
        <charset val="204"/>
      </rPr>
      <t xml:space="preserve">Пульт </t>
    </r>
    <r>
      <rPr>
        <sz val="9"/>
        <rFont val="Calibri"/>
        <family val="2"/>
        <charset val="204"/>
      </rPr>
      <t xml:space="preserve">SITUO 5 VARIATION RTS II IRON радиопередатчик для жалюзи 5-канальный </t>
    </r>
  </si>
  <si>
    <t xml:space="preserve">TELIS 1 RTS PATIO,  1-канальный </t>
  </si>
  <si>
    <r>
      <rPr>
        <sz val="8"/>
        <rFont val="Arial"/>
        <family val="2"/>
        <charset val="204"/>
      </rPr>
      <t xml:space="preserve">Пульт </t>
    </r>
    <r>
      <rPr>
        <sz val="9"/>
        <rFont val="Calibri"/>
        <family val="2"/>
        <charset val="204"/>
      </rPr>
      <t xml:space="preserve">TELIS 1 RTS PATIO,  1-канальный </t>
    </r>
  </si>
  <si>
    <t xml:space="preserve">Переносной, IP 44, влагозащищенный, цвет белый с синей прорезиненной рамкой</t>
  </si>
  <si>
    <t xml:space="preserve">TELIS 1 RTS LOUNGE,  1-канальный </t>
  </si>
  <si>
    <t xml:space="preserve">Пульт TELIS 1 RTS LOUNGE,  1-канальный </t>
  </si>
  <si>
    <t xml:space="preserve">Переносной, IP 30, цвет черный</t>
  </si>
  <si>
    <t xml:space="preserve">TELIS 4 RTS PATIO, 4+1-канальный </t>
  </si>
  <si>
    <t xml:space="preserve">Пульт TELIS 4 RTS PATIO, 4+1-канальный </t>
  </si>
  <si>
    <t xml:space="preserve">TELIS 4 RTS LOUNGE, 4+1-канальный </t>
  </si>
  <si>
    <t xml:space="preserve">Пульт TELIS 4 RTS LOUNGE, 4+1-канальный </t>
  </si>
  <si>
    <t xml:space="preserve">TELIS 16 RTS PURE, 16 канальный</t>
  </si>
  <si>
    <t xml:space="preserve">Пульт TELIS 16 RTS PURE, 16 канальный</t>
  </si>
  <si>
    <t xml:space="preserve">Переносной, IP 30, ЖК-дисплей, цвет белый</t>
  </si>
  <si>
    <t xml:space="preserve">TELIS 16 RTS SILVER, 16 канальный</t>
  </si>
  <si>
    <t xml:space="preserve">Пульт TELIS 16 RTS SILVER, 16 канальный</t>
  </si>
  <si>
    <t xml:space="preserve">Переносной, IP 30, ЖК-дисплей, цвет серебристый</t>
  </si>
  <si>
    <t xml:space="preserve">TELIS 6 CHRONIS RTS PURE, сценарный, 6-канальный </t>
  </si>
  <si>
    <t xml:space="preserve">Пульт TELIS 6 CHRONIS RTS PURE, сценарный, 6-канальный </t>
  </si>
  <si>
    <t xml:space="preserve">TELIS 6 CHRONIS RTS SILVER, сценарный, 6-канальный </t>
  </si>
  <si>
    <t xml:space="preserve">Пульт TELIS 6 CHRONIS RTS SILVER, сценарный, 6-канальный </t>
  </si>
  <si>
    <t xml:space="preserve">TELIS 1 MODULIS RTS LOUNGE, для жалюзи, 1-канальный </t>
  </si>
  <si>
    <t xml:space="preserve">Пульт TELIS 1 MODULIS RTS LOUNGE, для жалюзи, 1-канальный </t>
  </si>
  <si>
    <t xml:space="preserve">Переносной, IP 30, цвет черный, ролик поворота ламелей Scroll Lock </t>
  </si>
  <si>
    <t xml:space="preserve">TELIS MODULIS SOLIRIS RTS PURE,  для жалюзи, 1-канальный</t>
  </si>
  <si>
    <t xml:space="preserve">Пульт TELIS MODULIS SOLIRIS RTS PURE,  для жалюзи, 1-канальный</t>
  </si>
  <si>
    <t xml:space="preserve">Переносной, IP 30, цвет белый, ролик поворота ламелей Scroll Lock, вкл./откл. датчика солнца      </t>
  </si>
  <si>
    <t xml:space="preserve">TELIS SOLIRIS RTS PURE, 1-канальный</t>
  </si>
  <si>
    <t xml:space="preserve">Пульт TELIS SOLIRIS RTS PURE, 1-канальный</t>
  </si>
  <si>
    <t xml:space="preserve">Переносной, IP 30, цвет белый, вкл./откл. датчика солнца</t>
  </si>
  <si>
    <t xml:space="preserve">TELIS SOLIRIS RTS PATIO, 1-канальный</t>
  </si>
  <si>
    <t xml:space="preserve">Пульт TELIS SOLIRIS RTS PATIO, 1-канальный</t>
  </si>
  <si>
    <t xml:space="preserve">Переносной, IP 44, влагозащищенный, цвет белый с синей прорезиненной рамкой, вкл./откл. датчика солнца</t>
  </si>
  <si>
    <t xml:space="preserve">TELIS 4 SOLIRIS RTS PATIO 4+1-канальный</t>
  </si>
  <si>
    <t xml:space="preserve">Пульт TELIS 4 SOLIRIS RTS PATIO 4+1-канальный</t>
  </si>
  <si>
    <t xml:space="preserve">Connector DD7002B</t>
  </si>
  <si>
    <t xml:space="preserve">Устройство Connector DD7002B (AKKO) для управления со смартфона и голосовыми помощниками</t>
  </si>
  <si>
    <t xml:space="preserve">CONNEXOON WINDOW RTS</t>
  </si>
  <si>
    <r>
      <rPr>
        <sz val="8"/>
        <rFont val="Arial"/>
        <family val="2"/>
        <charset val="204"/>
      </rPr>
      <t xml:space="preserve">Устройство </t>
    </r>
    <r>
      <rPr>
        <sz val="10"/>
        <rFont val="Calibri"/>
        <family val="2"/>
        <charset val="204"/>
      </rPr>
      <t xml:space="preserve">CONNEXOON</t>
    </r>
    <r>
      <rPr>
        <sz val="8"/>
        <rFont val="Arial"/>
        <family val="2"/>
        <charset val="204"/>
      </rPr>
      <t xml:space="preserve"> для управления со смартфона (Somfy)</t>
    </r>
  </si>
  <si>
    <t xml:space="preserve">Питание</t>
  </si>
  <si>
    <t xml:space="preserve">Наименование для КП</t>
  </si>
  <si>
    <t xml:space="preserve">Наименование для подбора</t>
  </si>
  <si>
    <t xml:space="preserve">Розница в руб. за ед.</t>
  </si>
  <si>
    <t xml:space="preserve">Зарядное устройство для эл/приводов (16LE/25LE/35LE) и АКБ 12В</t>
  </si>
  <si>
    <t xml:space="preserve">Зарядное устройство Sonesse 30 WireFree 230/12 В</t>
  </si>
  <si>
    <t xml:space="preserve">Зарядное устройство для эл/приводов Sonesse 30 WireFree 230/12 В</t>
  </si>
  <si>
    <t xml:space="preserve">Наценка</t>
  </si>
  <si>
    <t xml:space="preserve">мин. Ширина</t>
  </si>
  <si>
    <t xml:space="preserve">макс. Ширина</t>
  </si>
  <si>
    <t xml:space="preserve">макс. Высота</t>
  </si>
  <si>
    <t xml:space="preserve">макс. Площадь</t>
  </si>
  <si>
    <t xml:space="preserve">$ вход базовый за ед.</t>
  </si>
  <si>
    <t xml:space="preserve">$ вход со скидкой 15% за ед.</t>
  </si>
  <si>
    <t xml:space="preserve">вход со скидкой 15% в руб. за ед.</t>
  </si>
  <si>
    <t xml:space="preserve">    Код</t>
  </si>
  <si>
    <t xml:space="preserve">Наименование </t>
  </si>
  <si>
    <t xml:space="preserve">Цена  за 1 m²                 </t>
  </si>
  <si>
    <t xml:space="preserve">Цена за 1 m²                 </t>
  </si>
  <si>
    <t xml:space="preserve">25 мм </t>
  </si>
  <si>
    <t xml:space="preserve">белый глянцевый</t>
  </si>
  <si>
    <t xml:space="preserve">0221</t>
  </si>
  <si>
    <t xml:space="preserve">шагрень</t>
  </si>
  <si>
    <t xml:space="preserve">белый матовый</t>
  </si>
  <si>
    <t xml:space="preserve">0120</t>
  </si>
  <si>
    <t xml:space="preserve">светло-серый</t>
  </si>
  <si>
    <t xml:space="preserve">лен</t>
  </si>
  <si>
    <t xml:space="preserve">серый матовый</t>
  </si>
  <si>
    <t xml:space="preserve">графит</t>
  </si>
  <si>
    <t xml:space="preserve">черый</t>
  </si>
  <si>
    <t xml:space="preserve">полоса</t>
  </si>
  <si>
    <t xml:space="preserve">тёмно-серый</t>
  </si>
  <si>
    <t xml:space="preserve">магнолия</t>
  </si>
  <si>
    <t xml:space="preserve">светло-бежевый</t>
  </si>
  <si>
    <t xml:space="preserve">штрих</t>
  </si>
  <si>
    <t xml:space="preserve">темно-бежевый</t>
  </si>
  <si>
    <t xml:space="preserve">шоколад</t>
  </si>
  <si>
    <t xml:space="preserve">коричневый</t>
  </si>
  <si>
    <t xml:space="preserve">ваниль</t>
  </si>
  <si>
    <t xml:space="preserve">перламутр</t>
  </si>
  <si>
    <t xml:space="preserve">желтый</t>
  </si>
  <si>
    <t xml:space="preserve">лимонный</t>
  </si>
  <si>
    <t xml:space="preserve">дюна</t>
  </si>
  <si>
    <t xml:space="preserve">кварц</t>
  </si>
  <si>
    <t xml:space="preserve">кремово-розовый</t>
  </si>
  <si>
    <t xml:space="preserve">персиковый</t>
  </si>
  <si>
    <t xml:space="preserve">кварц графит</t>
  </si>
  <si>
    <t xml:space="preserve">красный</t>
  </si>
  <si>
    <t xml:space="preserve">35 мм</t>
  </si>
  <si>
    <t xml:space="preserve">светло-розовый</t>
  </si>
  <si>
    <t xml:space="preserve">0225</t>
  </si>
  <si>
    <t xml:space="preserve">белый</t>
  </si>
  <si>
    <t xml:space="preserve">розовый</t>
  </si>
  <si>
    <t xml:space="preserve">абрикосовый</t>
  </si>
  <si>
    <t xml:space="preserve">темно-абрикосовый</t>
  </si>
  <si>
    <t xml:space="preserve">серебро</t>
  </si>
  <si>
    <t xml:space="preserve">темно-лиловый</t>
  </si>
  <si>
    <t xml:space="preserve">50 мм</t>
  </si>
  <si>
    <t xml:space="preserve">лиловый</t>
  </si>
  <si>
    <t xml:space="preserve">0120, 7005</t>
  </si>
  <si>
    <t xml:space="preserve">белый, металлик</t>
  </si>
  <si>
    <t xml:space="preserve">светло-голубой</t>
  </si>
  <si>
    <t xml:space="preserve">6010 ,6013</t>
  </si>
  <si>
    <t xml:space="preserve">под дерево</t>
  </si>
  <si>
    <t xml:space="preserve">голубой</t>
  </si>
  <si>
    <t xml:space="preserve">16 мм</t>
  </si>
  <si>
    <t xml:space="preserve">индиго</t>
  </si>
  <si>
    <t xml:space="preserve">белая глянцевая</t>
  </si>
  <si>
    <t xml:space="preserve">светло-зеленый</t>
  </si>
  <si>
    <t xml:space="preserve">зеленый матовый</t>
  </si>
  <si>
    <t xml:space="preserve">салатовый</t>
  </si>
  <si>
    <t xml:space="preserve">металлик</t>
  </si>
  <si>
    <t xml:space="preserve">золото</t>
  </si>
  <si>
    <t xml:space="preserve">зернистое золото</t>
  </si>
  <si>
    <t xml:space="preserve">красное золото</t>
  </si>
  <si>
    <t xml:space="preserve">под дерево бук</t>
  </si>
  <si>
    <t xml:space="preserve">металлик темно-серый</t>
  </si>
  <si>
    <t xml:space="preserve">под дерево дуб</t>
  </si>
  <si>
    <t xml:space="preserve">металлик сиреневый</t>
  </si>
  <si>
    <t xml:space="preserve">Спецпредложение</t>
  </si>
  <si>
    <t xml:space="preserve">металлик салатовый</t>
  </si>
  <si>
    <t xml:space="preserve">металлик персиковый</t>
  </si>
  <si>
    <t xml:space="preserve">металлик темно-коричневый</t>
  </si>
  <si>
    <t xml:space="preserve">металлик розовый</t>
  </si>
  <si>
    <t xml:space="preserve">металлик синий</t>
  </si>
  <si>
    <t xml:space="preserve">бархат голубой соболь</t>
  </si>
  <si>
    <t xml:space="preserve">металлик бежевый</t>
  </si>
  <si>
    <t xml:space="preserve">металлик голубой</t>
  </si>
  <si>
    <t xml:space="preserve">25 мм</t>
  </si>
  <si>
    <t xml:space="preserve">чайная роза</t>
  </si>
  <si>
    <t xml:space="preserve">серебро/золото***</t>
  </si>
  <si>
    <t xml:space="preserve">коралл</t>
  </si>
  <si>
    <t xml:space="preserve">перфорация магнолия</t>
  </si>
  <si>
    <t xml:space="preserve">2259п</t>
  </si>
  <si>
    <t xml:space="preserve">темно-зеленый матовый</t>
  </si>
  <si>
    <t xml:space="preserve">перфорация металлик</t>
  </si>
  <si>
    <t xml:space="preserve">7005п</t>
  </si>
  <si>
    <t xml:space="preserve">сиреневый перламутр</t>
  </si>
  <si>
    <t xml:space="preserve">перфорация белая</t>
  </si>
  <si>
    <t xml:space="preserve">0225п</t>
  </si>
  <si>
    <t xml:space="preserve">бирюзовый перламутр</t>
  </si>
  <si>
    <t xml:space="preserve">перфорация черный</t>
  </si>
  <si>
    <t xml:space="preserve">1908п</t>
  </si>
  <si>
    <t xml:space="preserve">зеленый чай</t>
  </si>
  <si>
    <t xml:space="preserve">перфорация красное золото</t>
  </si>
  <si>
    <t xml:space="preserve">7128п</t>
  </si>
  <si>
    <t xml:space="preserve">принт металлик</t>
  </si>
  <si>
    <t xml:space="preserve">белый под дерево</t>
  </si>
  <si>
    <t xml:space="preserve">принт серый</t>
  </si>
  <si>
    <t xml:space="preserve">сосна</t>
  </si>
  <si>
    <t xml:space="preserve">темно-зеленый</t>
  </si>
  <si>
    <t xml:space="preserve">бук</t>
  </si>
  <si>
    <t xml:space="preserve">дуб</t>
  </si>
  <si>
    <t xml:space="preserve">орех</t>
  </si>
  <si>
    <t xml:space="preserve">каштан</t>
  </si>
  <si>
    <t xml:space="preserve">тик</t>
  </si>
  <si>
    <t xml:space="preserve">белый жемчуг</t>
  </si>
  <si>
    <t xml:space="preserve">Ограничения!!!</t>
  </si>
  <si>
    <t xml:space="preserve">16мм</t>
  </si>
  <si>
    <t xml:space="preserve">Min</t>
  </si>
  <si>
    <t xml:space="preserve">Max</t>
  </si>
  <si>
    <t xml:space="preserve">Наклонные 16мм/25мм</t>
  </si>
  <si>
    <t xml:space="preserve">ширина</t>
  </si>
  <si>
    <t xml:space="preserve">высота</t>
  </si>
  <si>
    <t xml:space="preserve">Кв.м</t>
  </si>
  <si>
    <t xml:space="preserve">Мах угол наклона не более 15 градусов</t>
  </si>
  <si>
    <t xml:space="preserve">25мм</t>
  </si>
  <si>
    <t xml:space="preserve">Межрамные 16мм/25мм</t>
  </si>
  <si>
    <t xml:space="preserve">*** НА ЖАЛЮЗИ ВОЛНА 35мм И ЖАЛЮЗИ 50мм НАКОПИТЕЛЬНАЯ СКИДКА НЕ РАСПРОСТРАНЯЕТСЯ!</t>
  </si>
  <si>
    <t xml:space="preserve">*** ЛЕНТА 7105 по умолчанию лицевая сторона всегда СЕРЕБРО!</t>
  </si>
  <si>
    <t xml:space="preserve">ВНИМАНИЕ! При заказе межрамных жалюзи цена изделия увеличивается на 3 $.</t>
  </si>
  <si>
    <t xml:space="preserve">При заказе межрамных жалюзи с рычагом управления цена изделия увеличивается на 19 $.</t>
  </si>
  <si>
    <t xml:space="preserve">Комплект боковой фиксации на одно изделие 10 $, кв.м+2 $.</t>
  </si>
  <si>
    <t xml:space="preserve">Стоимость комплекта крепления для пластиковых окон 18 $.</t>
  </si>
  <si>
    <t xml:space="preserve">Чередование 2-х цветов ленты +50%</t>
  </si>
  <si>
    <t xml:space="preserve">Чередование более 2-х цветов ленты +100%</t>
  </si>
  <si>
    <t xml:space="preserve">Декоративный карниз горизонтальный 25мм/16мм 1 $ за метр.</t>
  </si>
  <si>
    <t xml:space="preserve">Комплект нижних фиксатров 25мм/16мм 0,5 $.</t>
  </si>
  <si>
    <t xml:space="preserve">Магнитный держатель нижнего карниза 2 $ за шт.</t>
  </si>
  <si>
    <t xml:space="preserve">Ручка в сборе для горизонтальных жалюзи 0,5 $ за метр.</t>
  </si>
  <si>
    <t xml:space="preserve">Рекомендуемая максимальная площадь изделия 7 кв.м.</t>
  </si>
  <si>
    <t xml:space="preserve">Внимание! Оттенки ленты могут меняться в зависимости от поставки.</t>
  </si>
  <si>
    <t xml:space="preserve">В случае  увеличения указанных лимитов гарантия на изделие не распространяется</t>
  </si>
  <si>
    <t xml:space="preserve">=</t>
  </si>
  <si>
    <t xml:space="preserve">#ERR520!</t>
  </si>
  <si>
    <t xml:space="preserve">без мотора</t>
  </si>
  <si>
    <t xml:space="preserve">, ручное управление</t>
  </si>
  <si>
    <t xml:space="preserve">Комплект электрики Amigo для гор. 16/25мм (провод)</t>
  </si>
  <si>
    <t xml:space="preserve">провод</t>
  </si>
  <si>
    <t xml:space="preserve">Проводн. ГЖ 16/25мм</t>
  </si>
  <si>
    <t xml:space="preserve">, эл/привод «AKKO» 12В, управление проводное сменой полярности, б/п в комплекте</t>
  </si>
  <si>
    <t xml:space="preserve">Комплект электрики Amigo для гор. 50мм (провод)</t>
  </si>
  <si>
    <t xml:space="preserve">Проводн. ГЖ 50мм</t>
  </si>
  <si>
    <t xml:space="preserve">, эл/привод «AKKO» 220В, управление фазное</t>
  </si>
  <si>
    <t xml:space="preserve">Комплект электрики Amigo для гор. 16/25мм (радио)</t>
  </si>
  <si>
    <t xml:space="preserve">радио</t>
  </si>
  <si>
    <t xml:space="preserve">Радио ГЖ 16/25мм</t>
  </si>
  <si>
    <t xml:space="preserve">, эл/привод «AKKO» 12В, управление - радио, б/п в комплекте</t>
  </si>
  <si>
    <t xml:space="preserve">Комплект электрики Amigo для гор. 50мм (радио)</t>
  </si>
  <si>
    <t xml:space="preserve">Радио ГЖ 50мм</t>
  </si>
  <si>
    <t xml:space="preserve">, эл/привод «AKKO» 220В, управление - радио</t>
  </si>
  <si>
    <t xml:space="preserve">Комплект электрики Amigo для гор.16/25мм (рад.АКБ)</t>
  </si>
  <si>
    <t xml:space="preserve">радио+АКБ</t>
  </si>
  <si>
    <t xml:space="preserve">Радио+АКБ 16/25мм</t>
  </si>
  <si>
    <t xml:space="preserve">, эл/привод «AKKO» 12В, управление - радио, АКБ</t>
  </si>
  <si>
    <t xml:space="preserve">Комплект электрики Amigo для гор. 50мм (радио,АКБ)</t>
  </si>
  <si>
    <t xml:space="preserve">Радио+АКБ 50мм</t>
  </si>
  <si>
    <t xml:space="preserve">, эл/привод «AKKO» 12В, управление - радио, встроенная АКБ</t>
  </si>
  <si>
    <t xml:space="preserve">Комплект электрики Somfy для гор. 16/25мм (провод)</t>
  </si>
  <si>
    <t xml:space="preserve">Somfy провод 16/25мм</t>
  </si>
  <si>
    <t xml:space="preserve">, эл/привод Somfy 24В, управление проводное сменой полярности, в комплекте настенный выкл-ль со встроенным б/п и корпусом накладного монтажа</t>
  </si>
  <si>
    <t xml:space="preserve">Комплект электрики Somfy для гор. 50мм (провод)</t>
  </si>
  <si>
    <t xml:space="preserve">Somfy провод 50мм</t>
  </si>
  <si>
    <t xml:space="preserve">, эл/привод Somfy 220В, управление фазное</t>
  </si>
  <si>
    <t xml:space="preserve">Комплект электрики Somfy для гор. 16/25мм (радио)</t>
  </si>
  <si>
    <t xml:space="preserve">Somfy Радио 16/25мм</t>
  </si>
  <si>
    <t xml:space="preserve">, эл/привод Somfy 24В, управление — радио, в комплекте приёмник радиосигнала и б/п</t>
  </si>
  <si>
    <t xml:space="preserve">Комплект электрики Somfy для гор.16/25мм(рад.б/БП)</t>
  </si>
  <si>
    <t xml:space="preserve">S-fy б/б/п Радио 16/25мм</t>
  </si>
  <si>
    <t xml:space="preserve">, эл/привод Somfy 12В без б/п, со встроенным приёмником радиосигнала</t>
  </si>
  <si>
    <t xml:space="preserve">Комплект электрики Somfy для гор. 50мм (радио)</t>
  </si>
  <si>
    <t xml:space="preserve">Somfy Радио 50мм</t>
  </si>
  <si>
    <t xml:space="preserve">, эл/привод Somfy 220В со встроенным приёмником радиосигнала</t>
  </si>
  <si>
    <t xml:space="preserve">Опции</t>
  </si>
  <si>
    <t xml:space="preserve">межрамные</t>
  </si>
  <si>
    <t xml:space="preserve">Комплект боковой фиксации</t>
  </si>
  <si>
    <t xml:space="preserve">На пласт.окно</t>
  </si>
  <si>
    <t xml:space="preserve">Крепления для пластиковых окон</t>
  </si>
  <si>
    <t xml:space="preserve">Комплект боковой фиксации (на каждый кв.м.)</t>
  </si>
  <si>
    <t xml:space="preserve">Данные из расчёта размера изделия 1х1 м. Система — всё, что сверху, без реек, направляющих, скотча, заглушек, шлегеля для них</t>
  </si>
  <si>
    <t xml:space="preserve">Специф-я в 1С №</t>
  </si>
  <si>
    <t xml:space="preserve">название для КП</t>
  </si>
  <si>
    <t xml:space="preserve">вход.цена/ед., $</t>
  </si>
  <si>
    <t xml:space="preserve">вход.цена / ед., руб.</t>
  </si>
  <si>
    <t xml:space="preserve">вход.цена комплекта, руб</t>
  </si>
  <si>
    <t xml:space="preserve">розн.цена комплекта, руб.</t>
  </si>
  <si>
    <t xml:space="preserve">Итого штучных:</t>
  </si>
  <si>
    <t xml:space="preserve">Итого гориз.погонаж:</t>
  </si>
  <si>
    <t xml:space="preserve">Итого вертик.погонаж:</t>
  </si>
  <si>
    <t xml:space="preserve">Применимость настенных кронштейнов отдельно</t>
  </si>
  <si>
    <t xml:space="preserve">Настенный кронштейн</t>
  </si>
  <si>
    <t xml:space="preserve">для АККО</t>
  </si>
  <si>
    <t xml:space="preserve">Рим-1</t>
  </si>
  <si>
    <t xml:space="preserve">Карниз римских штор тип «RS» для моторизации АККО. </t>
  </si>
  <si>
    <t xml:space="preserve">Карниз для римских штор RS для моторизации АККО</t>
  </si>
  <si>
    <t xml:space="preserve">Переходник DH36 на октогональный вал</t>
  </si>
  <si>
    <t xml:space="preserve">Адаптер DL44 для октогонального вала</t>
  </si>
  <si>
    <t xml:space="preserve">Заглушка в октогональный вал / DW13 / Idler</t>
  </si>
  <si>
    <t xml:space="preserve">Крепление для привода и заглушки / DZ52 / Idler bracket</t>
  </si>
  <si>
    <t xml:space="preserve">Заглушка Astra AL</t>
  </si>
  <si>
    <t xml:space="preserve">Профиль Astra AL</t>
  </si>
  <si>
    <t xml:space="preserve">Труба октогональная</t>
  </si>
  <si>
    <t xml:space="preserve">Лента велькро (жесткая часть) с клеящим слоем</t>
  </si>
  <si>
    <t xml:space="preserve">Ответная лента (белый)</t>
  </si>
  <si>
    <t xml:space="preserve">Кронштейн Astra AL</t>
  </si>
  <si>
    <t xml:space="preserve">Комплект: крепление и конус шнуронамотки rope winder system</t>
  </si>
  <si>
    <t xml:space="preserve">Верёвка</t>
  </si>
  <si>
    <t xml:space="preserve">РАБОТА</t>
  </si>
  <si>
    <t xml:space="preserve">для Somfy</t>
  </si>
  <si>
    <t xml:space="preserve">Рим-2</t>
  </si>
  <si>
    <t xml:space="preserve">Карниз римских штор тип «RS» для моторизации Somfy. </t>
  </si>
  <si>
    <t xml:space="preserve">Карниз для римских штор RS для моторизации Somfy</t>
  </si>
  <si>
    <t xml:space="preserve">Комплект адаптеров Sonesse 40 для окто вала Ø40мм </t>
  </si>
  <si>
    <t xml:space="preserve">Стеновой кронштейн</t>
  </si>
  <si>
    <t xml:space="preserve">руб/шт.</t>
  </si>
  <si>
    <t xml:space="preserve">Стержень фибергласовый</t>
  </si>
  <si>
    <t xml:space="preserve">Утяжелитель алюминий, 3x20мм</t>
  </si>
  <si>
    <t xml:space="preserve">Отвес алюм 3х20 мм. </t>
  </si>
  <si>
    <t xml:space="preserve">Утяжелитель ПВХ, 8x17мм</t>
  </si>
  <si>
    <t xml:space="preserve">Отвес ПВХ 8х17 мм. </t>
  </si>
  <si>
    <t xml:space="preserve">Цена РРЦ каталожная</t>
  </si>
  <si>
    <t xml:space="preserve">Моторы:</t>
  </si>
  <si>
    <t xml:space="preserve">AKKO 35EQ/Y</t>
  </si>
  <si>
    <t xml:space="preserve">эл/прив. «AKKO» АТ35EQ/Y (радиоуправление)</t>
  </si>
  <si>
    <t xml:space="preserve">AKKO 35SL</t>
  </si>
  <si>
    <t xml:space="preserve">эл/прив. «AKKO» АТ35SL (управление пофазно)</t>
  </si>
  <si>
    <t xml:space="preserve">AKKO 35RVQ/L</t>
  </si>
  <si>
    <t xml:space="preserve">эл/прив. «AKKO» АТ35RVQ/L (управление — радио и «сухие контакты»)</t>
  </si>
  <si>
    <t xml:space="preserve">AKKO 35LE</t>
  </si>
  <si>
    <t xml:space="preserve">эл/прив. «AKKO» АТ35LE (встроенная АКБ, управление — радио)</t>
  </si>
  <si>
    <t xml:space="preserve">AKKO35ЕQ/X-6/20 RS485</t>
  </si>
  <si>
    <t xml:space="preserve">эл/прив. «AKKO» АТ35ЕQ/X-6/20 RS485 (управление — радио и RS-485)</t>
  </si>
  <si>
    <t xml:space="preserve">SONESSE 40 3/30</t>
  </si>
  <si>
    <t xml:space="preserve">эл/прив. «SOMFY» SONESSE 40 3/30 (управление пофазно)</t>
  </si>
  <si>
    <t xml:space="preserve">SONESSE 40 6/20</t>
  </si>
  <si>
    <t xml:space="preserve">эл/прив. «SOMFY» SONESSE 40 6/20 (управление пофазно)</t>
  </si>
  <si>
    <t xml:space="preserve">SONESSE 40 RTS 3/30</t>
  </si>
  <si>
    <t xml:space="preserve">эл/прив. «SOMFY» SONESSE 40 RTS 3/30 (радиоуправление)</t>
  </si>
  <si>
    <t xml:space="preserve">SONESSE 40 RTS 6/20</t>
  </si>
  <si>
    <t xml:space="preserve">эл/прив. «SOMFY» SONESSE 40 RTS 6/20 (радиоуправление)</t>
  </si>
  <si>
    <t xml:space="preserve">Screen up 4,5/30</t>
  </si>
  <si>
    <t xml:space="preserve">эл/прив. «SOMFY» SCREEN UP 40 4,5/30 (управление пофазно)</t>
  </si>
  <si>
    <t xml:space="preserve">Бамбук 25мм</t>
  </si>
  <si>
    <t xml:space="preserve">Цвет</t>
  </si>
  <si>
    <t xml:space="preserve">  Ламель (шир./толщ.)мм</t>
  </si>
  <si>
    <t xml:space="preserve">Ширина (min/max)м</t>
  </si>
  <si>
    <t xml:space="preserve">Высота (max)м</t>
  </si>
  <si>
    <t xml:space="preserve">Цена</t>
  </si>
  <si>
    <t xml:space="preserve">кофе</t>
  </si>
  <si>
    <t xml:space="preserve">25 / 5</t>
  </si>
  <si>
    <t xml:space="preserve">0,33 / 1,78</t>
  </si>
  <si>
    <t xml:space="preserve">3,00(макс., 3,30 кв.м) </t>
  </si>
  <si>
    <t xml:space="preserve">махагони</t>
  </si>
  <si>
    <t xml:space="preserve">натуральный</t>
  </si>
  <si>
    <t xml:space="preserve">отбеленный</t>
  </si>
  <si>
    <t xml:space="preserve">тигровый глаз</t>
  </si>
  <si>
    <t xml:space="preserve">черешня</t>
  </si>
  <si>
    <t xml:space="preserve">Бамбук 50мм</t>
  </si>
  <si>
    <t xml:space="preserve">50 / 5</t>
  </si>
  <si>
    <t xml:space="preserve">0,42 / 1,78</t>
  </si>
  <si>
    <t xml:space="preserve">3,00(макс., 3,80 кв.м) </t>
  </si>
  <si>
    <t xml:space="preserve">Дерево 25мм</t>
  </si>
  <si>
    <t xml:space="preserve">венге</t>
  </si>
  <si>
    <t xml:space="preserve">0,33 / 2,10</t>
  </si>
  <si>
    <t xml:space="preserve">3,00(макс., 3,60 кв.м) </t>
  </si>
  <si>
    <t xml:space="preserve"> красное дерево</t>
  </si>
  <si>
    <t xml:space="preserve">кремона</t>
  </si>
  <si>
    <t xml:space="preserve">пиано </t>
  </si>
  <si>
    <t xml:space="preserve">розовое дерево</t>
  </si>
  <si>
    <t xml:space="preserve">снежное дерево</t>
  </si>
  <si>
    <t xml:space="preserve">форте</t>
  </si>
  <si>
    <t xml:space="preserve">Дерево 50мм</t>
  </si>
  <si>
    <t xml:space="preserve"> венге</t>
  </si>
  <si>
    <t xml:space="preserve">0,42 / 2,10</t>
  </si>
  <si>
    <t xml:space="preserve">3,00(макс., 3,50 кв.м) </t>
  </si>
  <si>
    <t xml:space="preserve">красное дерево</t>
  </si>
  <si>
    <t xml:space="preserve">Дерево Павлония 50мм</t>
  </si>
  <si>
    <t xml:space="preserve">0,42 / 2,30</t>
  </si>
  <si>
    <t xml:space="preserve">3,00(макс., 4,50 кв.м) </t>
  </si>
  <si>
    <t xml:space="preserve">лиственница</t>
  </si>
  <si>
    <t xml:space="preserve">Павлония 50мм</t>
  </si>
  <si>
    <t xml:space="preserve">палисандр</t>
  </si>
  <si>
    <t xml:space="preserve">серый</t>
  </si>
  <si>
    <t xml:space="preserve">темно-серый</t>
  </si>
  <si>
    <t xml:space="preserve">черный</t>
  </si>
  <si>
    <t xml:space="preserve">эвкалипт</t>
  </si>
  <si>
    <t xml:space="preserve">ясень</t>
  </si>
  <si>
    <t xml:space="preserve">Пластик 50мм</t>
  </si>
  <si>
    <t xml:space="preserve">стандарт</t>
  </si>
  <si>
    <t xml:space="preserve">берёза</t>
  </si>
  <si>
    <t xml:space="preserve">Горизонтальные жалюзи пластик</t>
  </si>
  <si>
    <t xml:space="preserve">вишня</t>
  </si>
  <si>
    <t xml:space="preserve">0,42 / 2,70</t>
  </si>
  <si>
    <t xml:space="preserve">3,00(макс., 3,20 кв.м) </t>
  </si>
  <si>
    <t xml:space="preserve">Декоративная лесенка (только для 50 мм)</t>
  </si>
  <si>
    <t xml:space="preserve">Комплект боковой фиксации (фиксированная цена за изделие)</t>
  </si>
  <si>
    <t xml:space="preserve">      Ламель 25мм - ширина до 45см управление разносится</t>
  </si>
  <si>
    <t xml:space="preserve">      Ламель 50мм - ширина до 45см управление разносится</t>
  </si>
  <si>
    <t xml:space="preserve">Дополнительно: Декоративная лесенка +5 $ кв.м.(используется только для жалюзи 50мм)</t>
  </si>
  <si>
    <t xml:space="preserve">Система ВЕНУС +5,08 $ к стоимости изделия(только ламель 25мм)</t>
  </si>
  <si>
    <t xml:space="preserve">Классическая система "РЕТРО" 50 мм +13 $ кв.м</t>
  </si>
  <si>
    <t xml:space="preserve">Цена мотора розница, руб./шт.</t>
  </si>
  <si>
    <t xml:space="preserve">Итого на 1 карниз (не зависящие от длины части), руб.</t>
  </si>
  <si>
    <t xml:space="preserve">Итого на 1 м карниза (зависящие от длины части), руб.</t>
  </si>
  <si>
    <t xml:space="preserve">номер для ГПР</t>
  </si>
  <si>
    <t xml:space="preserve">Цена карниза без мотора, БЕЗ НИТЕНАКОПИТЕЛЕЙ</t>
  </si>
  <si>
    <t xml:space="preserve">Мотор / длина, м</t>
  </si>
  <si>
    <t xml:space="preserve">Электрокарниз для римских штор </t>
  </si>
  <si>
    <t xml:space="preserve">AT35E</t>
  </si>
  <si>
    <t xml:space="preserve">AKKO 35E</t>
  </si>
  <si>
    <t xml:space="preserve">Электрокарниз для римских штор «AKKO» AT35E (управление — радио, электронная настройка крайних положений)</t>
  </si>
  <si>
    <t xml:space="preserve">AT35SL</t>
  </si>
  <si>
    <t xml:space="preserve">Электрокарниз для римских штор  «AKKO» AT35SL (управление — фазное, механическая настройка крайних положений)</t>
  </si>
  <si>
    <t xml:space="preserve">AT35RVQ/L</t>
  </si>
  <si>
    <t xml:space="preserve">Электрокарниз для римских штор  «AKKO» AT35RVQ/L (управление — радио и по «сухим контактам», механическая настройка крайних положений)</t>
  </si>
  <si>
    <t xml:space="preserve">AT35LE</t>
  </si>
  <si>
    <t xml:space="preserve">Электрокарниз для римских штор  «AKKO» AT35LE (встроенная АКБ, управление — радио, электронная настройка крайних положений)</t>
  </si>
  <si>
    <t xml:space="preserve">DM35ЕQ/X-6/20 RS485</t>
  </si>
  <si>
    <t xml:space="preserve">Электрокарниз для римских штор «AKKO» AT35ЕQ/X-6/20 RS485 (управление — радио и RS-485, электронная настройка крайних положений)</t>
  </si>
  <si>
    <t xml:space="preserve">AT35S</t>
  </si>
  <si>
    <t xml:space="preserve">Amigo 35S</t>
  </si>
  <si>
    <t xml:space="preserve">Электрокарниз для римских штор  «AKKO» AT35S (управление — фазное, механическая настройка крайних положений)</t>
  </si>
  <si>
    <t xml:space="preserve">Amigo 35E</t>
  </si>
  <si>
    <t xml:space="preserve">Электрокарниз для римских штор  «AKKO» AT35E (управление — радио, электронная настройка крайних положений)</t>
  </si>
  <si>
    <t xml:space="preserve">Amigo 35LE</t>
  </si>
  <si>
    <t xml:space="preserve">Электрокарниз для римских штор SOMFY SCREEN UP 40</t>
  </si>
  <si>
    <t xml:space="preserve">SCREEN UP 40 4,5/30</t>
  </si>
  <si>
    <t xml:space="preserve">Электрокарниз для римских штор «SOMFY» SCREEN UP 40 4,5/30 (управление — фазное, механическая настройка крайних положений)</t>
  </si>
  <si>
    <t xml:space="preserve">Электрокарниз для римских штор  «SOMFY» SONESSE 40 3/30 (управление — фазное, механическая настройка крайних положений)</t>
  </si>
  <si>
    <t xml:space="preserve">Электрокарниз для римских штор  «SOMFY» SONESSE 40 6/20 (управление — фазное, механическая настройка крайних положений)</t>
  </si>
  <si>
    <t xml:space="preserve">SONESSE 40 9/12</t>
  </si>
  <si>
    <t xml:space="preserve">Электрокарниз для римских штор  «SOMFY» SONESSE 40 9/12 (управление — фазное, механическая настройка крайних положений)</t>
  </si>
  <si>
    <t xml:space="preserve">Электрокарниз для римских штор  «SOMFY» SONESSE 40 RTS 3/30 (управление — радио, электронная настройка крайних положений)</t>
  </si>
  <si>
    <t xml:space="preserve">Электрокарниз для римских штор  «SOMFY» SONESSE 40 RTS 6/20 (управление — радио, электронная настройка крайних положений)</t>
  </si>
  <si>
    <t xml:space="preserve">SONESSE 40 RTS 9/12</t>
  </si>
  <si>
    <t xml:space="preserve">Электрокарниз для римских штор  «SOMFY»SONESSE 40 RTS 9/12 (управление — радио, электронная настройка крайних положений)</t>
  </si>
  <si>
    <t xml:space="preserve">Кол-во нитей по умолчанию</t>
  </si>
  <si>
    <t xml:space="preserve">Цена розница, руб./ед.</t>
  </si>
  <si>
    <t xml:space="preserve">Цена розница, $</t>
  </si>
  <si>
    <t xml:space="preserve">Комплектующие:</t>
  </si>
  <si>
    <t xml:space="preserve">Карниз верхний HS (профиль П-образный)</t>
  </si>
  <si>
    <t xml:space="preserve">ПЕРЕХОДНИК DH36 НА ОКТОГОНАЛЬНЫЙ ВАЛ</t>
  </si>
  <si>
    <t xml:space="preserve">АДАПТЕР DL44 ДЛЯ ОКТОГОНАЛЬНОГО ВАЛА</t>
  </si>
  <si>
    <t xml:space="preserve">ЗАГЛУШКА DW13 В ОКТОГОНАЛЬНЫЙ ВАЛ</t>
  </si>
  <si>
    <t xml:space="preserve">КРЕПЛЕНИЕ КОНУСА ШНУРОНАМОТКИ DZ50</t>
  </si>
  <si>
    <t xml:space="preserve">цены с таким фоном заполняются вручную</t>
  </si>
  <si>
    <t xml:space="preserve">КРЕПЛЕНИЕ ДЛЯ ПРИВОДА И ЗАГЛУШКИ DZ52</t>
  </si>
  <si>
    <t xml:space="preserve">КОНУС ШНУРОНАМОТКИ DZ51</t>
  </si>
  <si>
    <t xml:space="preserve">ТРУБА ОКТОГОНАЛЬНАЯ </t>
  </si>
  <si>
    <t xml:space="preserve">Профиль с липучкой (с лентой велькро)</t>
  </si>
  <si>
    <t xml:space="preserve">Веревка белая 1,2мм</t>
  </si>
  <si>
    <t xml:space="preserve">боковые крышки (пара)</t>
  </si>
  <si>
    <t xml:space="preserve">Кронштейн</t>
  </si>
  <si>
    <t xml:space="preserve">Работы:</t>
  </si>
  <si>
    <t xml:space="preserve">Сборка</t>
  </si>
  <si>
    <t xml:space="preserve">Дополнение к сборке (при длине от 2 метров)</t>
  </si>
  <si>
    <t xml:space="preserve">Доставка комплектующих</t>
  </si>
  <si>
    <t xml:space="preserve">Итого на 1 карниз (не зависящие от длины части)</t>
  </si>
  <si>
    <t xml:space="preserve">Итого на 1 м карниза (зависящие от длины части без нитенакопителей)</t>
  </si>
  <si>
    <t xml:space="preserve">Цена нитенакопителя с верёвкой</t>
  </si>
  <si>
    <t xml:space="preserve">ЗАРЯДНОЕ УСТРОЙСТВО DC264,12.6В-1А,ДЛЯ ПРИВОДОВ LE</t>
  </si>
  <si>
    <t xml:space="preserve">Зарядное устройство для приводов DM16LE, DM25LE, DM35LE и для АКБ</t>
  </si>
  <si>
    <t xml:space="preserve">Basic</t>
  </si>
  <si>
    <t xml:space="preserve">Ultra</t>
  </si>
  <si>
    <t xml:space="preserve">До 1,13</t>
  </si>
  <si>
    <t xml:space="preserve">До 2,13</t>
  </si>
  <si>
    <t xml:space="preserve">До 3,13</t>
  </si>
  <si>
    <t xml:space="preserve">До 4,13</t>
  </si>
  <si>
    <t xml:space="preserve">До 5,13</t>
  </si>
  <si>
    <t xml:space="preserve">До 6,13</t>
  </si>
  <si>
    <t xml:space="preserve">До 7,13</t>
  </si>
  <si>
    <t xml:space="preserve">До 8,13</t>
  </si>
  <si>
    <t xml:space="preserve">До 9,13</t>
  </si>
  <si>
    <t xml:space="preserve">До 10,13</t>
  </si>
  <si>
    <t xml:space="preserve">До 11,13</t>
  </si>
  <si>
    <t xml:space="preserve">До 12,13</t>
  </si>
  <si>
    <t xml:space="preserve">Movelite 35WT</t>
  </si>
  <si>
    <t xml:space="preserve">Movelite 35DCT</t>
  </si>
  <si>
    <t xml:space="preserve">Movelite 35RTS</t>
  </si>
  <si>
    <t xml:space="preserve">Movelite 35 WireFree RTS</t>
  </si>
  <si>
    <t xml:space="preserve">Glyd.Ultra 35e WT (эконом)</t>
  </si>
  <si>
    <t xml:space="preserve">Glyd.Ultra 35e DCT (эконом)</t>
  </si>
  <si>
    <t xml:space="preserve">Glyd.Ultra 35e RTS  (эконом)</t>
  </si>
  <si>
    <t xml:space="preserve">Glyd.Ultra 60e WT (эконом)</t>
  </si>
  <si>
    <t xml:space="preserve">Glyd.Ultra 60e RTS (эконом)</t>
  </si>
  <si>
    <t xml:space="preserve">Glyd.Ultra 60e DCT (эконом)</t>
  </si>
  <si>
    <t xml:space="preserve">Glyd.Ultra 35e WT (низкошумный)</t>
  </si>
  <si>
    <t xml:space="preserve">Glyd.Ultra 35e DCT (низкошумный)</t>
  </si>
  <si>
    <t xml:space="preserve">Glyd.Ultra 35e RTS (низкошумный)</t>
  </si>
  <si>
    <t xml:space="preserve">Glyd.Ultra 60e WT (низкошумный)</t>
  </si>
  <si>
    <t xml:space="preserve">Glyd.Ultra 60e RTS (низкошумный)</t>
  </si>
  <si>
    <t xml:space="preserve">Glyd.Ultra 60e DCT (низкошумный)</t>
  </si>
  <si>
    <t xml:space="preserve">Larnitech</t>
  </si>
  <si>
    <t xml:space="preserve">Irismo WF 45 RTS белый</t>
  </si>
  <si>
    <t xml:space="preserve">Irismo WF 45 RTS </t>
  </si>
  <si>
    <t xml:space="preserve">AM82TV</t>
  </si>
  <si>
    <t xml:space="preserve">AM82TV с RS-485</t>
  </si>
  <si>
    <t xml:space="preserve">AM82TS</t>
  </si>
  <si>
    <t xml:space="preserve">AM72E</t>
  </si>
  <si>
    <t xml:space="preserve">AM72TV</t>
  </si>
  <si>
    <t xml:space="preserve">AM72LE</t>
  </si>
  <si>
    <t xml:space="preserve">AM980TV вертикальный</t>
  </si>
  <si>
    <t xml:space="preserve">AM980TV горизонтальный</t>
  </si>
  <si>
    <t xml:space="preserve">Курс доллара для раздвижных моторов АККО</t>
  </si>
  <si>
    <t xml:space="preserve">Моторы</t>
  </si>
  <si>
    <t xml:space="preserve">Розн.</t>
  </si>
  <si>
    <t xml:space="preserve">Розн, $ (считалось при курсе 75)</t>
  </si>
  <si>
    <t xml:space="preserve">Розн по курсу 75</t>
  </si>
  <si>
    <t xml:space="preserve">вход</t>
  </si>
  <si>
    <t xml:space="preserve">Без привода</t>
  </si>
  <si>
    <t xml:space="preserve">без привода</t>
  </si>
  <si>
    <t xml:space="preserve">электропривод «AKKO» АМ82TV (управление — радио, «сухие контакты», пофазное - 5 жил)</t>
  </si>
  <si>
    <t xml:space="preserve">электропривод «AKKO» АМ82TV/Smart (управление — RS-485, радио, «сухие контакты», пофазное - 5 жил)</t>
  </si>
  <si>
    <t xml:space="preserve">электропривод «AKKO» AM82TS (управление — пофазно)</t>
  </si>
  <si>
    <t xml:space="preserve">AM82M2</t>
  </si>
  <si>
    <t xml:space="preserve">электропривод «AKKO» АМ82M2 (управление — радио, «сухие контакты»)</t>
  </si>
  <si>
    <t xml:space="preserve">АМ82Е наклонный</t>
  </si>
  <si>
    <r>
      <rPr>
        <sz val="10"/>
        <rFont val="Arial Cyr"/>
        <family val="0"/>
        <charset val="204"/>
      </rPr>
      <t xml:space="preserve">электропривод «AKKO» АМ82Е</t>
    </r>
    <r>
      <rPr>
        <sz val="10"/>
        <rFont val="Arial"/>
        <family val="2"/>
        <charset val="204"/>
      </rPr>
      <t xml:space="preserve"> для наклонных карнизов</t>
    </r>
    <r>
      <rPr>
        <sz val="10"/>
        <rFont val="Arial Cyr"/>
        <family val="0"/>
        <charset val="204"/>
      </rPr>
      <t xml:space="preserve"> (управление — радио, «сухие контакты», пофазное - 5 жил)</t>
    </r>
  </si>
  <si>
    <t xml:space="preserve">электропривод AM72E (радиоуправление)</t>
  </si>
  <si>
    <t xml:space="preserve">электропривод «AKKO» AM72TV (управление — RS-485, радио, «сухие контакты», пофазное - 5 жил)</t>
  </si>
  <si>
    <t xml:space="preserve">AM72LE (без з/у)</t>
  </si>
  <si>
    <t xml:space="preserve">электропривод AM72LE (АКБ, управление — радио)</t>
  </si>
  <si>
    <t xml:space="preserve">AM72LE (з/у в комплекте)</t>
  </si>
  <si>
    <t xml:space="preserve">AM980TV</t>
  </si>
  <si>
    <t xml:space="preserve">электропривод «AKKO» AM980TV (управление — радио, «сухие контакты», пофазное - 5 жил)</t>
  </si>
  <si>
    <t xml:space="preserve">электропривод Larnitech CW-VM12RS (управление — радио, «сухие контакты», пофазное - 5 жил)</t>
  </si>
  <si>
    <t xml:space="preserve">CW-12</t>
  </si>
  <si>
    <t xml:space="preserve">электропривод CW-12 (управление — радио, «сухие контакты», пофазное - 5 жил)</t>
  </si>
  <si>
    <t xml:space="preserve">электропривод Somfy Movelite 35WT (управление — пофазно)</t>
  </si>
  <si>
    <t xml:space="preserve">электропривод Somfy Movelite 35DCT (управление - «сухие контакты»)</t>
  </si>
  <si>
    <t xml:space="preserve">электропривод Somfy Movelite 35RTS (радиоуправление)</t>
  </si>
  <si>
    <t xml:space="preserve">электропривод Somfy Movelite WireFree 35RTS (АКБ, радиоуправление)</t>
  </si>
  <si>
    <t xml:space="preserve">Glyd.Ultra 35e WT</t>
  </si>
  <si>
    <t xml:space="preserve">электропривод Somfy Glydea Ultra 35E WT (управление — пофазно)</t>
  </si>
  <si>
    <t xml:space="preserve">Glyd.Ultra 35e DCT</t>
  </si>
  <si>
    <t xml:space="preserve">электропривод Somfy Glydea Ultra 35E DCT (управление - «сухие контакты»)</t>
  </si>
  <si>
    <t xml:space="preserve">Glyd.Ultra 35e RTS</t>
  </si>
  <si>
    <t xml:space="preserve">электропривод Somfy Glydea Ultra 35E RTS (радиоуправление)</t>
  </si>
  <si>
    <t xml:space="preserve">Glyd.Ultra 60e WT</t>
  </si>
  <si>
    <t xml:space="preserve">электропривод Somfy Glydea Ultra 60E WT (управление — пофазно)</t>
  </si>
  <si>
    <t xml:space="preserve">Glyd.Ultra 60e RTS</t>
  </si>
  <si>
    <t xml:space="preserve">электропривод Somfy Glydea Ultra 60E RTS (радиоуправление)</t>
  </si>
  <si>
    <t xml:space="preserve">Glyd.Ultra 60e DCT</t>
  </si>
  <si>
    <t xml:space="preserve">электропривод Somfy Glydea Ultra 60E DCT (управление - «сухие контакты»)</t>
  </si>
  <si>
    <t xml:space="preserve">электропривод Somfy Irismo WF 45 RTS с АКБ белый (радиоуправление)</t>
  </si>
  <si>
    <t xml:space="preserve">База кат.1</t>
  </si>
  <si>
    <t xml:space="preserve">Шаг кат.1</t>
  </si>
  <si>
    <t xml:space="preserve">База кат.2</t>
  </si>
  <si>
    <t xml:space="preserve">Шаг кат.2</t>
  </si>
  <si>
    <t xml:space="preserve">Стоимость установки ЭК</t>
  </si>
  <si>
    <t xml:space="preserve">Карнизы</t>
  </si>
  <si>
    <t xml:space="preserve">категория длины для установки</t>
  </si>
  <si>
    <t xml:space="preserve">высота до 4 м</t>
  </si>
  <si>
    <t xml:space="preserve">высота свыше 4 м</t>
  </si>
  <si>
    <t xml:space="preserve">82 тип S</t>
  </si>
  <si>
    <t xml:space="preserve">Карниз электрошторы 82 тип S</t>
  </si>
  <si>
    <t xml:space="preserve">82 тип G низкошумный</t>
  </si>
  <si>
    <r>
      <rPr>
        <sz val="10"/>
        <rFont val="Arial"/>
        <family val="2"/>
        <charset val="204"/>
      </rPr>
      <t xml:space="preserve">Карниз электрошторы </t>
    </r>
    <r>
      <rPr>
        <sz val="10"/>
        <rFont val="Arial Cyr"/>
        <family val="0"/>
        <charset val="204"/>
      </rPr>
      <t xml:space="preserve">82 тип G низкошумный</t>
    </r>
  </si>
  <si>
    <t xml:space="preserve">шаг</t>
  </si>
  <si>
    <t xml:space="preserve">82 тип G базовый</t>
  </si>
  <si>
    <r>
      <rPr>
        <sz val="10"/>
        <rFont val="Arial"/>
        <family val="2"/>
        <charset val="204"/>
      </rPr>
      <t xml:space="preserve">Карниз электрошторы </t>
    </r>
    <r>
      <rPr>
        <sz val="10"/>
        <rFont val="Arial Cyr"/>
        <family val="0"/>
        <charset val="204"/>
      </rPr>
      <t xml:space="preserve">82 тип G базовый</t>
    </r>
  </si>
  <si>
    <t xml:space="preserve">Стоимость установки без мотора</t>
  </si>
  <si>
    <t xml:space="preserve">Somfy тип G базовый</t>
  </si>
  <si>
    <r>
      <rPr>
        <sz val="10"/>
        <rFont val="Arial"/>
        <family val="2"/>
        <charset val="204"/>
      </rPr>
      <t xml:space="preserve">Карниз электрошторы Somfy тип G </t>
    </r>
    <r>
      <rPr>
        <sz val="10"/>
        <rFont val="Arial Cyr"/>
        <family val="0"/>
        <charset val="204"/>
      </rPr>
      <t xml:space="preserve">базовый</t>
    </r>
  </si>
  <si>
    <t xml:space="preserve">72 тип S</t>
  </si>
  <si>
    <r>
      <rPr>
        <sz val="10"/>
        <rFont val="Arial"/>
        <family val="2"/>
        <charset val="204"/>
      </rPr>
      <t xml:space="preserve">Карниз электрошторы </t>
    </r>
    <r>
      <rPr>
        <sz val="10"/>
        <rFont val="Arial Cyr"/>
        <family val="0"/>
        <charset val="204"/>
      </rPr>
      <t xml:space="preserve">72 тип S</t>
    </r>
  </si>
  <si>
    <t xml:space="preserve">Somfy низкошумный (оригинал)</t>
  </si>
  <si>
    <r>
      <rPr>
        <sz val="10"/>
        <rFont val="Arial"/>
        <family val="2"/>
        <charset val="204"/>
      </rPr>
      <t xml:space="preserve">Карниз электрошторы </t>
    </r>
    <r>
      <rPr>
        <sz val="10"/>
        <rFont val="Arial Cyr"/>
        <family val="0"/>
        <charset val="204"/>
      </rPr>
      <t xml:space="preserve">Somfy низкошумный (оригинал)</t>
    </r>
  </si>
  <si>
    <t xml:space="preserve">CW тип G базовый</t>
  </si>
  <si>
    <t xml:space="preserve">Карниз электрошторы CW тип G базовый</t>
  </si>
  <si>
    <t xml:space="preserve">CW тип G низкошумный (Ларнитех)</t>
  </si>
  <si>
    <t xml:space="preserve">Карниз электрошторы CW тип G низкошумный</t>
  </si>
  <si>
    <t xml:space="preserve">980 тип S (вертик.)</t>
  </si>
  <si>
    <r>
      <rPr>
        <sz val="10"/>
        <rFont val="Arial"/>
        <family val="2"/>
        <charset val="204"/>
      </rPr>
      <t xml:space="preserve">Карниз электрошторы 980 </t>
    </r>
    <r>
      <rPr>
        <sz val="10"/>
        <rFont val="Arial Cyr"/>
        <family val="0"/>
        <charset val="204"/>
      </rPr>
      <t xml:space="preserve">тип S </t>
    </r>
    <r>
      <rPr>
        <sz val="10"/>
        <rFont val="Arial"/>
        <family val="2"/>
        <charset val="204"/>
      </rPr>
      <t xml:space="preserve">(для вертик.расположения привода)</t>
    </r>
  </si>
  <si>
    <t xml:space="preserve">980 тип S (гориз.)</t>
  </si>
  <si>
    <r>
      <rPr>
        <sz val="10"/>
        <rFont val="Arial"/>
        <family val="2"/>
        <charset val="204"/>
      </rPr>
      <t xml:space="preserve">Карниз электрошторы 980</t>
    </r>
    <r>
      <rPr>
        <sz val="10"/>
        <rFont val="Arial Cyr"/>
        <family val="0"/>
        <charset val="204"/>
      </rPr>
      <t xml:space="preserve"> тип S</t>
    </r>
    <r>
      <rPr>
        <sz val="10"/>
        <rFont val="Arial"/>
        <family val="2"/>
        <charset val="204"/>
      </rPr>
      <t xml:space="preserve"> (для горизонт.расположения привода)</t>
    </r>
  </si>
  <si>
    <t xml:space="preserve">Карниз без эл.привода KC</t>
  </si>
  <si>
    <t xml:space="preserve">Карниз без эл.привода Симпл</t>
  </si>
  <si>
    <t xml:space="preserve">Цена розн.</t>
  </si>
  <si>
    <t xml:space="preserve">Курс $</t>
  </si>
  <si>
    <t xml:space="preserve">Для УНИ DM15LEU/S-0.3/30, с обратной связью</t>
  </si>
  <si>
    <t xml:space="preserve">Цена розница</t>
  </si>
  <si>
    <t xml:space="preserve">Цепочка</t>
  </si>
  <si>
    <t xml:space="preserve">цепочка</t>
  </si>
  <si>
    <t xml:space="preserve">ручная</t>
  </si>
  <si>
    <t xml:space="preserve">для моторизации</t>
  </si>
  <si>
    <t xml:space="preserve">AKKO 25TE</t>
  </si>
  <si>
    <t xml:space="preserve">эл/прив. «AKKO» АТ25TE (радиоуправление)</t>
  </si>
  <si>
    <t xml:space="preserve">AKKO 25LE (LVT45 only)</t>
  </si>
  <si>
    <t xml:space="preserve">эл/прив. «AKKO» АТ25LE (встроенная АКБ, управление — радио)</t>
  </si>
  <si>
    <t xml:space="preserve">AKKO 16CE</t>
  </si>
  <si>
    <t xml:space="preserve">эл/прив. «AKKO» AT16CE (12В, радиоуправление)</t>
  </si>
  <si>
    <t xml:space="preserve">AKKO 15LE</t>
  </si>
  <si>
    <t xml:space="preserve">эл/прив. «AKKO» AT15LE (встроенная АКБ, управление — радио)</t>
  </si>
  <si>
    <t xml:space="preserve">Amigo 25TE</t>
  </si>
  <si>
    <t xml:space="preserve">эл/прив. АТ25TE (радиоуправление)</t>
  </si>
  <si>
    <t xml:space="preserve">Amigo 25LE</t>
  </si>
  <si>
    <t xml:space="preserve">эл/прив. АТ25LE (встроенная АКБ, управление — радио)</t>
  </si>
  <si>
    <t xml:space="preserve">Amigo 35SL</t>
  </si>
  <si>
    <t xml:space="preserve">эл/прив. АТ35S (управление пофазно)</t>
  </si>
  <si>
    <t xml:space="preserve">эл/прив. АТ35E (радиоуправление)</t>
  </si>
  <si>
    <t xml:space="preserve">каталожная</t>
  </si>
  <si>
    <t xml:space="preserve">эл/прив. АТ35LE (встроенная АКБ, управление — радио)</t>
  </si>
  <si>
    <t xml:space="preserve">SONESSE 30 ULTRA WF RTS 2/20 LI-ION</t>
  </si>
  <si>
    <r>
      <rPr>
        <sz val="8"/>
        <rFont val="Arial"/>
        <family val="2"/>
        <charset val="204"/>
      </rPr>
      <t xml:space="preserve">эл/прив. «SOMFY» SONESSE </t>
    </r>
    <r>
      <rPr>
        <sz val="9"/>
        <rFont val="Calibri"/>
        <family val="2"/>
        <charset val="204"/>
      </rPr>
      <t xml:space="preserve">30 ULTRA WF RTS 2/20 LI-ION</t>
    </r>
    <r>
      <rPr>
        <sz val="8"/>
        <rFont val="Arial"/>
        <family val="2"/>
        <charset val="204"/>
      </rPr>
      <t xml:space="preserve"> (встроенная АКБ, управление — радио)</t>
    </r>
  </si>
  <si>
    <t xml:space="preserve">НЕТ SONESSE 30 RTS 2/29 </t>
  </si>
  <si>
    <r>
      <rPr>
        <sz val="8"/>
        <rFont val="Arial"/>
        <family val="2"/>
        <charset val="204"/>
      </rPr>
      <t xml:space="preserve">эл/прив. «SOMFY» SONESSE </t>
    </r>
    <r>
      <rPr>
        <sz val="9"/>
        <rFont val="Calibri"/>
        <family val="2"/>
        <charset val="204"/>
      </rPr>
      <t xml:space="preserve">30  RTS 2/29 (</t>
    </r>
    <r>
      <rPr>
        <sz val="8"/>
        <rFont val="Arial"/>
        <family val="2"/>
        <charset val="204"/>
      </rPr>
      <t xml:space="preserve">радиоуправление)</t>
    </r>
  </si>
  <si>
    <t xml:space="preserve">НЕТ SONESSE 30 DCT 2/28</t>
  </si>
  <si>
    <r>
      <rPr>
        <sz val="8"/>
        <rFont val="Arial"/>
        <family val="2"/>
        <charset val="204"/>
      </rPr>
      <t xml:space="preserve">эл/прив. «SOMFY» SONESSE </t>
    </r>
    <r>
      <rPr>
        <sz val="9"/>
        <rFont val="Calibri"/>
        <family val="2"/>
        <charset val="204"/>
      </rPr>
      <t xml:space="preserve">30  DCT 2/28 (</t>
    </r>
    <r>
      <rPr>
        <sz val="8"/>
        <rFont val="Arial"/>
        <family val="2"/>
        <charset val="204"/>
      </rPr>
      <t xml:space="preserve">управление - «сухие контакты»)</t>
    </r>
  </si>
  <si>
    <t xml:space="preserve">Sonesse 50 Ultra WT 6/20</t>
  </si>
  <si>
    <t xml:space="preserve">эл/прив. «SOMFY» SONESSE 50 Ultra WT 6/20 (управление пофазно)</t>
  </si>
  <si>
    <t xml:space="preserve">Sonesse 50 Ultra RTS 6/20</t>
  </si>
  <si>
    <t xml:space="preserve">эл/прив. «SOMFY» SONESSE 50 Ultra RTS 6/20 (управление пофазно)</t>
  </si>
  <si>
    <t xml:space="preserve">НАИМЕНОВАНИЕ</t>
  </si>
  <si>
    <t xml:space="preserve">ПРИМЕЧАНИЕ</t>
  </si>
  <si>
    <t xml:space="preserve">ЦЕНА В У.Е.</t>
  </si>
  <si>
    <t xml:space="preserve">ОПТ-1    3%</t>
  </si>
  <si>
    <t xml:space="preserve">ОПТ-2    6%</t>
  </si>
  <si>
    <t xml:space="preserve">ОПТ-3    9%</t>
  </si>
  <si>
    <t xml:space="preserve">ОПТ-4   12%</t>
  </si>
  <si>
    <t xml:space="preserve">ВИП    15%</t>
  </si>
  <si>
    <t xml:space="preserve">РОЗНИЦА</t>
  </si>
  <si>
    <t xml:space="preserve">ПРИВОД GLYDEA ULTRA 35E DCT</t>
  </si>
  <si>
    <t xml:space="preserve">Электропривод, совместим с IR и Dry Contact управлением, весовая нагрузка до 35 кг, 3-х проводной кабель 1,5 м</t>
  </si>
  <si>
    <t xml:space="preserve">ПРИВОД GLYDEA ULTRA 35E WT</t>
  </si>
  <si>
    <t xml:space="preserve">Электропривод, совместим с фазным (AC) управлением, весовая нагрузка до 35 кг, 4-х проводной кабель 1,5 м</t>
  </si>
  <si>
    <t xml:space="preserve">ПРИВОД GLYDEA ULTRA 35E RTS </t>
  </si>
  <si>
    <t xml:space="preserve">ПРИВОД GLYDEA ULTRA 60E DCT</t>
  </si>
  <si>
    <t xml:space="preserve">Электропривод, совместим с IR и Dry Contact управлением, весовая нагрузка до 60 кг, 3-х проводной кабель 1,5 м</t>
  </si>
  <si>
    <t xml:space="preserve">ПРИВОД GLYDEA ULTRA 60E WT</t>
  </si>
  <si>
    <t xml:space="preserve">Электропривод, совместим с фазным (AC) управлением, весовая нагрузка до 60 кг, 4-х проводной кабель 1,5 м</t>
  </si>
  <si>
    <t xml:space="preserve">ПРИВОД GLYDEA ULTRA 60E RTS </t>
  </si>
  <si>
    <t xml:space="preserve">ПРИВОД MOVELITE 35 WT</t>
  </si>
  <si>
    <t xml:space="preserve">ПРИВОД MOVELITE 35 DCT</t>
  </si>
  <si>
    <t xml:space="preserve">ПРИВОД MOVELITE 35 RTS</t>
  </si>
  <si>
    <t xml:space="preserve">ПРИВОД IRISMO WIREFREE 45 RTS WHITE</t>
  </si>
  <si>
    <t xml:space="preserve">Электропривод с питанием от аккумуляторной батареи , совместим с RTS управлением, весовая нагрузка до 45 кг, аккумуляторная батарея в комплекте, цвет белый</t>
  </si>
  <si>
    <t xml:space="preserve">Зарядное устройство IRISMO 2 WF 2,0 - 230/30V</t>
  </si>
  <si>
    <t xml:space="preserve">Зарядное блок питания для аккумуляторной батареи, выход. напряжение 30V, цвет белый</t>
  </si>
  <si>
    <t xml:space="preserve">ПРИВОД MOVELITE 35 Wire Free RTS</t>
  </si>
  <si>
    <t xml:space="preserve">Электропривод с питанием от аккумуляторной батареи , совместим с RTS управлением, весовая нагрузка до 35 кг, аккумуляторная батарея в комплекте, цвет белый</t>
  </si>
  <si>
    <t xml:space="preserve">ПРИВОД SONESSE 40 3/30 (ПРОВОД ~230В) МК</t>
  </si>
  <si>
    <t xml:space="preserve">Мех. конечн. выкл., 44 дБ, кабель 1 м черный</t>
  </si>
  <si>
    <t xml:space="preserve">ПРИВОД SONESSE 40 6/20 (ПРОВОД ~230В) МК</t>
  </si>
  <si>
    <t xml:space="preserve">ПРИВОД SONESSE 40 RTS 3/30 (РАДИО ~230В) ЭК</t>
  </si>
  <si>
    <t xml:space="preserve">RTS, эл.конечн. выкл., 44 дБ, кабель 1 м черный</t>
  </si>
  <si>
    <t xml:space="preserve">ПРИВОД SONESSE 40 RTS 6/20 (РАДИО ~230В) ЭК</t>
  </si>
  <si>
    <t xml:space="preserve">ПРИВОД SONESSE 40 9/12 (ПРОВОД ~230В) МК</t>
  </si>
  <si>
    <t xml:space="preserve">Мех. конечн. выкл., 44 дБ, кабель 3 м черный</t>
  </si>
  <si>
    <t xml:space="preserve">ПРИВОД SONESSE 40 RTS 9/12 (РАДИО ~230В) ЭК</t>
  </si>
  <si>
    <t xml:space="preserve">ПРИВОД SONESSE 30 ULTRA WF RTS РАДИО+АКБ 12В 2600 МАЧ</t>
  </si>
  <si>
    <t xml:space="preserve">44 дБ, АКБ 12В 2600 мАч</t>
  </si>
  <si>
    <t xml:space="preserve">ПРИВОД SONESSE 50 WT 6/28 (ПРОВОД ~230В) МК</t>
  </si>
  <si>
    <t xml:space="preserve">Полуавт. конечн. выкл., 44 дБ, кабель 3 м белый</t>
  </si>
  <si>
    <t xml:space="preserve">ПРИВОД SONESSE 50 RTS 6/28 (РАДИО ~230В) ЭК</t>
  </si>
  <si>
    <t xml:space="preserve">эл.конечн. выкл., 44 дБ, кабель 3 м белый</t>
  </si>
  <si>
    <t xml:space="preserve">Стоимость установки </t>
  </si>
  <si>
    <t xml:space="preserve">номер строки для ГПР</t>
  </si>
  <si>
    <t xml:space="preserve">Цены розничные</t>
  </si>
  <si>
    <t xml:space="preserve">Электрокарниз для штор «AKKO» АМ82TV (управление — радио, «сухие контакты», пофазное - 5 жил)</t>
  </si>
  <si>
    <t xml:space="preserve">Электрокарниз для штор «AKKO» АМ82TV/Smart (управление — RS-485, радио, «сухие контакты», пофазное - 5 жил)</t>
  </si>
  <si>
    <t xml:space="preserve">Электрокарниз для штор «AKKO» AM82TS (управление — пофазно)</t>
  </si>
  <si>
    <t xml:space="preserve">Электрокарниз для штор «AKKO» AM72E (радиоуправление)</t>
  </si>
  <si>
    <t xml:space="preserve">Электрокарниз для штор «AKKO» AM72TV (управление — RS-485, радио, «сухие контакты», пофазное - 5 жил)</t>
  </si>
  <si>
    <t xml:space="preserve">Электрокарниз для штор «AKKO» AM72LE (АКБ, управление — радио)</t>
  </si>
  <si>
    <t xml:space="preserve">Электрокарниз для штор «AKKO» AM980TV (управление — радио, «сухие контакты», пофазное - 5 жил)</t>
  </si>
  <si>
    <t xml:space="preserve">Электрокарниз для штор «AKKO» AM980TV с горизонтальным расположением мотора (управление - радио, «сухие контакты», пофазное - 5 жил)</t>
  </si>
  <si>
    <t xml:space="preserve">Электрокарниз для штор Somfy Movelite 35WT (управление — пофазно)</t>
  </si>
  <si>
    <t xml:space="preserve">Электрокарниз для штор Somfy Movelite 35DCT (управление - «сухие контакты»)</t>
  </si>
  <si>
    <t xml:space="preserve">Электрокарниз для штор Somfy Movelite 35RTS (радиоуправление)</t>
  </si>
  <si>
    <t xml:space="preserve">Электрокарниз для штор Somfy Movelite WireFree 35RTS (АКБ, радиоуправление)</t>
  </si>
  <si>
    <t xml:space="preserve">Электрокарниз для штор Somfy Glydea Ultra 35E WT (управление — пофазно)</t>
  </si>
  <si>
    <t xml:space="preserve">Электрокарниз для штор Somfy Glydea Ultra 35E DCT (управление - «сухие контакты»)</t>
  </si>
  <si>
    <t xml:space="preserve">Электрокарниз для штор Somfy Glydea Ultra 35E RTS (радиоуправление)</t>
  </si>
  <si>
    <t xml:space="preserve">Электрокарниз для штор Somfy Glydea Ultra 60E WT (управление — пофазно)</t>
  </si>
  <si>
    <t xml:space="preserve">Электрокарниз для штор Somfy Glydea Ultra 60E RTS (радиоуправление)</t>
  </si>
  <si>
    <t xml:space="preserve">Электрокарниз для штор Somfy Glydea Ultra 60E DCT (управление - «сухие контакты»)</t>
  </si>
  <si>
    <t xml:space="preserve">Электрокарниз для штор Somfy Glydea Ultra 35E WT низкошумный (управление — пофазно)</t>
  </si>
  <si>
    <t xml:space="preserve">Электрокарниз для штор Somfy Glydea Ultra 35E DCT низкошумный (управление - «сухие контакты»)</t>
  </si>
  <si>
    <t xml:space="preserve">Электрокарниз для штор Somfy Glydea Ultra 35E RTS низкошумный (радиоуправление)</t>
  </si>
  <si>
    <t xml:space="preserve">Электрокарниз для штор Somfy Glydea Ultra 60E WT низкошумный (управление — пофазно)</t>
  </si>
  <si>
    <t xml:space="preserve">Электрокарниз для штор Somfy Glydea Ultra 60E RTS низкошумный (радиоуправление)</t>
  </si>
  <si>
    <t xml:space="preserve">Электрокарниз для штор Somfy Glydea Ultra 60E DCT низкошумный (управление - «сухие контакты»)</t>
  </si>
  <si>
    <t xml:space="preserve">Электрокарниз для штор Larnitech CW-VM12RS (управление — радио, «сухие контакты», пофазное - 5 жил)</t>
  </si>
  <si>
    <t xml:space="preserve">Электрокарниз для штор Somfy Irismo WF 45 RTS с АКБ белый (радиоуправление)</t>
  </si>
  <si>
    <t xml:space="preserve">Электрокарниз для штор Somfy Irismo WF 45 RTS с АКБ (радиоуправление)</t>
  </si>
  <si>
    <t xml:space="preserve">Карниз для тюля без эл.привода</t>
  </si>
  <si>
    <t xml:space="preserve">Зарядные устройства</t>
  </si>
  <si>
    <t xml:space="preserve">З/у для 72LE</t>
  </si>
  <si>
    <t xml:space="preserve">Зарядное устройство DС731В для эл/приводов AM72LE</t>
  </si>
  <si>
    <t xml:space="preserve">З/у для Irismo WF 45 RTS</t>
  </si>
  <si>
    <t xml:space="preserve">Зарядное устройство Irismo WF 2,0 — 230/30V для эл/привода Somfy Irismo WF 45 RTS</t>
  </si>
  <si>
    <t xml:space="preserve">З/у для Movelite 35 WireFree RTS</t>
  </si>
  <si>
    <t xml:space="preserve">Зарядное устройство для приводов Movelite 35 WireFree RTS</t>
  </si>
  <si>
    <t xml:space="preserve">Стоимость установки рулонок и римских с мотором</t>
  </si>
  <si>
    <t xml:space="preserve">Длина карниза</t>
  </si>
  <si>
    <t xml:space="preserve">до 4 м</t>
  </si>
  <si>
    <t xml:space="preserve">свыше 4 м</t>
  </si>
  <si>
    <t xml:space="preserve">До 3 м</t>
  </si>
  <si>
    <t xml:space="preserve">До 4 м</t>
  </si>
  <si>
    <t xml:space="preserve">До 5 м</t>
  </si>
  <si>
    <t xml:space="preserve">До 6 м</t>
  </si>
  <si>
    <t xml:space="preserve">Свыше 6 м</t>
  </si>
  <si>
    <t xml:space="preserve">Стоимость установки рулонок без мотора</t>
  </si>
  <si>
    <t xml:space="preserve">Стоимость установки карниза без мотора</t>
  </si>
  <si>
    <t xml:space="preserve">Стоимость установки ГЖ дерево</t>
  </si>
  <si>
    <t xml:space="preserve">С мотором</t>
  </si>
  <si>
    <t xml:space="preserve">Без мотора</t>
  </si>
  <si>
    <t xml:space="preserve">Стоимость установки без мотора римских, жалюзи, плиссе</t>
  </si>
  <si>
    <t xml:space="preserve">Тип системы рулонных штор</t>
  </si>
  <si>
    <t xml:space="preserve">LVT</t>
  </si>
  <si>
    <t xml:space="preserve">UNI / MINI</t>
  </si>
  <si>
    <t xml:space="preserve">Somfy</t>
  </si>
  <si>
    <t xml:space="preserve">Бентин</t>
  </si>
  <si>
    <t xml:space="preserve">стоимость настенных минус потолочных</t>
  </si>
  <si>
    <t xml:space="preserve">Система</t>
  </si>
  <si>
    <t xml:space="preserve">цена розн.штучные/комплект</t>
  </si>
  <si>
    <t xml:space="preserve">цена розн.погонаж/на 1 пог.м.</t>
  </si>
  <si>
    <t xml:space="preserve">Кол-во дополнительных полотен</t>
  </si>
  <si>
    <t xml:space="preserve">К стене/потолку</t>
  </si>
  <si>
    <t xml:space="preserve">Возможно ли обернуть тканью кассету</t>
  </si>
  <si>
    <t xml:space="preserve">Если с направляющими, заглушки рейки другие</t>
  </si>
  <si>
    <t xml:space="preserve">Применим Кронштейн день/ночь?</t>
  </si>
  <si>
    <t xml:space="preserve">LVT 35 АККО</t>
  </si>
  <si>
    <t xml:space="preserve">LVT 35</t>
  </si>
  <si>
    <t xml:space="preserve">КРОНШТЕЙН ДВОЙНОЙ 32 (КОМПЛЕКТ)+крышки</t>
  </si>
  <si>
    <t xml:space="preserve">LVT 35 АККО антрацит</t>
  </si>
  <si>
    <t xml:space="preserve">LVT 35 антрацит</t>
  </si>
  <si>
    <t xml:space="preserve">LVT 35 АККО серый</t>
  </si>
  <si>
    <t xml:space="preserve">LVT 35 серый</t>
  </si>
  <si>
    <t xml:space="preserve">LVT 45 АККО</t>
  </si>
  <si>
    <t xml:space="preserve">LVT 45</t>
  </si>
  <si>
    <t xml:space="preserve">КРОНШТЕЙН ДВОЙНОЙ 45 (КОМПЛЕКТ)+крышки</t>
  </si>
  <si>
    <t xml:space="preserve">LVT 45 АККО антрацит</t>
  </si>
  <si>
    <t xml:space="preserve">LVT 45 АККО серый</t>
  </si>
  <si>
    <t xml:space="preserve">LVT 55 АККО</t>
  </si>
  <si>
    <t xml:space="preserve">LVT 55</t>
  </si>
  <si>
    <r>
      <rPr>
        <sz val="10"/>
        <rFont val="Arial"/>
        <family val="2"/>
        <charset val="204"/>
      </rPr>
      <t xml:space="preserve">LVT 55 АККО антрацит</t>
    </r>
    <r>
      <rPr>
        <sz val="10"/>
        <rFont val="Arial Cyr"/>
        <family val="0"/>
        <charset val="204"/>
      </rPr>
      <t xml:space="preserve"> (кронштейны 45)</t>
    </r>
  </si>
  <si>
    <t xml:space="preserve">LVT 55 АККО серый (кронштейны 45)</t>
  </si>
  <si>
    <t xml:space="preserve">LVT 55 MONO АККО 2 полотна</t>
  </si>
  <si>
    <t xml:space="preserve">LVT 55 MONO</t>
  </si>
  <si>
    <t xml:space="preserve">LVT кассета 35 АККО</t>
  </si>
  <si>
    <t xml:space="preserve">LVT кассета 35</t>
  </si>
  <si>
    <t xml:space="preserve">LVT кассета 45/45 АККО</t>
  </si>
  <si>
    <t xml:space="preserve">LVT кассета 45/45</t>
  </si>
  <si>
    <t xml:space="preserve">LVT кассета 45/55 АККО</t>
  </si>
  <si>
    <t xml:space="preserve">LVT кассета 45/55</t>
  </si>
  <si>
    <t xml:space="preserve">LVT 45 Somfy</t>
  </si>
  <si>
    <t xml:space="preserve">LVT 55 Somfy</t>
  </si>
  <si>
    <t xml:space="preserve">LVT кассета 45/45 Somfy</t>
  </si>
  <si>
    <t xml:space="preserve">LVT кассета 45/55 Somfy</t>
  </si>
  <si>
    <t xml:space="preserve">LVT 55 MONO Somfy 2 полотна</t>
  </si>
  <si>
    <t xml:space="preserve">Sonesse 50 труба 61 мм</t>
  </si>
  <si>
    <t xml:space="preserve">УНИ-2</t>
  </si>
  <si>
    <t xml:space="preserve">Бентин L 52 АККО</t>
  </si>
  <si>
    <t xml:space="preserve">Бентин L 52</t>
  </si>
  <si>
    <t xml:space="preserve">Бентин L 65 АККО</t>
  </si>
  <si>
    <t xml:space="preserve">Бентин L 65</t>
  </si>
  <si>
    <t xml:space="preserve">Бентин L 75 АККО</t>
  </si>
  <si>
    <t xml:space="preserve">Бентин L 75</t>
  </si>
  <si>
    <t xml:space="preserve">Бентин L 52 Somfy</t>
  </si>
  <si>
    <t xml:space="preserve">Бентин L 65 Somfy</t>
  </si>
  <si>
    <t xml:space="preserve">Бентин L 75 Somfy</t>
  </si>
  <si>
    <t xml:space="preserve">Бентин Кассета L 52 АККО</t>
  </si>
  <si>
    <t xml:space="preserve">Бентин Кассета L 52</t>
  </si>
  <si>
    <t xml:space="preserve">!</t>
  </si>
  <si>
    <t xml:space="preserve">Бентин Кассета L 65 АККО</t>
  </si>
  <si>
    <t xml:space="preserve">Бентин Кассета L 65</t>
  </si>
  <si>
    <t xml:space="preserve">Бентин Кассета L 75 АККО</t>
  </si>
  <si>
    <t xml:space="preserve">Бентин Кассета L 75</t>
  </si>
  <si>
    <t xml:space="preserve">Бентин Кассета L 52 Somfy</t>
  </si>
  <si>
    <t xml:space="preserve">Бентин Кассета L 65 Somfy</t>
  </si>
  <si>
    <t xml:space="preserve">Бентин Кассета L 75 Somfy</t>
  </si>
  <si>
    <t xml:space="preserve">Без наценки (Somfy)</t>
  </si>
  <si>
    <t xml:space="preserve">Кол-во моторов/цепочек</t>
  </si>
  <si>
    <t xml:space="preserve">Применимость направляющих</t>
  </si>
  <si>
    <t xml:space="preserve">Вид управления</t>
  </si>
  <si>
    <t xml:space="preserve">Артикул</t>
  </si>
  <si>
    <t xml:space="preserve">1</t>
  </si>
  <si>
    <t xml:space="preserve">LVT 35 открытая (без кассеты), цвет фурнитуры - белый</t>
  </si>
  <si>
    <t xml:space="preserve">Труба 35 мм (LVT) для моторизации</t>
  </si>
  <si>
    <t xml:space="preserve">КРЫШКА КРОНШТЕЙНА 32, белая</t>
  </si>
  <si>
    <t xml:space="preserve">Комплект для моторизации 35</t>
  </si>
  <si>
    <t xml:space="preserve">Пластиковая полоса-фиксатор клейкая 7мм</t>
  </si>
  <si>
    <t xml:space="preserve">ПОЛОСА-ФИКСАТОР 9ММ</t>
  </si>
  <si>
    <t xml:space="preserve">х1,2</t>
  </si>
  <si>
    <t xml:space="preserve">LVT 35 открытая (без кассеты), цвет фурнитуры -антрацит</t>
  </si>
  <si>
    <t xml:space="preserve">КРЫШКА КРОНШТЕЙНА 32, антрацит, серая</t>
  </si>
  <si>
    <t xml:space="preserve">МЕХАНИЗМ УПР. ЦЕПЬ 32 (КОМПЛЕКТ), антрацит</t>
  </si>
  <si>
    <t xml:space="preserve">LVT 35 открытая (без кассеты), цвет фурнитуры — серый</t>
  </si>
  <si>
    <t xml:space="preserve">МЕХАНИЗМ УПР. ЦЕПЬ 32+ (КОМПЛЕКТ), серый</t>
  </si>
  <si>
    <t xml:space="preserve">LVT 45 открытая (без кассеты), цвет фурнитуры — белый</t>
  </si>
  <si>
    <t xml:space="preserve">Труба 45 мм с 3-мя пазами (LVT)</t>
  </si>
  <si>
    <t xml:space="preserve">КРЫШКА КРОНШТЕЙНА 45, белая</t>
  </si>
  <si>
    <t xml:space="preserve">Комплект для моторизации 45</t>
  </si>
  <si>
    <t xml:space="preserve">LVT 45 открытая (без кассеты), цвет фурнитуры — антрацит</t>
  </si>
  <si>
    <t xml:space="preserve">КРЫШКА КРОНШТЕЙНА 45, серая, антрацит</t>
  </si>
  <si>
    <t xml:space="preserve">МЕХАНИЗМ УПР. ЦЕПЬ 45 (КОМПЛЕКТ), серый, антрацит</t>
  </si>
  <si>
    <t xml:space="preserve">LVT 45 открытая (без кассеты), цвет фурнитуры — серый</t>
  </si>
  <si>
    <t xml:space="preserve">LVT 55 открытая (без кассеты), цвет фурнитуры — белый</t>
  </si>
  <si>
    <t xml:space="preserve">Труба 55 мм (LVT) для моторизации</t>
  </si>
  <si>
    <t xml:space="preserve">Крышка кронштейна 45+</t>
  </si>
  <si>
    <t xml:space="preserve">Комплект для моторизации 55</t>
  </si>
  <si>
    <r>
      <rPr>
        <b val="true"/>
        <sz val="10"/>
        <rFont val="Arial"/>
        <family val="2"/>
        <charset val="204"/>
      </rPr>
      <t xml:space="preserve">LVT 55 АККО антрацит</t>
    </r>
    <r>
      <rPr>
        <b val="true"/>
        <sz val="6"/>
        <rFont val="Arial"/>
        <family val="2"/>
        <charset val="204"/>
      </rPr>
      <t xml:space="preserve"> (кронштейны 45)</t>
    </r>
  </si>
  <si>
    <t xml:space="preserve">LVT 55 открытая (без кассеты), цвет фурнитуры — антрацит</t>
  </si>
  <si>
    <t xml:space="preserve">LVT 55 АККО антрацит (кронштейны 45)</t>
  </si>
  <si>
    <t xml:space="preserve">LVT 55 открытая (без кассеты), цвет фурнитуры - серый</t>
  </si>
  <si>
    <t xml:space="preserve">LVT 55 MONO 2 полотна, открытая (без кассеты), цвет фурнитуры - белый</t>
  </si>
  <si>
    <t xml:space="preserve">КРОНШТЕЙН СОЕДИНИТЕЛЬНЫЙ 55</t>
  </si>
  <si>
    <t xml:space="preserve">LVT кассета 35, цвет фурнитуры — белый</t>
  </si>
  <si>
    <t xml:space="preserve">КРОНШТЕЙН СТЕНОВОЙ КАССЕТЫ 32</t>
  </si>
  <si>
    <t xml:space="preserve">МЕХАНИЗМ УПР. ЦЕПЬ КАССЕТЫ 32+, ЛЕВЫЙ (КОМП)</t>
  </si>
  <si>
    <t xml:space="preserve">Кронштейн боковой кассеты 32 мм для автостопа</t>
  </si>
  <si>
    <t xml:space="preserve">КРОНШТЕЙН ПОТОЛОЧНЫЙ КАССЕТЫ 32</t>
  </si>
  <si>
    <t xml:space="preserve">ПРОФИЛЬ ЛИЦЕВОЙ  КАССЕТЫ 32, С ПАЗОМ</t>
  </si>
  <si>
    <t xml:space="preserve">ПРОФИЛЬ СОЕДИНИТЕЛЬНЫЙ КАССЕТЫ 32</t>
  </si>
  <si>
    <t xml:space="preserve">LVT кассета 45/45, цвет фурнитуры — белый</t>
  </si>
  <si>
    <t xml:space="preserve">КРОНШТЕЙН СТЕНОВОЙ КАССЕТЫ 45</t>
  </si>
  <si>
    <t xml:space="preserve">Механизм упр. цепь кассеты 45, левый (комплект)</t>
  </si>
  <si>
    <t xml:space="preserve">КРОНШТЕЙН ПОТОЛОЧНЫЙ КАССЕТЫ 45</t>
  </si>
  <si>
    <t xml:space="preserve">ПРОФИЛЬ ЛИЦЕВОЙ КАССЕТЫ 45,  С ПАЗОМ</t>
  </si>
  <si>
    <t xml:space="preserve">ПРОФИЛЬ СОЕДИНИТЕЛЬНЫЙ КАССЕТЫ 45</t>
  </si>
  <si>
    <t xml:space="preserve">LVT кассета 45/55, цвет фурнитуры — белый</t>
  </si>
  <si>
    <t xml:space="preserve">Sonesse 50 труба 61 мм открытая (без кассеты), цвет фурнитуры — белый</t>
  </si>
  <si>
    <t xml:space="preserve">Вал алюминиевый Ø61 мм x 6,4 м</t>
  </si>
  <si>
    <t xml:space="preserve">Переходник виброгасящий для круглого вала 50х1,5 
с мягкими клипсами</t>
  </si>
  <si>
    <t xml:space="preserve">Гильза виброгасящая для круглого вала 50х1,5 
с цапфой D=10 мм телескопическая</t>
  </si>
  <si>
    <t xml:space="preserve">Крепление фланцевое приводов LT 50/60 оцинк.</t>
  </si>
  <si>
    <t xml:space="preserve">Крепление фланцевое с опорой под цапфу Ø10 мм  оцинк.</t>
  </si>
  <si>
    <t xml:space="preserve">Крышка декоративная, для фланцевых креплений LT50/60 </t>
  </si>
  <si>
    <t xml:space="preserve">ПЛАСТИКОВАЯ ПОЛОСА-ФИКСАТОР 10X1,2ММ</t>
  </si>
  <si>
    <t xml:space="preserve">УНИ-2 АККО</t>
  </si>
  <si>
    <t xml:space="preserve">УНИ-2, цвет фурнитуры — белый</t>
  </si>
  <si>
    <t xml:space="preserve">ТРУБА АЛЮМИН. 19ММ 4М</t>
  </si>
  <si>
    <t xml:space="preserve">ШУРУП 3*12ММ</t>
  </si>
  <si>
    <t xml:space="preserve">Комплект для моторизации UNI белый</t>
  </si>
  <si>
    <t xml:space="preserve">ПЛИТКА ПОДКЛАДОЧНАЯ ВЫСОКАЯ БЕЛАЯ, ПАРА UNI</t>
  </si>
  <si>
    <t xml:space="preserve">КРЫШКА НИЖНЯЯ ДЛЯ НАПРАВ ТИП "С", БЕЛАЯ, ПАРА</t>
  </si>
  <si>
    <t xml:space="preserve">КОРОБ БЕЛЫЙ UNI</t>
  </si>
  <si>
    <t xml:space="preserve">ДОП ПРОФИЛЬ ВЫСОКИЙ УНИВЕРСАЛЬНЫЙ БЕЛЫЙ UNI</t>
  </si>
  <si>
    <t xml:space="preserve">ПЛАСТИКОВАЯ ПОЛОСА-ФИКСАТОР КЛЕЙКАЯ 7ММ</t>
  </si>
  <si>
    <t xml:space="preserve">ЛЕНТА КЛЕЙКАЯ Д/ТРУБЫ 12ММ</t>
  </si>
  <si>
    <t xml:space="preserve">ЛЕНТА КЛЕЙКАЯ ДВУСТОРОННЯЯ, 9ММ, БЕЛАЯ</t>
  </si>
  <si>
    <t xml:space="preserve">НАПРАВЛЯЮЩАЯ ТИП "С", БЕЛАЯ UNI 4М, 6М</t>
  </si>
  <si>
    <t xml:space="preserve">Бентин L 52 открытая (без кассеты), цвет фурнитуры — белый</t>
  </si>
  <si>
    <t xml:space="preserve">ТРУБА 52ММ С ДВУМЯ ПАЗАМИ L</t>
  </si>
  <si>
    <t xml:space="preserve">КРОНШТЕЙН 51ММ L, МЕТАЛЛ</t>
  </si>
  <si>
    <t xml:space="preserve">КРОНШТЕЙН ДЛЯ МОТОРИЗАЦИИ И МОНО 51ММ L, МЕТАЛЛ</t>
  </si>
  <si>
    <t xml:space="preserve">КРЫШКА КРОНШТЕЙНА ПЛОСКАЯ 59X51ММ L, БЕЛАЯ, СЕРАЯ (NEW), ЧЕРНАЯ (NEW)</t>
  </si>
  <si>
    <t xml:space="preserve">АДАПТЕР 43-52ММ L</t>
  </si>
  <si>
    <t xml:space="preserve">АДАПТЕР-КОЛЬЦО 52 ММ L</t>
  </si>
  <si>
    <t xml:space="preserve">ЗАГЛУШКА В ТРУБУ 43ММ С ФИКСАТОРОМ L, БЕЛАЯ, СЕРАЯ (NEW), ЧЕРНАЯ (NEW) </t>
  </si>
  <si>
    <t xml:space="preserve">АДАПТЕР+ПЕРЕХОДНИК ДЛЯ DM35, ТРУБА 44,52ММ</t>
  </si>
  <si>
    <t xml:space="preserve">Бентин L 65 открытая (без кассеты), цвет фурнитуры — белый</t>
  </si>
  <si>
    <t xml:space="preserve">ТРУБА 65ММ С ДВУМЯ ПАЗАМИ L</t>
  </si>
  <si>
    <t xml:space="preserve">АДАПТЕР 43-65 / 75 ММ L</t>
  </si>
  <si>
    <t xml:space="preserve">ЗАГЛУШКА В ТРУБУ 43ММ РЕГУЛИРУЕМАЯ L, БЕЛАЯ</t>
  </si>
  <si>
    <t xml:space="preserve">АДАПТЕР+ПЕРЕХОДНИК ДЛЯ DM35, ТРУБА 65ММ</t>
  </si>
  <si>
    <t xml:space="preserve">Бентин L 75 открытая (без кассеты), цвет фурнитуры — белый</t>
  </si>
  <si>
    <t xml:space="preserve">ТРУБА 75ММ С ДВУМЯ ПАЗАМИ L</t>
  </si>
  <si>
    <t xml:space="preserve">АДАПТЕР-КОЛЬЦО 75 ММ L</t>
  </si>
  <si>
    <t xml:space="preserve">Адаптер+переходник для DM35, труба 75мм</t>
  </si>
  <si>
    <t xml:space="preserve">АДАПТЕР+ПЕРЕХОДНИК ДЛЯ SOMFY LS40, ТРУБА 52 ММ</t>
  </si>
  <si>
    <t xml:space="preserve">АДАПТЕР+ПЕРЕХОДНИК ДЛЯ SOMFY LS40, ТРУБА 65 ММ</t>
  </si>
  <si>
    <t xml:space="preserve">АДАПТЕР+ПЕРЕХОДНИК ДЛЯ SOMFY LT50, ТРУБА 75 ММ</t>
  </si>
  <si>
    <t xml:space="preserve">Бентин Кассета L 52, цвет фурнитуры — белый</t>
  </si>
  <si>
    <t xml:space="preserve">КРЫШКА КАССЕТЫ ПРАВАЯ L, БЕЛАЯ</t>
  </si>
  <si>
    <t xml:space="preserve">КРЫШКА КАССЕТЫ ЛЕВАЯ L, БЕЛАЯ</t>
  </si>
  <si>
    <t xml:space="preserve">ЗАГЛУШКА БОКОВАЯ УНИВЕРСАЛЬНАЯ КАССЕТЫ L, БЕЛАЯ</t>
  </si>
  <si>
    <t xml:space="preserve">САМОРЕЗ 3,9Х16 DIN7981 ZN</t>
  </si>
  <si>
    <t xml:space="preserve">Штифт блокирующий, прозрачный</t>
  </si>
  <si>
    <t xml:space="preserve">КРОНШТЕЙН ДЛЯ КАССЕТЫ L С ВИНТОМ, АЛЮМ., БЕЛЫЙ</t>
  </si>
  <si>
    <t xml:space="preserve">ПРОФИЛЬ КАССЕТЫ ЛИЦЕВОЙ КВАДРАТНЫЙ L, БЕЛЫЙ</t>
  </si>
  <si>
    <t xml:space="preserve">ПРОФИЛЬ КАССЕТЫ БАЗОВЫЙ L, БЕЛЫЙ</t>
  </si>
  <si>
    <t xml:space="preserve">Бентин Кассета L 65, цвет фурнитуры — белый</t>
  </si>
  <si>
    <t xml:space="preserve">Адаптер+переходник для DM35, труба 65мм</t>
  </si>
  <si>
    <t xml:space="preserve">Бентин Кассета L 75, цвет фурнитуры — белый</t>
  </si>
  <si>
    <t xml:space="preserve">АДАПТЕР+ПЕРЕХОДНИК ДЛЯ SOMFY LT50, ТРУБА 65 ММ</t>
  </si>
  <si>
    <t xml:space="preserve">Бентин L Double 52 АККО</t>
  </si>
  <si>
    <t xml:space="preserve">Бентин L Double 52 открытая (без кассеты), цвет фурнитуры — белый</t>
  </si>
  <si>
    <t xml:space="preserve">КРОНШТЕЙН ДАБЛ 51ММ L, МЕТАЛЛ</t>
  </si>
  <si>
    <t xml:space="preserve">LVT 32 белый, цепочка</t>
  </si>
  <si>
    <t xml:space="preserve">LVT 32 с цепочкой, открытая (без кассеты), цвет фурнитуры - белый</t>
  </si>
  <si>
    <t xml:space="preserve">ТРУБА 32 ММ С ПАЗОМ (LVT)</t>
  </si>
  <si>
    <t xml:space="preserve">Цепь</t>
  </si>
  <si>
    <t xml:space="preserve">ЗАМОК ЦЕПИ УПРАВЛЕНИЯ, ПЛАСТИКОВЫЙ (LVT), серый, чёрный</t>
  </si>
  <si>
    <t xml:space="preserve">Механизм упр. цепь 32 (комплект с крышками) СК белый</t>
  </si>
  <si>
    <t xml:space="preserve">ОГРАНИЧИТЕЛЬ ЦЕПИ УПРАВЛЕНИЯ, т.серый</t>
  </si>
  <si>
    <t xml:space="preserve">НАТЯЖИТЕЛЬ ЦЕПИ (LVT)</t>
  </si>
  <si>
    <t xml:space="preserve">ЦЕПЬ УПРАВЛЕНИЯ СПЛОШНАЯ, ПЛАСТИК (LVT), белая</t>
  </si>
  <si>
    <t xml:space="preserve">LVT 32 антрацит, цепочка</t>
  </si>
  <si>
    <r>
      <rPr>
        <sz val="8"/>
        <rFont val="Arial"/>
        <family val="2"/>
        <charset val="204"/>
      </rPr>
      <t xml:space="preserve">LVT 32 </t>
    </r>
    <r>
      <rPr>
        <sz val="10"/>
        <rFont val="Arial"/>
        <family val="2"/>
        <charset val="204"/>
      </rPr>
      <t xml:space="preserve">с цепочкой, открытая </t>
    </r>
    <r>
      <rPr>
        <sz val="8"/>
        <rFont val="Arial"/>
        <family val="2"/>
        <charset val="204"/>
      </rPr>
      <t xml:space="preserve">(без кассеты), цвет фурнитуры — антрацит</t>
    </r>
  </si>
  <si>
    <t xml:space="preserve">ЦЕПЬ УПРАВЛЕНИЯ СПЛОШНАЯ, ПЛАСТИК (LVT), серая, черная</t>
  </si>
  <si>
    <t xml:space="preserve">LVT 32 серый, цепочка</t>
  </si>
  <si>
    <r>
      <rPr>
        <sz val="8"/>
        <rFont val="Arial"/>
        <family val="2"/>
        <charset val="204"/>
      </rPr>
      <t xml:space="preserve">LVT 32 </t>
    </r>
    <r>
      <rPr>
        <sz val="10"/>
        <rFont val="Arial"/>
        <family val="2"/>
        <charset val="204"/>
      </rPr>
      <t xml:space="preserve">с цепочкой, открытая </t>
    </r>
    <r>
      <rPr>
        <sz val="8"/>
        <rFont val="Arial"/>
        <family val="2"/>
        <charset val="204"/>
      </rPr>
      <t xml:space="preserve">(без кассеты), цвет фурнитуры — </t>
    </r>
    <r>
      <rPr>
        <sz val="10"/>
        <rFont val="Arial"/>
        <family val="2"/>
        <charset val="204"/>
      </rPr>
      <t xml:space="preserve">серый</t>
    </r>
  </si>
  <si>
    <t xml:space="preserve">LVT 45 белый, цепочка</t>
  </si>
  <si>
    <t xml:space="preserve">LVT 45 с цепочкой, открытая (без кассеты), цвет фурнитуры - белый</t>
  </si>
  <si>
    <t xml:space="preserve">ТРУБА 45 ММ С 3-МЯ ПАЗАМИ (LVT)</t>
  </si>
  <si>
    <t xml:space="preserve">МЕХАНИЗМ УПР. ЦЕПЬ 45 (КОМПЛЕКТ), белый</t>
  </si>
  <si>
    <t xml:space="preserve">LVT 45 антрацит, цепочка</t>
  </si>
  <si>
    <r>
      <rPr>
        <sz val="8"/>
        <rFont val="Arial"/>
        <family val="2"/>
        <charset val="204"/>
      </rPr>
      <t xml:space="preserve">LVT 45 </t>
    </r>
    <r>
      <rPr>
        <sz val="10"/>
        <rFont val="Arial"/>
        <family val="2"/>
        <charset val="204"/>
      </rPr>
      <t xml:space="preserve">с цепочкой, открытая </t>
    </r>
    <r>
      <rPr>
        <sz val="8"/>
        <rFont val="Arial"/>
        <family val="2"/>
        <charset val="204"/>
      </rPr>
      <t xml:space="preserve">(без кассеты), цвет фурнитуры — антрацит</t>
    </r>
  </si>
  <si>
    <t xml:space="preserve">LVT 45 серый, цепочка</t>
  </si>
  <si>
    <r>
      <rPr>
        <sz val="8"/>
        <rFont val="Arial"/>
        <family val="2"/>
        <charset val="204"/>
      </rPr>
      <t xml:space="preserve">LVT 45 </t>
    </r>
    <r>
      <rPr>
        <sz val="10"/>
        <rFont val="Arial"/>
        <family val="2"/>
        <charset val="204"/>
      </rPr>
      <t xml:space="preserve">с цепочкой, открытая </t>
    </r>
    <r>
      <rPr>
        <sz val="8"/>
        <rFont val="Arial"/>
        <family val="2"/>
        <charset val="204"/>
      </rPr>
      <t xml:space="preserve">(без кассеты), цвет фурнитуры — серый</t>
    </r>
  </si>
  <si>
    <t xml:space="preserve">Бентин М 29 открытая (без кассеты), цвет фурнитуры — белый</t>
  </si>
  <si>
    <t xml:space="preserve">Бентин М 29 АККО</t>
  </si>
  <si>
    <t xml:space="preserve">ТРУБА 29ММ M/ROOF</t>
  </si>
  <si>
    <t xml:space="preserve">КРОНШТЕЙН 36ММ M, МЕТАЛЛ</t>
  </si>
  <si>
    <t xml:space="preserve">КРЫШКА КРОНШТЕЙНА ШИРОКАЯ 55X36ММ M, БЕЛАЯ</t>
  </si>
  <si>
    <t xml:space="preserve">ЗАГЛУШКА В ТРУБУ 29ММ M, БЕЛАЯ, СЕРАЯ (NEW), ЧЕРНАЯ (NEW) </t>
  </si>
  <si>
    <t xml:space="preserve">ВСТАВКА ДЛЯ ГОЛОВЫ SONESSE 30/DM25</t>
  </si>
  <si>
    <t xml:space="preserve">АДАПТЕР ДЛЯ ПРИВОДА DM25</t>
  </si>
  <si>
    <t xml:space="preserve">АДАПТЕР ДЛЯ ПРИВОДА SOMFY 28/DM25 ДЛЯ ТРУБЫ 29  </t>
  </si>
  <si>
    <t xml:space="preserve">ЛЕНТА КЛЕЙКАЯ ДЛЯ ТРУБЫ, 17ММ</t>
  </si>
  <si>
    <t xml:space="preserve">Бентин L Моно 52 АККО</t>
  </si>
  <si>
    <t xml:space="preserve">Бентин L Моно 52 открытая (без кассеты), , цвет фурнитуры — белый</t>
  </si>
  <si>
    <t xml:space="preserve">ОСЬ СОЕДИНИТЕЛЬНАЯ МL</t>
  </si>
  <si>
    <t xml:space="preserve">ОПОРА ДЛЯ КРОНШТЕЙНА МОНО, L 3ММ</t>
  </si>
  <si>
    <t xml:space="preserve">ЗАГЛУШКА СОЕДИНИТЕЛЬНАЯ В ТРУБУ 43ММ ML, СЕРАЯ </t>
  </si>
  <si>
    <t xml:space="preserve">КОНТРОЛЬ ОТСУТСТВИЯ ЦЕНЫ</t>
  </si>
  <si>
    <t xml:space="preserve">Цена вход за ед., $</t>
  </si>
  <si>
    <t xml:space="preserve">Цена вход за ед., руб</t>
  </si>
  <si>
    <t xml:space="preserve">Комплектующие для производства рулонных штор системы Ловолайт 32мм/ 45мм</t>
  </si>
  <si>
    <t xml:space="preserve">Механизм упр. цепь 45 (комплект) СК белый</t>
  </si>
  <si>
    <t xml:space="preserve">Крышка кронштейна 45 (пара) СК белая</t>
  </si>
  <si>
    <t xml:space="preserve">Заглушка нижней рейки СК белая</t>
  </si>
  <si>
    <t xml:space="preserve">АВТОСТОП ПРУЖИН. МЕХАНИЗМА 32 ДЛИННЫЙ</t>
  </si>
  <si>
    <t xml:space="preserve">АВТОСТОП ПРУЖИН. МЕХАНИЗМА 32 КОРОТКИЙ</t>
  </si>
  <si>
    <t xml:space="preserve">ЗАГЛУШКА Д/ТРУБЫ 32 ДЛЯ ДВОЙНОГО КРОНШТЕЙНА</t>
  </si>
  <si>
    <t xml:space="preserve">КРОНШТЕЙН БОКОВОЙ КАССЕТЫ 32 ММ ДЛЯ АВТОСТОПА</t>
  </si>
  <si>
    <t xml:space="preserve">КРОНШТЕЙН ДВОЙНОЙ 32 (КОМПЛЕКТ)</t>
  </si>
  <si>
    <t xml:space="preserve">КРЫШКА ДВОЙНОГО КРОНШТЕЙНА 32 (КОМПЛЕКТ)</t>
  </si>
  <si>
    <t xml:space="preserve">КРЫШКА УДЛ. КРОНШТЕЙНА 32 ДЛЯ МОНТАЖНОГО ПРОФИЛЯ</t>
  </si>
  <si>
    <t xml:space="preserve">МЕХАНИЗМ УПР. С МЯГКОЙ ПРУЖИНОЙ 32 (КОМПЛЕКТ)</t>
  </si>
  <si>
    <t xml:space="preserve">МЕХАНИЗМ УПР. С МЯГКОЙ ПРУЖИНОЙ КАССЕТЫ 32</t>
  </si>
  <si>
    <t xml:space="preserve">МЕХАНИЗМ УПР. СО СРЕДНЕЙ ПРУЖИНОЙ 32 (КОМПЛЕКТ)</t>
  </si>
  <si>
    <t xml:space="preserve">МЕХАНИЗМ УПР. СО СРЕДНЕЙ ПРУЖИНОЙ ЗАКР КАССЕТЫ 32</t>
  </si>
  <si>
    <t xml:space="preserve">МЕХАНИЗМ УПР. ЦЕПЬ 32+ (КОМПЛЕКТ)</t>
  </si>
  <si>
    <t xml:space="preserve">МЕХАНИЗМ УПР. ЦЕПЬ КАССЕТЫ 32+, ПРАВЫЙ (КОМП)</t>
  </si>
  <si>
    <t xml:space="preserve">ПРОФИЛЬ ЛИЦЕВОЙ КАССЕТЫ 32, БЕЗ ПАЗА</t>
  </si>
  <si>
    <t xml:space="preserve">АДАПТЕР ДЛЯ ПРУЖИНЫ EASYLIFT 45</t>
  </si>
  <si>
    <t xml:space="preserve">КОМПЛЕКТ ДЛЯ МОТОРИЗАЦИИ 45 (SOMFI)</t>
  </si>
  <si>
    <t xml:space="preserve">КОМПЛЕКТ ДЛЯ МОТОРА С АДАПТЕРОМ (SOMFI)</t>
  </si>
  <si>
    <t xml:space="preserve">КРОНШТЕЙН ДВОЙНОЙ 45 (КОМПЛЕКТ)</t>
  </si>
  <si>
    <t xml:space="preserve">КРОНШТЕЙН ПРОМЕЖУТОЧНЫЙ 45</t>
  </si>
  <si>
    <t xml:space="preserve">КРОНШТЕЙН ПРОМЕЖУТОЧНЫЙ 45+</t>
  </si>
  <si>
    <t xml:space="preserve">КРОНШТЕЙН СОЕДИНИТЕЛЬНЫЙ 45</t>
  </si>
  <si>
    <t xml:space="preserve">КРОНШТЕЙН СОЕДИНИТЕЛЬНЫЙ 45 ДЛЯ КАССЕТЫ</t>
  </si>
  <si>
    <t xml:space="preserve">КРОНШТЕЙН СОЕДИНИТЕЛЬНЫЙ 45+</t>
  </si>
  <si>
    <t xml:space="preserve">КРОНШТЕЙН УДЛИНЕННЫЙ 45(ПАРА)</t>
  </si>
  <si>
    <t xml:space="preserve">КРЫШКА ДВОЙНОГО КРОНШТЕЙНА 45 (КОМПЛЕКТ)</t>
  </si>
  <si>
    <t xml:space="preserve">КРЫШКА КРОНШТЕЙНА 45+</t>
  </si>
  <si>
    <t xml:space="preserve">КРЫШКА УДЛ. КРОНШТЕЙНА 45 ДЛЯ МОНТАЖНОГО ПРОФИЛЯ</t>
  </si>
  <si>
    <t xml:space="preserve">МЕХАНИЗМ УПР. ЦЕПЬ 45 ДЛЯ МОНТАЖНОГО ПРОФИЛЯ</t>
  </si>
  <si>
    <t xml:space="preserve">МЕХАНИЗМ УПР. ЦЕПЬ 45+ (КОМПЛЕКТ)</t>
  </si>
  <si>
    <t xml:space="preserve">МЕХАНИЗМ УПР. ЦЕПЬ КАССЕТЫ 45, ЛЕВЫЙ (КОМПЛЕКТ)</t>
  </si>
  <si>
    <t xml:space="preserve">МЕХАНИЗМ УПР. ЦЕПЬ КАССЕТЫ 45, ПРАВЫЙ (КОМПЛЕКТ)</t>
  </si>
  <si>
    <t xml:space="preserve">ПРОФИЛЬ ЛИЦЕВОЙ  КАССЕТЫ 45, БЕЗ ПАЗА</t>
  </si>
  <si>
    <t xml:space="preserve">ПРУЖИНА ЛЕВАЯ EASYLIFT 45</t>
  </si>
  <si>
    <t xml:space="preserve">ПРУЖИНА ПРАВАЯ EASYLIFT 45</t>
  </si>
  <si>
    <t xml:space="preserve">ТРУБА 45 ММ, УСИЛЕННАЯ (LVT)</t>
  </si>
  <si>
    <t xml:space="preserve">ЗАГЛУШКА ДЛЯ ОТВЕРСТИЯ В НАПРАВЛЯЮЩЕЙ (LVT)</t>
  </si>
  <si>
    <t xml:space="preserve">ЗАГЛУШКА НИЖНЕЙ РЕЙКИ, белая</t>
  </si>
  <si>
    <t xml:space="preserve">ЗАГЛУШКА НИЖНЕЙ РЕЙКИ, серая, черная</t>
  </si>
  <si>
    <t xml:space="preserve">ЗАГЛУШКА НИЖНЕЙ РЕЙКИ Д/НАПР. (LVT)</t>
  </si>
  <si>
    <t xml:space="preserve">ЗАГЛУШКА НИЖНЕЙ РЕЙКИ, БОК. ФИКСАЦИЯ</t>
  </si>
  <si>
    <t xml:space="preserve">ЗАГЛУШКА С ВТУЛКОЙ НИЖНЕЙ РЕЙКИ, "ЗЕБРА"</t>
  </si>
  <si>
    <t xml:space="preserve">ЗАСТЕЖКА САМОКЛ.БЕЛАЯ 25ММ HOOK</t>
  </si>
  <si>
    <t xml:space="preserve">ЗАСТЕЖКА САМОКЛ.БЕЛАЯ 25ММ LOOP</t>
  </si>
  <si>
    <t xml:space="preserve">КОМПЛЕКТ ПОТОЛОЧНЫХ КРОНШТЕЙНОВ, БОК. ФИКСАЦИЯ</t>
  </si>
  <si>
    <t xml:space="preserve">КОМПЛЕКТ СТЕНОВЫХ КРОНШТЕЙНОВ, БОК. ФИКСАЦИЯ</t>
  </si>
  <si>
    <t xml:space="preserve">КРЫШКА ДЛЯ НАПРАВЛЯЮЩЕЙ (LVT)</t>
  </si>
  <si>
    <t xml:space="preserve">ЛЕНТА УПЛОТНЯЮЩАЯ 6 ММ</t>
  </si>
  <si>
    <t xml:space="preserve">ЛЕНТА УПЛОТНЯЮЩАЯ 7 ММ</t>
  </si>
  <si>
    <t xml:space="preserve">ЛЕНТА УПЛОТНЯЮЩАЯ 8 ММ</t>
  </si>
  <si>
    <t xml:space="preserve">НАПРАВЛЯЮЩАЯ (LVT)</t>
  </si>
  <si>
    <t xml:space="preserve">ПЛАСТИКОВАЯ ПОЛОСА-ФИКСАТОР КЛЕЙКАЯ 7ММ СЕРАЯ</t>
  </si>
  <si>
    <t xml:space="preserve">ПРОФИЛЬ МОНТАЖНЫЙ (LVT), УНИВЕРСАЛЬНЫЙ</t>
  </si>
  <si>
    <t xml:space="preserve">РЕЙКА НИЖНЯЯ АЛЮМИНИЙ ПОД ПОЛОСУ (LVT), белая</t>
  </si>
  <si>
    <t xml:space="preserve">РЕЙКА НИЖНЯЯ АЛЮМИНИЙ ПОД ПОЛОСУ (LVT), антрацит</t>
  </si>
  <si>
    <t xml:space="preserve">РЕЙКА НИЖНЯЯ АЛЮМИНИЙ ПОД ПОЛОСУ (LVT), серая</t>
  </si>
  <si>
    <t xml:space="preserve">РЕЙКА НИЖНЯЯ АЛЮМИНИЙ (LVT), белая</t>
  </si>
  <si>
    <t xml:space="preserve">РУЧКА УПРАВЛЕНИЯ НИЖНЕЙ РЕЙКИ</t>
  </si>
  <si>
    <t xml:space="preserve">САМОРЕЗ, 2,9X6,5 DIN 7981 ОСТРОКОНЕЧНЫЙ</t>
  </si>
  <si>
    <t xml:space="preserve">СОЕДИНИТЕЛЬ КАССЕТЫ И НАПРАВЛЯЮЩЕЙ (LVT)</t>
  </si>
  <si>
    <t xml:space="preserve">ФИКСАТОР ТРОСА, БОК. ФИКСАЦИЯ</t>
  </si>
  <si>
    <t xml:space="preserve">ЦЕПЬ ПЕТЛЯ LVT 100СМ, БЕЛАЯ</t>
  </si>
  <si>
    <t xml:space="preserve">ЦЕПЬ ПЕТЛЯ LVT 150 СМ, БЕЛАЯ</t>
  </si>
  <si>
    <t xml:space="preserve">ШЛЕГЕЛЬ ДЛЯ НАПРАВЛЯЮЩЕЙ (LVT)</t>
  </si>
  <si>
    <t xml:space="preserve">КОМПЛЕКТУЮЩИЕ UNI / MINI УНИВЕРСАЛЬНЫЕ (ТРУБА 19 ММ)</t>
  </si>
  <si>
    <t xml:space="preserve">ГРЕБЕНКА ДЛЯ ЦЕПОЧКИ</t>
  </si>
  <si>
    <t xml:space="preserve">ГРУЗ ЦЕПИ УПРАВЛЕНИЯ БЕЛЫЙ</t>
  </si>
  <si>
    <t xml:space="preserve">ГРУЗ ЦЕПИ УПРАВЛЕНИЯ БЕЛЫЙ RUS</t>
  </si>
  <si>
    <t xml:space="preserve">ГРУЗ ЦЕПИ УПРАВЛЕНИЯ БЕЛЫЙ, ЛЮКС</t>
  </si>
  <si>
    <t xml:space="preserve">ГРУЗ ЦЕПИ УПРАВЛЕНИЯ ДУБ</t>
  </si>
  <si>
    <t xml:space="preserve">ГРУЗ ЦЕПИ УПРАВЛЕНИЯ КОРИЧНЕВЫЙ</t>
  </si>
  <si>
    <t xml:space="preserve">ГРУЗ ЦЕПИ УПРАВЛЕНИЯ КОРИЧНЕВЫЙ RUS</t>
  </si>
  <si>
    <t xml:space="preserve">ГРУЗ ЦЕПИ УПРАВЛЕНИЯ СЕРЕБРО</t>
  </si>
  <si>
    <t xml:space="preserve">ГРУЗ ЦЕПИ УПРАВЛЕНИЯ Т.СЕРЫЙ</t>
  </si>
  <si>
    <t xml:space="preserve">КОЛЬЦО ПОДКЛАДОЧНОЕ, БЕЛОЕ RUS</t>
  </si>
  <si>
    <t xml:space="preserve">КОЛЬЦО ПОДКЛАДОЧНОЕ, КОРИЧНЕВЫЙ/ДУБ/Т.СЕРЫЙ</t>
  </si>
  <si>
    <t xml:space="preserve">КОЛЬЦО СТОПОРНОЕ ДЛЯ ЛЕСКИ</t>
  </si>
  <si>
    <t xml:space="preserve">ЛЕНТА КЛЕЙКАЯ Д/ТРУБЫ 12ММ АРМИРОВАННАЯ</t>
  </si>
  <si>
    <t xml:space="preserve">НАТЯЖИТЕЛЬ ДЛЯ ЦЕПИ, БЕЛЫЙ</t>
  </si>
  <si>
    <t xml:space="preserve">НАТЯЖИТЕЛЬ ДЛЯ ЦЕПИ, КОРИЧНЕВЫЙ/ДУБ/Т.СЕРЫЙ</t>
  </si>
  <si>
    <t xml:space="preserve">ОГРАНИЧИТЕЛЬ ЦЕПИ УПРАВЛЕНИЯ, БЕЛЫЙ RUS</t>
  </si>
  <si>
    <t xml:space="preserve">ОГРАНИЧИТЕЛЬ ЦЕПИ УПРАВЛЕНИЯ, ДУБ</t>
  </si>
  <si>
    <t xml:space="preserve">ОГРАНИЧИТЕЛЬ ЦЕПИ УПРАВЛЕНИЯ, КОРИЧНЕВЫЙ</t>
  </si>
  <si>
    <t xml:space="preserve">ОГРАНИЧИТЕЛЬ ЦЕПИ УПРАВЛЕНИЯ, Т.СЕРЫЙ</t>
  </si>
  <si>
    <t xml:space="preserve">ПЛАНКА НИЖНЯЯ АЛЮМИНИЕВАЯ, СЕРЕБРО</t>
  </si>
  <si>
    <t xml:space="preserve">ПЛАНКА НИЖНЯЯ АЛЮМИНИЕВАЯ, Т.СЕРЫЙ</t>
  </si>
  <si>
    <t xml:space="preserve">ПЛАНКА НИЖНЯЯ СТАЛЬНАЯ, БЕЛАЯ RUS</t>
  </si>
  <si>
    <t xml:space="preserve">ПЛАНКА НИЖНЯЯ СТАЛЬНАЯ, БЕЛАЯ RUS ОМЕГА</t>
  </si>
  <si>
    <t xml:space="preserve">ПЛАНКА НИЖНЯЯ СТАЛЬНАЯ, ЗОЛОТОЙ ДУБ, МАХАГОН</t>
  </si>
  <si>
    <t xml:space="preserve">ПЛАНКА НИЖНЯЯ СТАЛЬНАЯ, КОРИЧНЕВАЯ RUS</t>
  </si>
  <si>
    <t xml:space="preserve">ПЛАНКА НИЖНЯЯ СТАЛЬНАЯ, СВЕТЛЫЙ ДУБ</t>
  </si>
  <si>
    <t xml:space="preserve">СОЕДИНИТЕЛЬ ЦЕПИ УПРАВЛЕНИЯ БЕЗОПАСНЫЙ БЕЛЫЙ/КОРИЧНЕВЫЙ/ДУБ/Т.СЕРЫЙ</t>
  </si>
  <si>
    <t xml:space="preserve">СОЕДИНИТЕЛЬ ЦЕПИ УПРАВЛЕНИЯ БЕЛЫЙ</t>
  </si>
  <si>
    <t xml:space="preserve">СОЕДИНИТЕЛЬ ЦЕПИ УПРАВЛЕНИЯ БЕЛЫЙ RUS</t>
  </si>
  <si>
    <t xml:space="preserve">СОЕДИНИТЕЛЬ ЦЕПИ УПРАВЛЕНИЯ ДУБ/СЕРЫЙ/Т.СЕРЫЙ</t>
  </si>
  <si>
    <t xml:space="preserve">СОЕДИНИТЕЛЬ ЦЕПИ УПРАВЛЕНИЯ КОРИЧНЕВЫЙ</t>
  </si>
  <si>
    <t xml:space="preserve">ТРУБА АЛЮМИН. 19ММ 6М</t>
  </si>
  <si>
    <t xml:space="preserve">ТРУБА СТАЛЬНАЯ UNI/MINI С КЛЕЙКОЙ ЛЕНТОЙ</t>
  </si>
  <si>
    <t xml:space="preserve">УПЛОТНИТЕЛЬ НИЖНЕЙ ПЛАНКИ, БЕЛЫЙ UNI</t>
  </si>
  <si>
    <t xml:space="preserve">УПЛОТНИТЕЛЬ НИЖНЕЙ ПЛАНКИ, ДУБ/СЕРЕБРО/Т.СЕРЫЙ UNI</t>
  </si>
  <si>
    <t xml:space="preserve">УПЛОТНИТЕЛЬ НИЖНЕЙ ПЛАНКИ, КОРИЧНЕВЫЙ UNI</t>
  </si>
  <si>
    <t xml:space="preserve">ЦЕПЬ ПЕТЛЯ UNI/MINI 100СМ, БЕЛАЯ</t>
  </si>
  <si>
    <t xml:space="preserve">ЦЕПЬ ПЕТЛЯ UNI/MINI 100СМ, ДУБ, КОРИЧНЕВАЯ</t>
  </si>
  <si>
    <t xml:space="preserve">ЦЕПЬ ПЕТЛЯ UNI/MINI 120СМ, БЕЛАЯ</t>
  </si>
  <si>
    <t xml:space="preserve">ЦЕПЬ ПЕТЛЯ UNI/MINI 125СМ, ДУБ, КОРИЧНЕВАЯ</t>
  </si>
  <si>
    <t xml:space="preserve">ЦЕПЬ ПЕТЛЯ UNI/MINI 140СМ, БЕЛАЯ</t>
  </si>
  <si>
    <t xml:space="preserve">ЦЕПЬ ПЕТЛЯ UNI/MINI 150СМ, ДУБ, КОРИЧНЕВАЯ</t>
  </si>
  <si>
    <t xml:space="preserve">ЦЕПЬ ПЕТЛЯ UNI/MINI 160СМ, БЕЛАЯ</t>
  </si>
  <si>
    <t xml:space="preserve">ЦЕПЬ ПЕТЛЯ UNI/MINI 175СМ, ДУБ, КОРИЧНЕВАЯ</t>
  </si>
  <si>
    <t xml:space="preserve">ЦЕПЬ ПЕТЛЯ UNI/MINI 180СМ, БЕЛАЯ</t>
  </si>
  <si>
    <t xml:space="preserve">ЦЕПЬ ПЕТЛЯ UNI/MINI 200СМ, БЕЛАЯ</t>
  </si>
  <si>
    <t xml:space="preserve">ЦЕПЬ ПЕТЛЯ UNI/MINI 40СМ, БЕЛАЯ</t>
  </si>
  <si>
    <t xml:space="preserve">ЦЕПЬ ПЕТЛЯ UNI/MINI 50СМ, ДУБ, КОРИЧНЕВАЯ</t>
  </si>
  <si>
    <t xml:space="preserve">ЦЕПЬ ПЕТЛЯ UNI/MINI 60СМ, БЕЛАЯ</t>
  </si>
  <si>
    <t xml:space="preserve">ЦЕПЬ ПЕТЛЯ UNI/MINI 75СМ, ДУБ, КОРИЧНЕВАЯ</t>
  </si>
  <si>
    <t xml:space="preserve">ЦЕПЬ ПЕТЛЯ UNI/MINI 80СМ, БЕЛАЯ</t>
  </si>
  <si>
    <t xml:space="preserve">ЦЕПЬ УПРАВЛЕНИЯ БЕЛАЯ</t>
  </si>
  <si>
    <t xml:space="preserve">ЦЕПЬ УПРАВЛЕНИЯ ДУБ</t>
  </si>
  <si>
    <t xml:space="preserve">ЦЕПЬ УПРАВЛЕНИЯ КОРИЧНЕВЫЙ/Т.СЕРЫЙ</t>
  </si>
  <si>
    <t xml:space="preserve">ЦЕПЬ УПРАВЛЕНИЯ КОРИЧНЕВЫЙ RUS</t>
  </si>
  <si>
    <t xml:space="preserve">ШЛЕГЕЛЬ 5*6ММ, БЕЛЫЙ/СЕРЫЙ</t>
  </si>
  <si>
    <t xml:space="preserve">ДЕРЖАТЕЛЬ МАГНИТА ПЛАСТИКОВЫЙ, БЕЛЫЙ MINI</t>
  </si>
  <si>
    <t xml:space="preserve">ДЕРЖАТЕЛЬ МАГНИТА ПЛАСТИКОВЫЙ, КОРИЧНЕВЫЙ MINI</t>
  </si>
  <si>
    <t xml:space="preserve">КРОНШТЕЙН ДЛЯ ОКОН ПВХ ВЕРХНИЙ, БЕЛЫЙ MINI RUS</t>
  </si>
  <si>
    <t xml:space="preserve">КРОНШТЕЙН ДЛЯ ОКОН ПВХ ВЕРХНИЙ, КОРИЧНЕВЫЙ/ДУБ/Т.СЕРЫЙ MINI</t>
  </si>
  <si>
    <t xml:space="preserve">КРОНШТЕЙН НИЖНИЙ ПЛАСТИКОВЫЙ ДЛЯ ЛЕСКИ БЕЛЫЙ MINI</t>
  </si>
  <si>
    <t xml:space="preserve">КРОНШТЕЙН НИЖНИЙ ПЛАСТИКОВЫЙ ДЛЯ ЛЕСКИ КОРИЧНЕВЫЙ/ДУБ/Т.СЕРЫЙ MINI</t>
  </si>
  <si>
    <t xml:space="preserve">КРОНШТЕЙН НИЖНИЙ БЕЛЫЙ, КОРИЧНЕВЫЙ MINI</t>
  </si>
  <si>
    <t xml:space="preserve">МАГНИТ ПОД ШУРУП 10*3ММ</t>
  </si>
  <si>
    <t xml:space="preserve">МАГНИТ ПОД ШУРУП 10*3ММ СК</t>
  </si>
  <si>
    <t xml:space="preserve">МЕХАНИЗМ УНИВЕРСАЛЬНЫЙ ROLLA 19, БЕЛЫЙ</t>
  </si>
  <si>
    <t xml:space="preserve">МЕХАНИЗМ УНИВЕРСАЛЬНЫЙ ROLLA 19, КОРИЧНЕВЫЙ</t>
  </si>
  <si>
    <t xml:space="preserve">НАПРАВЛЯЮЩАЯ ЛЕСКИ, БЕЛАЯ</t>
  </si>
  <si>
    <t xml:space="preserve">НАПРАВЛЯЮЩАЯ ЛЕСКИ, КОРИЧНЕВЫЙ/ДУБ/Т.СЕРЫЙ</t>
  </si>
  <si>
    <t xml:space="preserve">НАПРАВЛЯЮЩАЯ ЛЕСКИ СКРЫТАЯ, БЕЛАЯ NEW</t>
  </si>
  <si>
    <t xml:space="preserve">НАПРАВЛЯЮЩАЯ ЛЕСКИ СКРЫТАЯ, КОРИЧНЕВАЯ/ДУБ NEW</t>
  </si>
  <si>
    <t xml:space="preserve">ПЛАТФОРМА ДЛЯ СКОТЧА MINI БЕЛАЯ RUS</t>
  </si>
  <si>
    <t xml:space="preserve">ПЛАТФОРМА ДЛЯ СКОТЧА MINI КОРИЧНЕВЫЙ/ДУБ/Т.СЕРЫЙ</t>
  </si>
  <si>
    <t xml:space="preserve">ПОЛОСА ДЛЯ МАГНИТА</t>
  </si>
  <si>
    <t xml:space="preserve">СКОТЧ ДЛЯ MINI</t>
  </si>
  <si>
    <t xml:space="preserve">ЦЕПОЧНЫЙ МЕХАНИЗМ УПРАВЛЕНИЯ, КОМПЛЕКТ, БЕЛЫЙ MINI</t>
  </si>
  <si>
    <t xml:space="preserve">ЦЕПОЧНЫЙ МЕХАНИЗМ УПРАВЛЕНИЯ, КОМПЛЕКТ, КОРИЧНЕВЫЙ/ДУБ/Т.СЕРЫЙ MINI</t>
  </si>
  <si>
    <t xml:space="preserve">ШУРУП 3*10ММ ПОД МАГНИТ</t>
  </si>
  <si>
    <t xml:space="preserve">ЗАГЛУШКА ДЛЯ ПРОФИЛЯ ДОПОЛНИТ MINI ЗЕБРА, БЕЛАЯ</t>
  </si>
  <si>
    <t xml:space="preserve">ЗАГЛУШКА ДЛЯ ПРОФИЛЯ ДОПОЛНИТ MINI ЗЕБРА, БЕЛАЯ RUS</t>
  </si>
  <si>
    <t xml:space="preserve">ЗАГЛУШКА ДЛЯ ПРОФИЛЯ ДОПОЛНИТ MINI ЗЕБРА, КОРИЧЕВАЯ</t>
  </si>
  <si>
    <t xml:space="preserve">ЗАГЛУШКА ДЛЯ ТРУБКИ НИЖНЕЙ 12ММ ПРОЗРАЧНАЯ, ЗЕБРА</t>
  </si>
  <si>
    <t xml:space="preserve">ЗАГЛУШКА ДЛЯ ТРУБКИ НИЖНЕЙ 12ММ ПРОЗРАЧНАЯ, ЗЕБРА RUS</t>
  </si>
  <si>
    <t xml:space="preserve">ЗАЩЕЛКА Д/КРОНШТ НАКИДНОГО, РЕГУЛИР. ЗЕБРА, БЕЛАЯ</t>
  </si>
  <si>
    <t xml:space="preserve">ЗАЩЕЛКА Д/КРОНШТ НАКИДНОГО, РЕГУЛИР. ЗЕБРА, КОРИЧН</t>
  </si>
  <si>
    <t xml:space="preserve">КРОНШТЕЙН НАКИДНОЙ, РЕГУЛИРУЕМЫЙ ЗЕБРА, БЕЛЫЙ</t>
  </si>
  <si>
    <t xml:space="preserve">КРОНШТЕЙН НАКИДНОЙ, РЕГУЛИРУЕМЫЙ ЗЕБРА, КОРИЧНЕВЫЙ</t>
  </si>
  <si>
    <t xml:space="preserve">КРОНШТЕЙН НИЖН Д/БОК. ФИКС. MINI ЗЕБРА, БЕЛЫЙ</t>
  </si>
  <si>
    <t xml:space="preserve">КРОНШТЕЙН НИЖН Д/БОК. ФИКС. MINI ЗЕБРА, КОРИЧНЕВЫЙ</t>
  </si>
  <si>
    <t xml:space="preserve">МЕХАНИЗМ ЗЕБРА, КОМПЛЕКТ, БЕЛЫЙ</t>
  </si>
  <si>
    <t xml:space="preserve">МЕХАНИЗМ ЗЕБРА, КОМПЛЕКТ, КОРИЧНЕВЫЙ</t>
  </si>
  <si>
    <t xml:space="preserve">НАПРАВЛЯЮЩАЯ ЛЕСКИ ПРОЗРАЧНАЯ, ЗЕБРА</t>
  </si>
  <si>
    <t xml:space="preserve">НАПРАВЛЯЮЩАЯ ЛЕСКИ ПРОЗРАЧНАЯ, ЗЕБРА RUS</t>
  </si>
  <si>
    <t xml:space="preserve">ПЛАТФОРМА ДЛЯ СКОТЧА MINI-ЗЕБРА БЕЛАЯ, RUS</t>
  </si>
  <si>
    <t xml:space="preserve">ПЛАТФОРМА ДЛЯ СКОТЧА MINI-ЗЕБРА КОРИЧНЕВАЯ</t>
  </si>
  <si>
    <t xml:space="preserve">ПРОФИЛЬ ДОПОЛНИТЕЛЬНЫЙ ДЛЯ MINI ЗЕБРА, БЕЛЫЙ</t>
  </si>
  <si>
    <t xml:space="preserve">ПРОФИЛЬ ДОПОЛНИТЕЛЬНЫЙ ДЛЯ MINI ЗЕБРА, БЕЛЫЙ II</t>
  </si>
  <si>
    <t xml:space="preserve">ПРОФИЛЬ ДОПОЛНИТЕЛЬНЫЙ ДЛЯ MINI ЗЕБРА, КОРИЧНЕВЫЙ</t>
  </si>
  <si>
    <t xml:space="preserve">ТРУБКА НИЖНЯЯ БЕЛАЯ 12ММ, ЗЕБРА</t>
  </si>
  <si>
    <t xml:space="preserve">ТРУБКА НИЖНЯЯ БЕЛАЯ 12ММ, ЗЕБРА II</t>
  </si>
  <si>
    <t xml:space="preserve">ТРУБКА НИЖНЯЯ КОРИЧНЕВАЯ 12ММ, ЗЕБРА</t>
  </si>
  <si>
    <t xml:space="preserve">ТРУБКА НИЖНЯЯ СЕРАЯ МЕТАЛЛИК 12ММ, ЗЕБРА</t>
  </si>
  <si>
    <t xml:space="preserve">ТРУБКА НИЖНЯЯ ЧЕРНЫЙ МУАР 12ММ, ЗЕБРА</t>
  </si>
  <si>
    <t xml:space="preserve">ДОП ПРОФИЛЬ БЕЛЫЙ UNI</t>
  </si>
  <si>
    <t xml:space="preserve">ДОП ПРОФИЛЬ ВЫСОКИЙ БЕЛЫЙ UNI (БЕЗ ПАЗА ДЛЯ ЗЕБРЫ)</t>
  </si>
  <si>
    <t xml:space="preserve">ДОП ПРОФИЛЬ ВЫСОКИЙ УНИВЕРСАЛЬНЫЙ КОРИЧНЕВЫЙ UNI</t>
  </si>
  <si>
    <t xml:space="preserve">ДОП ПРОФИЛЬ ВЫСОКИЙ УНИВЕРСАЛЬНЫЙ СВЕТЛЫЙ ДУБ, ЗОЛОТОЙ ДУБ, МАХАГОН UNI</t>
  </si>
  <si>
    <t xml:space="preserve">ДОП ПРОФИЛЬ ВЫСОКИЙ УНИВЕРСАЛЬНЫЙ СЕРЕБРО UNI</t>
  </si>
  <si>
    <t xml:space="preserve">ДОП ПРОФИЛЬ ВЫСОКИЙ УНИВЕРСАЛЬНЫЙ Т.СЕРЫЙ UNI</t>
  </si>
  <si>
    <t xml:space="preserve">ДОП ПРОФИЛЬ ЗОЛОТОЙ ДУБ, СВЕТЛЫЙ ДУБ UNI</t>
  </si>
  <si>
    <t xml:space="preserve">ДОП ПРОФИЛЬ КОРИЧНЕВЫЙ UNI</t>
  </si>
  <si>
    <t xml:space="preserve">КОРОБ БЕЛЫЙ UNI II (БЕЗ ЗАЩИТНОЙ ПЛЁНКИ)</t>
  </si>
  <si>
    <t xml:space="preserve">КОРОБ ЗОЛОТОЙ ДУБ, СВЕТЛЫЙ ДУБ, МАХАГОН UNI </t>
  </si>
  <si>
    <t xml:space="preserve">КОРОБ ЗОЛОТОЙ ДУБ, UNI RUS</t>
  </si>
  <si>
    <t xml:space="preserve">КОРОБ БЕЛЫЙ ДУБ, UNI RUS</t>
  </si>
  <si>
    <t xml:space="preserve">КОРОБ КОРИЧНЕВЫЙ UNI</t>
  </si>
  <si>
    <t xml:space="preserve">КОРОБ СЕРЕБРО UNI</t>
  </si>
  <si>
    <t xml:space="preserve">КОРОБ Т.СЕРЫЙ UNI</t>
  </si>
  <si>
    <t xml:space="preserve">КРЫШКА НИЖНЯЯ БОКОВАЯ, АЛЮМ., СЕРЕБРО/Т.СЕРЫЙ</t>
  </si>
  <si>
    <t xml:space="preserve">КРЫШКА НИЖНЯЯ БОКОВАЯ, БЕЛАЯ UNI ОМЕГА</t>
  </si>
  <si>
    <t xml:space="preserve">КРЫШКА НИЖНЯЯ БОКОВАЯ, БЕЛАЯ UNI RUS</t>
  </si>
  <si>
    <t xml:space="preserve">КРЫШКА НИЖНЯЯ БОКОВАЯ, ДУБ UNI</t>
  </si>
  <si>
    <t xml:space="preserve">КРЫШКА НИЖНЯЯ БОКОВАЯ, КОРИЧНЕВАЯ UNI</t>
  </si>
  <si>
    <t xml:space="preserve">КРЫШКА НИЖНЯЯ БОКОВАЯ, СЕРЕБРО UNI</t>
  </si>
  <si>
    <t xml:space="preserve">КРЫШКА НИЖНЯЯ ДЛЯ НАПРАВ ТИП "С", БЕЛАЯ, ПАРА RUS</t>
  </si>
  <si>
    <t xml:space="preserve">КРЫШКА НИЖНЯЯ ДЛЯ НАПРАВ ТИП "С", ДУБ, ПАРА</t>
  </si>
  <si>
    <t xml:space="preserve">КРЫШКА НИЖНЯЯ ДЛЯ НАПРАВ ТИП "С", КОРИЧНЕВАЯ, ПАРА</t>
  </si>
  <si>
    <t xml:space="preserve">КРЫШКА НИЖНЯЯ ДЛЯ НАПРАВ ТИП "С", СЕРЕБРО, ПАРА</t>
  </si>
  <si>
    <t xml:space="preserve">КРЫШКА НИЖНЯЯ ДЛЯ НАПРАВ ТИП "С", Т.СЕРАЯ, ПАРА</t>
  </si>
  <si>
    <t xml:space="preserve">ЛЕНТА КЛЕЙКАЯ ДВУСТОРОННЯЯ, 19ММ, БЕЛАЯ</t>
  </si>
  <si>
    <t xml:space="preserve">МЕХАНИЗМ УПРАВЛЕНИЯ КОМПЛЕКТ, ЛЕВЫЙ, ПРАВЫЙ БЕЛЫЙ UNI</t>
  </si>
  <si>
    <t xml:space="preserve">МЕХАНИЗМ УПРАВЛЕНИЯ КОМПЛЕКТ, ЛЕВЫЙ, ПРАВЫЙ КОРИЧНЕВЫЙ UNI</t>
  </si>
  <si>
    <t xml:space="preserve">МЕХАНИЗМ УПРАВЛЕНИЯ КОМПЛЕКТ, ЛЕВЫЙ, ПРАВЫЙ СВЕТЛЫЙ ДУБ, ЗОЛОТОЙ ДУБ, МАХАГОНИ, СЕРЕБРО UNI</t>
  </si>
  <si>
    <t xml:space="preserve">МЕХАНИЗМ УПРАВЛЕНИЯ КОМПЛЕКТ, ЛЕВЫЙ, ПРАВЫЙ Т.СЕРЫЙ UNI</t>
  </si>
  <si>
    <t xml:space="preserve">НАПРАВЛЯЮЩАЯ ПЛОСКАЯ, БЕЛАЯ UNI 4М, 6М</t>
  </si>
  <si>
    <t xml:space="preserve">НАПРАВЛЯЮЩАЯ ПЛОСКАЯ, БЕЛАЯ UNI 4М II (БЕЗ ЗАЩИТНОЙ ПЛЁНКИ)</t>
  </si>
  <si>
    <t xml:space="preserve">НАПРАВЛЯЮЩАЯ ПЛОСКАЯ, БЕЛАЯ UNI 6М II (БЕЗ ЗАЩИТНОЙ ПЛЁНКИ)</t>
  </si>
  <si>
    <t xml:space="preserve">НАПРАВЛЯЮЩАЯ ПЛОСКАЯ, ЗОЛОТОЙ ДУБ, СВЕТЛЫЙ ДУБ, МАХАГОН</t>
  </si>
  <si>
    <t xml:space="preserve">НАПРАВЛЯЮЩАЯ ПЛОСКАЯ, ЗОЛОТОЙ ДУБ, UNI RUS</t>
  </si>
  <si>
    <t xml:space="preserve">НАПРАВЛЯЮЩАЯ ПЛОСКАЯ, БЕЛЫЙ ДУБ, UNI RUS</t>
  </si>
  <si>
    <t xml:space="preserve">НАПРАВЛЯЮЩАЯ ПЛОСКАЯ, КОРИЧНЕВАЯ UNI</t>
  </si>
  <si>
    <t xml:space="preserve">НАПРАВЛЯЮЩАЯ ПЛОСКАЯ, СЕРЕБРО UNI</t>
  </si>
  <si>
    <t xml:space="preserve">НАПРАВЛЯЮЩАЯ ПЛОСКАЯ, Т.СЕРАЯ UNI</t>
  </si>
  <si>
    <t xml:space="preserve">НАПРАВЛЯЮЩАЯ ТИП "С", БЕЛАЯ UNI 4М II (БЕЗ ЗАЩИТНОЙ ПЛЁНКИ)</t>
  </si>
  <si>
    <t xml:space="preserve">НАПРАВЛЯЮЩАЯ ТИП "С", БЕЛАЯ UNI 6М II (БЕЗ ЗАЩИТНОЙ ПЛЁНКИ)</t>
  </si>
  <si>
    <t xml:space="preserve">НАПРАВЛЯЮЩАЯ ТИП "С", ЗОЛОТОЙ ДУБ, СВЕТЛЫЙ ДУБ, МАХАГОН UNI</t>
  </si>
  <si>
    <t xml:space="preserve">НАПРАВЛЯЮЩАЯ ТИП "С", ЗОЛОТОЙ ДУБ UNI RUS</t>
  </si>
  <si>
    <t xml:space="preserve">НАПРАВЛЯЮЩАЯ ТИП "С", БЕЛЫЙ ДУБ UNI RUS</t>
  </si>
  <si>
    <t xml:space="preserve">НАПРАВЛЯЮЩАЯ ТИП "С", КОРИЧНЕВАЯ UNI</t>
  </si>
  <si>
    <t xml:space="preserve">НАПРАВЛЯЮЩАЯ ТИП "С", СЕРЕБРО UNI</t>
  </si>
  <si>
    <t xml:space="preserve">НАПРАВЛЯЮЩАЯ ТИП "С", Т.СЕРАЯ UNI</t>
  </si>
  <si>
    <t xml:space="preserve">ПЛИТКА ПОДКЛАДОЧНАЯ БЕЛАЯ, ПАРА UNI</t>
  </si>
  <si>
    <t xml:space="preserve">ПЛИТКА ПОДКЛАДОЧНАЯ ВЫСОКАЯ КОРИЧНЕВАЯ, ПАРА UNI</t>
  </si>
  <si>
    <t xml:space="preserve">ПЛИТКА ПОДКЛАДОЧНАЯ ВЫСОКАЯ СВЕТЛЫЙ ДУБ, ЗОЛОТОЙ ДУБ, МАХАГОНИ, ПАРА UNI </t>
  </si>
  <si>
    <t xml:space="preserve">ПЛИТКА ПОДКЛАДОЧНАЯ ВЫСОКАЯ СЕРЕБРО, ПАРА UNI</t>
  </si>
  <si>
    <t xml:space="preserve">ПЛИТКА ПОДКЛАДОЧНАЯ ВЫСОКАЯ Т.СЕРАЯ, ПАРА UNI</t>
  </si>
  <si>
    <t xml:space="preserve">ПЛИТКА ПОДКЛАДОЧНАЯ ДУБ, ПАРА UNI</t>
  </si>
  <si>
    <t xml:space="preserve">ПЛИТКА ПОДКЛАДОЧНАЯ КОРИЧНЕВАЯ, ПАРА UNI</t>
  </si>
  <si>
    <t xml:space="preserve">ПЛИТКА ПОДКЛАДОЧНАЯ СЕРЕБРО, ПАРА UNI</t>
  </si>
  <si>
    <t xml:space="preserve">ДОП ПРОФИЛЬ ВЫСОКИЙ БЕЛЫЙ UNI ПВХ</t>
  </si>
  <si>
    <t xml:space="preserve">КОРОБ  БЕЛЫЙ UNI  ПВХ</t>
  </si>
  <si>
    <t xml:space="preserve">НАПРАВЛЯЮЩАЯ ПЛОСКАЯ, БЕЛАЯ UNI ПВХ</t>
  </si>
  <si>
    <t xml:space="preserve">НАПРАВЛЯЮЩАЯ ТИП "С", БЕЛАЯ UNI ПВХ</t>
  </si>
  <si>
    <t xml:space="preserve">ДОП ПРОФИЛЬ ВЫСОКИЙ УНИВЕРСАЛЬНЫЙ БЕЛЫЙ, UNI</t>
  </si>
  <si>
    <t xml:space="preserve">ДОП ПРОФИЛЬ ВЫСОКИЙ УНИВЕРСАЛЬНЫЙ ЗОЛОТОЙ ДУБ, СВЕТЛЫЙ ДУБ, МАХАГОН UNI</t>
  </si>
  <si>
    <t xml:space="preserve">ДОП ПРОФИЛЬ ВЫСОКИЙ УНИВЕРСАЛЬНЫЙ СЕРЕБРО, UNI</t>
  </si>
  <si>
    <t xml:space="preserve">ОТВЕС НИЖНИЙ ДЛЯ ЗЕБРЫ БЕЛЫЙ UNI 10ММ</t>
  </si>
  <si>
    <t xml:space="preserve">ОТВЕС НИЖНИЙ ДЛЯ ЗЕБРЫ БЕЛЫЙ UNI 10ММ II</t>
  </si>
  <si>
    <t xml:space="preserve">ОТВЕС НИЖНИЙ ДЛЯ ЗЕБРЫ ДУБ UNI 10ММ</t>
  </si>
  <si>
    <t xml:space="preserve">ОТВЕС НИЖНИЙ ДЛЯ ЗЕБРЫ КОРИЧНЕВЫЙ UNI 10ММ</t>
  </si>
  <si>
    <t xml:space="preserve">ПРОФИЛЬ ДОПОЛНИТЕЛЬНЫЙ ДЛЯ UNI ЗЕБРА, БЕЛЫЙ</t>
  </si>
  <si>
    <t xml:space="preserve">ПРОФИЛЬ ДОПОЛНИТЕЛЬНЫЙ ДЛЯ UNI ЗЕБРА, БЕЛЫЙ II</t>
  </si>
  <si>
    <t xml:space="preserve">ПРОФИЛЬ ДОПОЛНИТЕЛЬНЫЙ ДЛЯ UNI ЗЕБРА, ДУБ</t>
  </si>
  <si>
    <t xml:space="preserve">ПРОФИЛЬ ДОПОЛНИТЕЛЬНЫЙ ДЛЯ UNI ЗЕБРА, КОРИЧНЕВЫЙ</t>
  </si>
  <si>
    <t xml:space="preserve">НАПРАВЛЯЮЩАЯ ДЛЯ ПРУЖИННОГО МЕХАНИЗМА UNI, БЕЛАЯ</t>
  </si>
  <si>
    <t xml:space="preserve">НИЖНЯЯ ПЛАНКА ДЛЯ ПРУЖИННОГО МЕХАНИЗМА UNI, БЕЛАЯ</t>
  </si>
  <si>
    <t xml:space="preserve">ПРУЖИННЫЙ МЕХАНИЗМ UNI, КОМПЛЕКТ БЕЛЫЙ</t>
  </si>
  <si>
    <t xml:space="preserve">ТОРМОЗ ДЛЯ НИЖНЕЙ ПЛАНКИ</t>
  </si>
  <si>
    <t xml:space="preserve">ТРУБА СТАЛЬНАЯ 25ММ С КЛЕЙКОЙ ЛЕНТОЙ</t>
  </si>
  <si>
    <t xml:space="preserve">ЗАМОК ЦЕПИ УПРАВЛЕНИЯ, ПЛАСТИКОВЫЙ, КОРИЧНЕВЫЙ</t>
  </si>
  <si>
    <t xml:space="preserve">КОРОБ ДЛЯ MGS</t>
  </si>
  <si>
    <t xml:space="preserve">КРОНШТЕЙН ПОТОЛОЧНЫЙ MGS, БЕЛЫЙ</t>
  </si>
  <si>
    <t xml:space="preserve">КРОНШТЕЙН ПОТОЛОЧНЫЙ MGS, КОРИЧНЕВЫЙ</t>
  </si>
  <si>
    <t xml:space="preserve">КРЫШКА БОКОВАЯ ДЛЯ ОТВЕСА ДВОЙНОГО ЗЕБРА, КОМПЛЕКТ</t>
  </si>
  <si>
    <t xml:space="preserve">МЕХАНИЗМ MGS 25, ЗЕБРА, КОМПЛЕКТ, БЕЛЫЙ</t>
  </si>
  <si>
    <t xml:space="preserve">МЕХАНИЗМ MGS 25, ЗЕБРА, КОМПЛЕКТ, КОРИЧНЕВЫЙ</t>
  </si>
  <si>
    <t xml:space="preserve">МЕХАНИЗМ ROLLA 25, КОМПЛЕКТ, БЕЛЫЙ (АНАЛОГ MG II)</t>
  </si>
  <si>
    <t xml:space="preserve">МЕХАНИЗМ УНИВЕРСАЛЬНЫЙ ROLLA 25, КОМПЛЕКТ, БЕЛЫЙ (АНАЛОГ MGS ЗЕБРА)</t>
  </si>
  <si>
    <t xml:space="preserve">МЕХАНИЗМ УПРАВЛЕНИЯ MGII, МЕТАЛЛ, БЕЛЫЙ</t>
  </si>
  <si>
    <t xml:space="preserve">МЕХАНИЗМ УПРАВЛЕНИЯ MGII, МЕТАЛЛ, КОРИЧНЕВЫЙ</t>
  </si>
  <si>
    <t xml:space="preserve">МЕХАНИЗМ УПРАВЛЕНИЯ MGII, ПЛАСТИК, БЕЛЫЙ</t>
  </si>
  <si>
    <t xml:space="preserve">МЕХАНИЗМ УПРАВЛЕНИЯ MGII, ПЛАСТИК, КОРИЧНЕВЫЙ</t>
  </si>
  <si>
    <t xml:space="preserve">ПРОФИЛЬ ДОПОЛНИТЕЛЬНЫЙ MGS, 4М, БЕЛЫЙ</t>
  </si>
  <si>
    <t xml:space="preserve">ПРОФИЛЬ ДОПОЛНИТЕЛЬНЫЙ MGS, 4М, КОРИЧНЕВЫЙ</t>
  </si>
  <si>
    <t xml:space="preserve">ПРОФИЛЬ МОНТАЖНЫЙ MGS, 4М, БЕЛЫЙ</t>
  </si>
  <si>
    <t xml:space="preserve">ПРОФИЛЬ МОНТАЖНЫЙ MGS, 4М, КОРИЧНЕВЫЙ</t>
  </si>
  <si>
    <t xml:space="preserve">РЕЙКА НИЖНЯЯ ЗЕБРА</t>
  </si>
  <si>
    <t xml:space="preserve">ТРУБА АЛЮМИНИЕВАЯ 25ММ С РЕБРОМ</t>
  </si>
  <si>
    <t xml:space="preserve">ТРУБА АЛЮМИНИЕВАЯ 25ММ УНИВЕРСАЛЬНАЯ</t>
  </si>
  <si>
    <t xml:space="preserve">ЦЕПЬ ПЕТЛЯ MGS 100СМ, БЕЛАЯ</t>
  </si>
  <si>
    <t xml:space="preserve">ЦЕПЬ ПЕТЛЯ MGS 130СМ, БЕЛАЯ</t>
  </si>
  <si>
    <t xml:space="preserve">ЦЕПЬ ПЕТЛЯ MGS 150СМ, БЕЛАЯ</t>
  </si>
  <si>
    <t xml:space="preserve">ЦЕПЬ ПЕТЛЯ MGS 180СМ, БЕЛАЯ</t>
  </si>
  <si>
    <t xml:space="preserve">ЦЕПЬ ПЕТЛЯ MGS 200СМ, БЕЛАЯ</t>
  </si>
  <si>
    <t xml:space="preserve">ЦЕПЬ ПЕТЛЯ MGS 230СМ, БЕЛАЯ</t>
  </si>
  <si>
    <t xml:space="preserve">ЦЕПЬ ПЕТЛЯ MGS 250СМ, БЕЛАЯ</t>
  </si>
  <si>
    <t xml:space="preserve">ЦЕПЬ ПЕТЛЯ MGS 280СМ, БЕЛАЯ</t>
  </si>
  <si>
    <t xml:space="preserve">ЦЕПЬ ПЕТЛЯ MGS 50СМ, БЕЛАЯ</t>
  </si>
  <si>
    <t xml:space="preserve">ЦЕПЬ ПЕТЛЯ MGS 80СМ, БЕЛАЯ</t>
  </si>
  <si>
    <t xml:space="preserve">ЦЕПЬ УПРАВЛЕНИЯ СПЛОШНАЯ, ПЛАСТИКОВАЯ, КОРИЧНЕВАЯ</t>
  </si>
  <si>
    <t xml:space="preserve">ШУРУП 3*20ММ</t>
  </si>
  <si>
    <t xml:space="preserve">ДОПОЛНИТЕЛЬНЫЙ ПРОФИЛЬ ВЫСОКИЙ ROLLA КАССЕТА, БЕЛЫЙ</t>
  </si>
  <si>
    <t xml:space="preserve">ДОПОЛНИТЕЛЬНЫЙ ПРОФИЛЬ НИЗКИЙ ROLLA КАССЕТА, БЕЛЫЙ</t>
  </si>
  <si>
    <t xml:space="preserve">КОРОБ ROLLA КАССЕТА, БЕЛЫЙ</t>
  </si>
  <si>
    <t xml:space="preserve">КРЫШКА НАПРАВЛЯЮЩЕЙ ТИП "С" ROLLA КАССЕТА, ПАРА, БЕЛЫЙ</t>
  </si>
  <si>
    <t xml:space="preserve">КРЫШКА ПЛОСКОЙ НАПРАВЛЯЮЩЕЙ ROLLA КАССЕТА, ПАРА, БЕЛЫЙ</t>
  </si>
  <si>
    <t xml:space="preserve">МЕХАНИЗМ ROLLA КАССЕТА, КОМПЛЕКТ, ПРАВЫЙ/ЛЕВЫЙ, БЕЛЫЙ</t>
  </si>
  <si>
    <t xml:space="preserve">НАПРАВЛЯЮЩАЯ ПЛОСКАЯ ROLLA КАССЕТА, БЕЛАЯ</t>
  </si>
  <si>
    <t xml:space="preserve">НАПРАВЛЯЮЩАЯ ТИП "С" ROLLA КАССЕТА, БЕЛАЯ</t>
  </si>
  <si>
    <t xml:space="preserve">ПЛИТКА ПОДКЛАДОЧНАЯ ВЫСОКАЯ ROLLA КАССЕТА, ПАРА, БЕЛАЯ</t>
  </si>
  <si>
    <t xml:space="preserve">ПЛИТКА ПОДКЛАДОЧНАЯ НИЗКАЯ ROLLA КАССЕТА, ПАРА, БЕЛАЯ</t>
  </si>
  <si>
    <t xml:space="preserve">Комплектующие для производства рулонных штор системы BENTHIN</t>
  </si>
  <si>
    <t xml:space="preserve">АДАПТЕР 29-43ММ М</t>
  </si>
  <si>
    <t xml:space="preserve">АДАПТЕР 29-44ММ М</t>
  </si>
  <si>
    <t xml:space="preserve">АДАПТЕР ДЛЯ ОСИ 7-10 ММ</t>
  </si>
  <si>
    <t xml:space="preserve">АДАПТЕР ДЛЯ ПРИВОДА SOMFY SONESSE 30/ROLL UP 28</t>
  </si>
  <si>
    <t xml:space="preserve">АДАПТЕР ДЛЯ РЕДУКТОРА 52-65 ММ L</t>
  </si>
  <si>
    <t xml:space="preserve">АДАПТЕР+ПЕРЕХОДНИК ДЛЯ DM35, ТРУБА 75ММ</t>
  </si>
  <si>
    <t xml:space="preserve">АДАПТЕР+ПЕРЕХОДНИК ДЛЯ SOMFY 28/DM25, ТРУБА 43</t>
  </si>
  <si>
    <t xml:space="preserve">АДАПТЕР+ПЕРЕХОДНИК ДЛЯ SOMFY LS40, ТРУБА 44 ММ</t>
  </si>
  <si>
    <t xml:space="preserve">АДАПТЕР+ПЕРЕХОДНИК ДЛЯ SOMFY SONESSE, ТРУБА 43</t>
  </si>
  <si>
    <t xml:space="preserve">ВИНТ DIN914 М5*5</t>
  </si>
  <si>
    <t xml:space="preserve">ВИНТ М4*10 DIN965</t>
  </si>
  <si>
    <t xml:space="preserve">ВСТАВКА РЕГУЛИРУЕМАЯ ДЛЯ КРОНШТЕЙНОВ L, ПАРА </t>
  </si>
  <si>
    <t xml:space="preserve">ВТУЛКА ДЛЯ ТРОСА 1,2 ММ</t>
  </si>
  <si>
    <t xml:space="preserve">ВТУЛКА ЗАЩИТНАЯ ДЛЯ КАБЕЛЯ 10ММ</t>
  </si>
  <si>
    <t xml:space="preserve">ГАЙКА М4</t>
  </si>
  <si>
    <t xml:space="preserve">ДЕРЖАТЕЛЬ ТРОСА ПОТОЛОЧНЫЙ М</t>
  </si>
  <si>
    <t xml:space="preserve">ДЕРЖАТЕЛЬ ТРОСА, ПРОЗРАЧНЫЙ СТЕНОВОЙ</t>
  </si>
  <si>
    <t xml:space="preserve">ЗАГЛУШКА БОКОВАЯ ПОД ЦЕПЬ, ЛЕВАЯ КАССЕТЫ L, БЕЛАЯ</t>
  </si>
  <si>
    <t xml:space="preserve">ЗАГЛУШКА БОКОВАЯ ПОД ЦЕПЬ, ПРАВАЯ КАССЕТЫ L, БЕЛАЯ</t>
  </si>
  <si>
    <t xml:space="preserve">ЗАГЛУШКА В ТРУБУ 29ММ ПОДПРУЖИНЕННАЯ, СЕРАЯ</t>
  </si>
  <si>
    <t xml:space="preserve">ЗАГЛУШКА В ТРУБУ 29ММ РЕГУЛИРУЕМАЯ M, СЕРАЯ</t>
  </si>
  <si>
    <t xml:space="preserve">ЗАГЛУШКА В ТРУБУ 29ММ С ФИКСАТОРОМ M, СЕРАЯ</t>
  </si>
  <si>
    <t xml:space="preserve">ЗАГЛУШКА В ТРУБУ 43ММ РЕГУЛИРУЕМАЯ МОНО L, СЕРАЯ</t>
  </si>
  <si>
    <t xml:space="preserve">ЗАГЛУШКА В ТРУБУ 43ММ РЕГУЛИРУЕМАЯ МОНО M, СЕРАЯ</t>
  </si>
  <si>
    <t xml:space="preserve">ЗАГЛУШКА ДЛЯ НАПРАВЛЯЮЩЕЙ L, БЕЛАЯ</t>
  </si>
  <si>
    <t xml:space="preserve">ЗАГЛУШКА ДЛЯ НАПРАВЛЯЮЩЕЙ M, ПАРА, БЕЛАЯ</t>
  </si>
  <si>
    <t xml:space="preserve">ЗАГЛУШКА ДЛЯ НАПРАВЛЯЮЩЕЙ НИЖНЕЙ L, ПАРА, БЕЛАЯ</t>
  </si>
  <si>
    <t xml:space="preserve">ЗАЖИМ ДЛЯ ТРОСА 2ММ</t>
  </si>
  <si>
    <t xml:space="preserve">ЗАЖИМ ДЛЯ УДЛИНИТЕЛЯ РУЧКИ Roof System</t>
  </si>
  <si>
    <t xml:space="preserve">ЗАМОК ЦЕПИ УПРАВЛЕНИЯ 4,5 ММ СЕРЫЙ</t>
  </si>
  <si>
    <t xml:space="preserve">ЗАМОК ЦЕПИ УПРАВЛЕНИЯ 4,5 ММ ЧЕРНЫЙ</t>
  </si>
  <si>
    <t xml:space="preserve">ЗАМОК ЦЕПИ УПРАВЛЕНИЯ 612ММ, ПРОЗРАЧНЫЙ</t>
  </si>
  <si>
    <t xml:space="preserve">КОЛЬЦО СТОПОРНОЕ 6X1,3X5ММ</t>
  </si>
  <si>
    <t xml:space="preserve">КРОНШТЕЙН 36ММ M 90 ГРАД., МЕТАЛЛ</t>
  </si>
  <si>
    <t xml:space="preserve">КРОНШТЕЙН 41ММ M 90 ГРАД., МЕТАЛЛ</t>
  </si>
  <si>
    <t xml:space="preserve">КРОНШТЕЙН 41ММ M, МЕТАЛЛ</t>
  </si>
  <si>
    <t xml:space="preserve">КРОНШТЕЙН 51ММ L, 90 ГРАД. МЕТАЛЛ</t>
  </si>
  <si>
    <t xml:space="preserve">КРОНШТЕЙН 59ММ L, 90 ГРАД. МЕТАЛЛ</t>
  </si>
  <si>
    <t xml:space="preserve">КРОНШТЕЙН 59ММ L, МЕТАЛЛ</t>
  </si>
  <si>
    <t xml:space="preserve">КРОНШТЕЙН 60 ММ М, МЕТАЛЛ </t>
  </si>
  <si>
    <t xml:space="preserve">КРОНШТЕЙН ДЛЯ КАССЕТЫ M С ВИНТОМ, АЛЮМ., БЕЛЫЙ</t>
  </si>
  <si>
    <t xml:space="preserve">КРОНШТЕЙН ДЛЯ КАССЕТЫ M С ВИНТОМ, АЛЮМ., ЧЕРНЫЙ (NEW),  СЕРЫЙ ( NEW) </t>
  </si>
  <si>
    <t xml:space="preserve">КРОНШТЕЙН ДЛЯ КАССЕТЫ ЛЕВЫЙ М, МЕТАЛЛ</t>
  </si>
  <si>
    <t xml:space="preserve">КРОНШТЕЙН ДЛЯ КАССЕТЫ ПРАВЫЙ М, МЕТАЛЛ</t>
  </si>
  <si>
    <t xml:space="preserve">КРОНШТЕЙН ДЛЯ МОНТАЖНОГО ПРОФИЛЯ L С ВИНТОМ, БЕЛЫЙ</t>
  </si>
  <si>
    <t xml:space="preserve">КРОНШТЕЙН ДЛЯ МОНТАЖНОГО ПРОФИЛЯ M С ВИНТОМ, БЕЛЫЙСЕРЫЙ, ЧЕРНЫЙ</t>
  </si>
  <si>
    <t xml:space="preserve">КРОНШТЕЙН ДЛЯ МОТОРИЗАЦИИ И МОНО 59ММ L, МЕТАЛЛ</t>
  </si>
  <si>
    <t xml:space="preserve">КРОНШТЕЙН ДЛЯ ТРОСА ПОДОКОННЫЙ, БЕЛЫЙ</t>
  </si>
  <si>
    <t xml:space="preserve">КРОНШТЕЙН ДЛЯ ТРОСА СТЕНОВОЙ, БЕЛЫЙ</t>
  </si>
  <si>
    <t xml:space="preserve">КРОНШТЕЙН НИЖНИЙ ДЛЯ ТРОСА M, БЕЛЫЙ</t>
  </si>
  <si>
    <t xml:space="preserve">КРОНШТЕЙН ПЛОСКИЙ 37ММ, МЕТАЛЛ</t>
  </si>
  <si>
    <t xml:space="preserve">КРОНШТЕЙН ПОТОЛОЧНЫЙ УНИВЕРСАЛЬНЫЙ M, МЕТАЛЛ</t>
  </si>
  <si>
    <t xml:space="preserve">КРОНШТЕЙН СОЕДИНИТЕЛЬНЫЙ МОНО 36 ММ М, МЕТАЛЛ</t>
  </si>
  <si>
    <t xml:space="preserve">КРОНШТЕЙН СОЕДИНИТЕЛЬНЫЙ МОНО 41 ММ М, МЕТАЛЛ</t>
  </si>
  <si>
    <t xml:space="preserve">КРЫШКА Д/ПРОФ НАТЯЖНОГО 16*22 С 3 ОТВ., ЧЕРНАЯ </t>
  </si>
  <si>
    <t xml:space="preserve">КРЫШКА ДЛЯ МОНТ.ПРОФ.ЛЕВАЯ 36ММ,M,КОМПЛЕКТ,БЕЛАЯ</t>
  </si>
  <si>
    <t xml:space="preserve">КРЫШКА ДЛЯ МОНТ.ПРОФ.ПОД МОТОР 36ММ,М,КОМПЛ.,БЕЛАЯ</t>
  </si>
  <si>
    <t xml:space="preserve">КРЫШКА ДЛЯ МОНТ.ПРОФ.ПРАВАЯ 36ММ,M,КОМПЛЕКТ,БЕЛАЯ</t>
  </si>
  <si>
    <t xml:space="preserve">КРЫШКА КАССЕТЫ ЛЕВАЯ M, БЕЛАЯ, СЕРАЯ , ЧЕРНАЯ ( NEW)</t>
  </si>
  <si>
    <t xml:space="preserve">КРЫШКА КАССЕТЫ ЛЕВАЯ, ЦЕПЬ L, БЕЛАЯ</t>
  </si>
  <si>
    <t xml:space="preserve">КРЫШКА КАССЕТЫ ЛЕВАЯ, ЦЕПЬ M, БЕЛАЯ, СЕРАЯ, ЧЕРНАЯ (NEW)</t>
  </si>
  <si>
    <t xml:space="preserve">КРЫШКА КАССЕТЫ ПРАВАЯ M, БЕЛАЯ, СЕРАЯ , ЧЕРНАЯ ( NEW)</t>
  </si>
  <si>
    <t xml:space="preserve">КРЫШКА КАССЕТЫ ПРАВАЯ ЦЕПЬ L, БЕЛАЯ</t>
  </si>
  <si>
    <t xml:space="preserve">КРЫШКА КАССЕТЫ ПРАВАЯ, ЦЕПЬ M, БЕЛАЯ, СЕРАЯ, ЧЕРНАЯ (NEW)</t>
  </si>
  <si>
    <t xml:space="preserve">КРЫШКА КРОНШТЕЙНА ПЛОСКАЯ 55X36ММ M, БЕЛАЯ</t>
  </si>
  <si>
    <t xml:space="preserve">КРЫШКА КРОНШТЕЙНА ПЛОСКАЯ 55X41ММ M, БЕЛАЯ, СЕРАЯ (NEW), ЧЕРНАЯ (NEW) </t>
  </si>
  <si>
    <t xml:space="preserve">КРЫШКА КРОНШТЕЙНА ПЛОСКАЯ 55X46ММ M, БЕЛАЯ,  СЕРАЯ (NEW)</t>
  </si>
  <si>
    <t xml:space="preserve">КРЫШКА КРОНШТЕЙНА ПЛОСКАЯ 55X46ММ M,, ЧЕРНАЯ ( NEW) </t>
  </si>
  <si>
    <t xml:space="preserve">КРЫШКА КРОНШТЕЙНА ПЛОСКАЯ 55X60ММ M, БЕЛАЯ, СЕРАЯ </t>
  </si>
  <si>
    <t xml:space="preserve">КРЫШКА КРОНШТЕЙНА ПЛОСКАЯ 55X60ММ M, ЧЕРНАЯ (NEW)</t>
  </si>
  <si>
    <t xml:space="preserve">КРЫШКА КРОНШТЕЙНА ПЛОСКАЯ 91X51ММ М.ПРОФ. L, БЕЛАЯ</t>
  </si>
  <si>
    <t xml:space="preserve">КРЫШКА КРОНШТЕЙНА ШИРОКАЯ 55X41ММ M, БЕЛАЯ, СЕРАЯ (NEW), ЧЕРНАЯ (NEW) </t>
  </si>
  <si>
    <t xml:space="preserve">КРЫШКА КРОНШТЕЙНА ШИРОКАЯ 55X46ММ M, БЕЛАЯ,СЕРАЯ (NEW)</t>
  </si>
  <si>
    <t xml:space="preserve">КРЫШКА КРОНШТЕЙНА ШИРОКАЯ 55X46ММ M, ЧЕРНАЯ ( NEW) </t>
  </si>
  <si>
    <t xml:space="preserve">КРЫШКА КРОНШТЕЙНА ШИРОКАЯ 55X60ММ M, БЕЛАЯ, СЕРАЯ </t>
  </si>
  <si>
    <t xml:space="preserve">КРЫШКА КРОНШТЕЙНА ШИРОКАЯ 55X60ММ M, ЧЕРНАЯ (NEW)</t>
  </si>
  <si>
    <t xml:space="preserve">КРЫШКА КРОНШТЕЙНА ШИРОКАЯ 91X51ММ М.ПРОФ. L, БЕЛАЯ</t>
  </si>
  <si>
    <t xml:space="preserve">КРЫШКА НИЖНЕЙ РЕЙКИ L ДЛЯ БОК. ФИКС., ПАРА, БЕЛАЯ</t>
  </si>
  <si>
    <t xml:space="preserve">КРЫШКА НИЖНЕЙ РЕЙКИ L ДЛЯ НАПР-Х, ПАРА, БЕЛАЯ</t>
  </si>
  <si>
    <t xml:space="preserve">КРЫШКА НИЖНЕЙ РЕЙКИ L, ПАРА, БЕЛАЯ, СЕРАЯ (NEW), ЧЕРНАЯ (NEW) </t>
  </si>
  <si>
    <t xml:space="preserve">КРЫШКА НИЖНЕЙ РЕЙКИ M ДЛЯ БОК. ФИКС., ПАРА, БЕЛАЯ</t>
  </si>
  <si>
    <t xml:space="preserve">КРЫШКА НИЖНЕЙ РЕЙКИ M ДЛЯ НАПР-Х, ПАРА, БЕЛАЯ</t>
  </si>
  <si>
    <t xml:space="preserve">КРЫШКА НИЖНЕЙ РЕЙКИ M, ПАРА, БЕЛАЯ, СЕРАЯ (NEW), ЧЕРНАЯ (NEW) </t>
  </si>
  <si>
    <t xml:space="preserve">МЕХАНИЗМ УПРАВЛЕНИЯ 29ММ, КОМПЛЕКТ, МАТОВЫЙ ХРОМ</t>
  </si>
  <si>
    <t xml:space="preserve">МЕХАНИЗМ УПРАВЛЕНИЯ 29ММ, КОМПЛЕКТ, ХРОМ</t>
  </si>
  <si>
    <t xml:space="preserve">МЕХАНИЗМ УПРАВЛЕНИЯ 29ММ, КОМПЛЕКТ, ШАМПАНЬ</t>
  </si>
  <si>
    <t xml:space="preserve">МЕХАНИЗМ УПРАВЛЕНИЯ ЦЕПОЧНЫЙ 29ММ, БЕЛЫЙ M, СЕРЫЙ М (NEW), ЧЕРНЫЙ М (NEW)</t>
  </si>
  <si>
    <t xml:space="preserve">МЕХАНИЗМ УПРАВЛЕНИЯ ЦЕПОЧНЫЙ 43ММ, БЕЛЫЙ L, СЕРЫЙ М (NEW), ЧЕРНЫЙ М (NEW)</t>
  </si>
  <si>
    <t xml:space="preserve">МЕХАНИЗМ УПРАВЛЕНИЯ ЦЕПОЧНЫЙ 6*12ММ 43ММ, БЕЛЫЙ L</t>
  </si>
  <si>
    <t xml:space="preserve">МЕХАНИЗМ ЦЕПОЧНЫЙ ДЛЯ ДЕТСКОЙ БЕЗОПАСНОСТИ</t>
  </si>
  <si>
    <t xml:space="preserve">НАКЛАДКА НА КРОНШТЕЙНЫ L, БЕЛАЯ</t>
  </si>
  <si>
    <t xml:space="preserve">НАПРАВЛЯЮЩАЯ ДЛЯ КАССЕТЫ L, БЕЛАЯ</t>
  </si>
  <si>
    <t xml:space="preserve">НАПРАВЛЯЮЩАЯ ДЛЯ КАССЕТЫ M, БЕЛАЯ</t>
  </si>
  <si>
    <t xml:space="preserve">НАПРАВЛЯЮЩАЯ ДЛЯ КАССЕТЫ ML, НИЖНЯЯ, БЕЛАЯ</t>
  </si>
  <si>
    <t xml:space="preserve">ОГРАНИЧИТЕЛЬ ЦЕПИ УПРАЛВЕНИЯ 4,5Х6 ММ ПРОЗРАЧНЫЙ</t>
  </si>
  <si>
    <t xml:space="preserve">ОПОРА ДЛЯ КРОНШТЕЙНА МОНО, M 1.5ММ</t>
  </si>
  <si>
    <t xml:space="preserve">ОСНОВА УДЛИНИТЕЛЯ РУЧКИ, 100 СМ </t>
  </si>
  <si>
    <t xml:space="preserve">ОСНОВА УДЛИНИТЕЛЯ РУЧКИ, 150 СМ </t>
  </si>
  <si>
    <t xml:space="preserve">ОСЬ СОЕДИНИТЕЛЬНАЯ 200ММ</t>
  </si>
  <si>
    <t xml:space="preserve">ПЕРЕХОДНИК ДЛЯ РЕДУКТОРА 52ММ L</t>
  </si>
  <si>
    <t xml:space="preserve">ПЕРЕХОДНИК ДЛЯ РЕДУКТОРА 65ММ L</t>
  </si>
  <si>
    <t xml:space="preserve">ПЕРЕХОДНИК ДЛЯ РЕДУКТОРА НА МЕХАНИЗМ 43ММ L</t>
  </si>
  <si>
    <t xml:space="preserve">ПЛАСТИКОВАЯ ПОЛОСА-ФИКСАТОР 9X0,5ММ</t>
  </si>
  <si>
    <t xml:space="preserve">ПЛАСТИНА ДЛЯ ПРИВОДА DM35, ТРУБА 44</t>
  </si>
  <si>
    <t xml:space="preserve">ПЛАСТИНА ДЛЯ ПРИВОДА SOMFY LS40, ТРУБА 44</t>
  </si>
  <si>
    <t xml:space="preserve">ПЛАСТИНА ДЛЯ ПРИВОДА SOMFY SONESSE 30</t>
  </si>
  <si>
    <t xml:space="preserve">ПОДКЛАДКА ДЛЯ КРОНШТЕЙНА НИЖНЕГО M, БЕЛАЯ</t>
  </si>
  <si>
    <t xml:space="preserve">ПОДКЛАДКА ДЛЯ НАПРАВЛЯЮЩЕЙ НА СТЕНУ M</t>
  </si>
  <si>
    <t xml:space="preserve">ПОДКЛАДКА ПОД КРОНШТЕЙН ПЛОСКИЙ</t>
  </si>
  <si>
    <t xml:space="preserve">ПОЛОСА-ФИКСАТОР 10 ММ </t>
  </si>
  <si>
    <t xml:space="preserve">ПРОФИЛЬ ЗАКРЫВАЮЩИЙ L, БЕЛЫЙ</t>
  </si>
  <si>
    <t xml:space="preserve">ПРОФИЛЬ ЗАКРЫВАЮЩИЙ M, БЕЛЫЙ</t>
  </si>
  <si>
    <t xml:space="preserve">ПРОФИЛЬ КАССЕТЫ БАЗОВЫЙ M, БЕЛЫЙ</t>
  </si>
  <si>
    <t xml:space="preserve">ПРОФИЛЬ КАССЕТЫ БАЗОВЫЙ M, СЕРЫЙ МЕТАЛЛИК</t>
  </si>
  <si>
    <t xml:space="preserve">ПРОФИЛЬ КАССЕТЫ БАЗОВЫЙ M, ЧЕРНЫЙ МУАР</t>
  </si>
  <si>
    <t xml:space="preserve">ПРОФИЛЬ КАССЕТЫ ЛИЦЕВОЙ КВАДРАТНЫЙ M, БЕЛЫЙ</t>
  </si>
  <si>
    <t xml:space="preserve">ПРОФИЛЬ КАССЕТЫ ЛИЦЕВОЙ КВАДРАТНЫЙ M, СЕРЫЙ МАТАЛЛИК </t>
  </si>
  <si>
    <t xml:space="preserve">ПРОФИЛЬ КАССЕТЫ ЛИЦЕВОЙ КВАДРАТНЫЙ M, ЧЕРНЫЙ МУАР</t>
  </si>
  <si>
    <t xml:space="preserve">ПРОФИЛЬ МОНТАЖНЫЙ L, БЕЛЫЙ</t>
  </si>
  <si>
    <t xml:space="preserve">ПРОФИЛЬ МОНТАЖНЫЙ M, БЕЛЫЙ</t>
  </si>
  <si>
    <t xml:space="preserve">ПРОФИЛЬ МОНТАЖНЫЙ M, СЕРЫЙ МЕТАЛЛИК (NEW)</t>
  </si>
  <si>
    <t xml:space="preserve">ПРОФИЛЬ МОНТАЖНЫЙ M, ЧЕРНЫЙ МУАР</t>
  </si>
  <si>
    <t xml:space="preserve">ПРУЖИНА 0.9X26.5 ММ</t>
  </si>
  <si>
    <t xml:space="preserve">ПРУЖИНА 43 ММ, ЛЕВАЯ</t>
  </si>
  <si>
    <t xml:space="preserve">ПРУЖИНА 43 ММ, ПРАВАЯ </t>
  </si>
  <si>
    <t xml:space="preserve">РЕДУКТОР 1.47:1, 52ММ L</t>
  </si>
  <si>
    <t xml:space="preserve">РЕДУКТОР 2.15:1, ДОПОЛНИТЕЛЬНЫЙ, 52ММ L</t>
  </si>
  <si>
    <t xml:space="preserve">РЕЙКА НИЖНЯЯ L, БЕЛАЯ</t>
  </si>
  <si>
    <t xml:space="preserve">РЕЙКА НИЖНЯЯ L, НЕКРАШЕНАЯ</t>
  </si>
  <si>
    <t xml:space="preserve">РЕЙКА НИЖНЯЯ L, СЕРЫЙ МЕТАЛЛИК</t>
  </si>
  <si>
    <t xml:space="preserve">РЕЙКА НИЖНЯЯ L, ЧЕРНАЯ </t>
  </si>
  <si>
    <t xml:space="preserve">РЕЙКА НИЖНЯЯ L, ЧЕРНЫЙ МУАР</t>
  </si>
  <si>
    <t xml:space="preserve">РЕЙКА НИЖНЯЯ M, БЕЛАЯ</t>
  </si>
  <si>
    <t xml:space="preserve">РЕЙКА НИЖНЯЯ M, СЕРЫЙ МЕТАЛЛИК</t>
  </si>
  <si>
    <t xml:space="preserve">РЕЙКА НИЖНЯЯ M, ЧЕРНАЯ</t>
  </si>
  <si>
    <t xml:space="preserve">РЕЙКА НИЖНЯЯ M, ЧЕРНЫЙ МУАР</t>
  </si>
  <si>
    <t xml:space="preserve">РЕЙКА НИЖНЯЯ М, НЕКРАШЕНАЯ</t>
  </si>
  <si>
    <t xml:space="preserve">САМОРЕЗ  С ПРЕССШАЙБОЙ 4,2Х13</t>
  </si>
  <si>
    <t xml:space="preserve">САМОРЕЗ 2,2X9,5 DIN7981 ZN</t>
  </si>
  <si>
    <t xml:space="preserve">САМОРЕЗ 3,5Х13 DIN7981C</t>
  </si>
  <si>
    <t xml:space="preserve">СОЕДИНИТЕЛЬ КАРДАННЫЙ МL</t>
  </si>
  <si>
    <t xml:space="preserve">СОЕДИНИТЕЛЬ КАССЕТЫ SM, ПРОЗРАЧНЫЙ, ПАРА</t>
  </si>
  <si>
    <t xml:space="preserve">СОЕДИНИТЕЛЬ КАССЕТЫ И НАПРАВЛЯЮЩЕЙ L, ПАРА, БЕЛЫЙ</t>
  </si>
  <si>
    <t xml:space="preserve">СОЕДИНИТЕЛЬ КАССЕТЫ И НАПРАВЛЯЮЩЕЙ M, ПАРА, БЕЛЫЙ</t>
  </si>
  <si>
    <t xml:space="preserve">СТОПОР ДЛЯ НАПРАВЛЯЮЩИХ</t>
  </si>
  <si>
    <t xml:space="preserve">ТРОС 2ММ</t>
  </si>
  <si>
    <t xml:space="preserve">ТРУБА 43ММ С ДВУМЯ ПАЗАМИ ML</t>
  </si>
  <si>
    <t xml:space="preserve">ТРУБА 44ММ ДЛЯ МОТОРИЗАЦИИ M</t>
  </si>
  <si>
    <t xml:space="preserve">ФИКСАТОР ТРОСА L, ПАРА</t>
  </si>
  <si>
    <t xml:space="preserve">ФИКСАТОР ТРОСА МОНО</t>
  </si>
  <si>
    <t xml:space="preserve">ЦЕПЬ ПЕТЛЯ 6*12ММ  ПРОЗРАЧНАЯ</t>
  </si>
  <si>
    <t xml:space="preserve">ЦЕПЬ ПЕТЛЯ 6*12ММ 200СМ, ПРОЗРАЧНАЯ</t>
  </si>
  <si>
    <t xml:space="preserve">ЦЕПЬ ПЕТЛЯ 6*12ММ 250СМ, ПРОЗРАЧНАЯ</t>
  </si>
  <si>
    <t xml:space="preserve">ЦЕПЬ ПЕТЛЯ 6*12ММ 300СМ, ПРОЗРАЧНАЯ</t>
  </si>
  <si>
    <t xml:space="preserve">ЦЕПЬ УПРАВЛЕНИЯ 4,5Х6 ММ, СЕРАЯ, ЧЕРНАЯ </t>
  </si>
  <si>
    <t xml:space="preserve">ШЛЕГЕЛЬ 10ММ ML, СЕРЫЙ</t>
  </si>
  <si>
    <t xml:space="preserve">ШЛЕГЕЛЬ 7ММ M, СЕРЫЙ</t>
  </si>
  <si>
    <t xml:space="preserve">ШТИФТ БЛОКИРУЮЩИЙ, ПРОЗРАЧНЫЙ</t>
  </si>
  <si>
    <t xml:space="preserve">ШУРУП 2,9X16 DIN 7982</t>
  </si>
  <si>
    <t xml:space="preserve">ШУРУП 3,5X13 DIN 7981</t>
  </si>
  <si>
    <t xml:space="preserve">ШУРУП 3,5X9,5 DIN 7981</t>
  </si>
  <si>
    <t xml:space="preserve">Моторизация "Amigo"</t>
  </si>
  <si>
    <t xml:space="preserve">ПРИВОД DM15LEU/S-0.3/30, С ОБРАТНОЙ СВЯЗЬЮ</t>
  </si>
  <si>
    <t xml:space="preserve">ПРИВОД DM25TE/L-1.5/32, 100-240В, ЭК, IC</t>
  </si>
  <si>
    <t xml:space="preserve">ПРИВОД DM25TEQ/L-1.5/20, 100-240В, ЭК, IC</t>
  </si>
  <si>
    <t xml:space="preserve">ПРИВОД DM25TE/S-1.5/32, С ОБРАТНОЙ СВЯЗЬЮ</t>
  </si>
  <si>
    <t xml:space="preserve">ПРИВОД DM25LEU-1.1/28, 12В, ЭК, IC, АКБ</t>
  </si>
  <si>
    <t xml:space="preserve">ПРИВОД DM25LEU/S-1.1/28, 12В, ЭК, IC, АКБ С ОБРАТНОЙ СВЯЗЬЮ</t>
  </si>
  <si>
    <t xml:space="preserve">ПРИВОД DM35S-6/28, 220В, МК</t>
  </si>
  <si>
    <t xml:space="preserve">ПРИВОД DM35S-10/17, 220В, МК</t>
  </si>
  <si>
    <t xml:space="preserve">ПРИВОД DM35SL-6/28, №316, 230В            </t>
  </si>
  <si>
    <t xml:space="preserve">ПРИВОД DM35SL-10/17, №316, 230В                </t>
  </si>
  <si>
    <t xml:space="preserve">ПРИВОД DM35EW/Y-6/28, 230В, ЭК, IC</t>
  </si>
  <si>
    <t xml:space="preserve">ПРИВОД DM35EW/Y-10/17, 230В, ЭК, IC</t>
  </si>
  <si>
    <t xml:space="preserve">ПРИВОД DM35F/Y-6/28, №316, 230В, РАДИО                                </t>
  </si>
  <si>
    <t xml:space="preserve">ПРИВОД DM35F/Y-10/17, №316, 230В, РАДИО                             </t>
  </si>
  <si>
    <t xml:space="preserve">ПРИВОД DM35F/S-6/28 №316, 230В, С ОБРАТНОЙ СВЯЗЬЮ   </t>
  </si>
  <si>
    <t xml:space="preserve">ПРИВОД DM35F/S-10/17 №316, 230В, С ОБРАТНОЙ СВЯЗЬЮ              </t>
  </si>
  <si>
    <t xml:space="preserve">ПРИВОД DM35F/SW-6/28, №316, 230В, Wi-Fi,  С ОБРАТНОЙ СВЯЗЬЮ       </t>
  </si>
  <si>
    <t xml:space="preserve">ПРИВОД DM35F/SW-10/17, №316, 230В, Wi-Fi С ОБРАТНОЙ СВЯЗЬЮ      </t>
  </si>
  <si>
    <t xml:space="preserve">ПРИВОД DM35LE-3/28, 12В, ЭК, IC, АКБ</t>
  </si>
  <si>
    <t xml:space="preserve">ПРИВОД DM35LE-3/28, 12В, №316, АКБ</t>
  </si>
  <si>
    <t xml:space="preserve">ПРИВОД DM35LE/S-3/28 №316, АКБ, С ОБРАТНОЙ СВЯЗЬЮ              </t>
  </si>
  <si>
    <t xml:space="preserve">АДАПТЕР ПРОРЕЗИНЕННЫЙ DL489</t>
  </si>
  <si>
    <t xml:space="preserve">КОМПЛЕКТ ДЛЯ МОТОРИЗАЦИИ 35</t>
  </si>
  <si>
    <t xml:space="preserve">КОМПЛЕКТ ДЛЯ МОТОРИЗАЦИИ 45</t>
  </si>
  <si>
    <t xml:space="preserve">КОМПЛЕКТ ДЛЯ МОТОРИЗАЦИИ 55</t>
  </si>
  <si>
    <t xml:space="preserve">КОМПЛЕКТ ДЛЯ МОТОРИЗАЦИИ БЕЗ КРОНШТЕЙНОВ 35</t>
  </si>
  <si>
    <t xml:space="preserve">КОМПЛЕКТ ДЛЯ МОТОРИЗАЦИИ БЕЗ КРОНШТЕЙНОВ 45</t>
  </si>
  <si>
    <t xml:space="preserve">КОМПЛЕКТ ДЛЯ МОТОРИЗАЦИИ БЕЗ КРОНШТЕЙНОВ 55</t>
  </si>
  <si>
    <t xml:space="preserve">КОМПЛЕКТ ДЛЯ МОТОРИЗАЦИИ ROLLA 19, БЕЛЫЙ</t>
  </si>
  <si>
    <t xml:space="preserve">КОМПЛЕКТ ДЛЯ МОТОРИЗАЦИИ MINI БЕЛЫЙ</t>
  </si>
  <si>
    <t xml:space="preserve">КОМПЛЕКТ ДЛЯ МОТОРИЗАЦИИ MINI КОРИЧНЕВЫЙ</t>
  </si>
  <si>
    <t xml:space="preserve">КОМПЛЕКТ ДЛЯ МОТОРИЗАЦИИ MINI ДУБ</t>
  </si>
  <si>
    <t xml:space="preserve">КОМПЛЕКТ ДЛЯ МОТОРИЗАЦИИ MINI Т.СЕРЫЙ</t>
  </si>
  <si>
    <t xml:space="preserve">КОМПЛЕКТ ДЛЯ МОТОРИЗАЦИИ MINI ЗЕБРА БЕЛЫЙ</t>
  </si>
  <si>
    <t xml:space="preserve">КОМПЛЕКТ ДЛЯ МОТОРИЗАЦИИ MINI ЗЕБРА КОРИЧНЕВЫЙ</t>
  </si>
  <si>
    <t xml:space="preserve">КОМПЛЕКТ ДЛЯ МОТОРИЗАЦИИ UNI БЕЛЫЙ</t>
  </si>
  <si>
    <t xml:space="preserve">КОМПЛЕКТ ДЛЯ МОТОРИЗАЦИИ UNI КОРИЧНЕВЫЙ</t>
  </si>
  <si>
    <t xml:space="preserve">КОМПЛЕКТ ДЛЯ МОТОРИЗАЦИИ UNI ЗОЛОТОЙ ДУБ</t>
  </si>
  <si>
    <t xml:space="preserve">КОМПЛЕКТ ДЛЯ МОТОРИЗАЦИИ UNI СВЕТЛЫЙ ДУБ</t>
  </si>
  <si>
    <t xml:space="preserve">КОМПЛЕКТ ДЛЯ МОТОРИЗАЦИИ UNI МАХАГОНИ</t>
  </si>
  <si>
    <t xml:space="preserve">КОМПЛЕКТ ДЛЯ МОТОРИЗАЦИИ UNI Т. СЕРЫЙ</t>
  </si>
  <si>
    <t xml:space="preserve">ТРУБА АЛЮМИН. 19ММ</t>
  </si>
  <si>
    <t xml:space="preserve">ТРУБА 35 ММ (LVT) ДЛЯ МОТОРИЗАЦИИ</t>
  </si>
  <si>
    <t xml:space="preserve">ТРУБА 55 ММ (LVT) ДЛЯ МОТОРИЗАЦИИ</t>
  </si>
  <si>
    <t xml:space="preserve">ПРИВОД DM35EW/Y-10/17, 220В, ЭК, IC</t>
  </si>
  <si>
    <t xml:space="preserve">ПРИВОД DM35F/S-10/17 №316, 230В, С ОБРАТНОЙ СВЯЗЬЮ             </t>
  </si>
  <si>
    <t xml:space="preserve">ПРИВОД DM35F/SW-10/17, №316, 230В, Wi-Fi С ОБРАТНОЙ СВЯЗЬЮ        </t>
  </si>
  <si>
    <t xml:space="preserve">ПРИВОД DV24DH/L-1.2/45, 12В, МК, СРЕДИННЫЙ</t>
  </si>
  <si>
    <t xml:space="preserve">ПРИВОД DV24CFQ/L-0.5/34, 12В, ЭК, IC, СРЕДИННЫЙ</t>
  </si>
  <si>
    <t xml:space="preserve">ПРИВОД DV24AF/S-0.8/34, С ОБРАТНОЙ СВЯЗЬЮ</t>
  </si>
  <si>
    <t xml:space="preserve">ШПИНДЕЛЬНАЯ БЛОКИРОВКА МЕХ. DS456</t>
  </si>
  <si>
    <t xml:space="preserve">ЗАЖИМ ДЛЯ МОТОРА В КАРНИЗ 25X24ММ DS440</t>
  </si>
  <si>
    <t xml:space="preserve">ЗАЖИМ НА ВАЛ</t>
  </si>
  <si>
    <t xml:space="preserve">ШНУРОНАМОТКА DS391B</t>
  </si>
  <si>
    <t xml:space="preserve">ЗАЖИМ 25х25 ДЛЯ ВЕНУС</t>
  </si>
  <si>
    <t xml:space="preserve">ПРИВОД 24В TRIETEX ЛЕВЫЙ/ПРАВЫЙ</t>
  </si>
  <si>
    <t xml:space="preserve">ЦЕПЬ ДЛЯ ДВИГАТЕЛЯ TRIETEX</t>
  </si>
  <si>
    <t xml:space="preserve">БОКОВАЯ КРЫШКА КАРНИЗА ЛЕВАЯ/ПРАВАЯ</t>
  </si>
  <si>
    <t xml:space="preserve">ПРИВОД DV24AF/TD-2x0.6/34, 12В, С ОБРАТНОЙ СВЯЗЬЮ</t>
  </si>
  <si>
    <t xml:space="preserve">ПРИВОД DM35F/Y-6/28, №316, 230В, РАДИО                                 </t>
  </si>
  <si>
    <t xml:space="preserve">ПРИВОД DM35F/S-6/28 №316, 230В, С ОБРАТНОЙ СВЯЗЬЮ     </t>
  </si>
  <si>
    <t xml:space="preserve">КРЫШКА БОКОВАЯ В РИМСКИЙ КАРНИЗ</t>
  </si>
  <si>
    <t xml:space="preserve">АДАПТЕР ДЛЯ СТЕРЖНЯ КВАДРАТНОГО 5мм DS440H</t>
  </si>
  <si>
    <t xml:space="preserve">ЗАЖИМ ДЛЯ МОТОРА В РИМСКИЙ КАРНИЗ DS440F</t>
  </si>
  <si>
    <t xml:space="preserve">ПУЛЬТ 1-КАНАЛЬНЫЙ ERGONOMIC DC305A</t>
  </si>
  <si>
    <t xml:space="preserve">ПУЛЬТ 5-КАНАЛЬНЫЙ ERGONOMIC DC306A</t>
  </si>
  <si>
    <t xml:space="preserve">ПУЛЬТ 5-КАНАЛЬНЫЙ С ТАЙМЕРОМ ERGONOMIC DC920</t>
  </si>
  <si>
    <t xml:space="preserve">ПУЛЬТ 15-КАНАЛЬНЫЙ ERGONOMIC DC313</t>
  </si>
  <si>
    <t xml:space="preserve">РАДИОВЫКЛЮЧАТЕЛЬ 1-КАНАЛЬНЫЙ ERGONOMIC DC315</t>
  </si>
  <si>
    <t xml:space="preserve">РАДИОВЫКЛЮЧАТЕЛЬ 15-КАНАЛЬНЫЙ ERGONOMIC DC317</t>
  </si>
  <si>
    <t xml:space="preserve">ПУЛЬТ 1-КАНАЛЬНЫЙ СЕНСОРНЫЙ SMART DC1700</t>
  </si>
  <si>
    <t xml:space="preserve">ПУЛЬТ 15-КАНАЛЬНЫЙ СЕНСОРНЫЙ SMART DC1702</t>
  </si>
  <si>
    <t xml:space="preserve">ПУЛЬТ 1-КАНАЛЬНЫЙ SMART DUO DD1800P</t>
  </si>
  <si>
    <t xml:space="preserve">ПУЛЬТ 5-КАНАЛЬНЫЙ С ТАЙМЕРОМ SMART DUO DD1805P</t>
  </si>
  <si>
    <t xml:space="preserve">ПУЛЬТ 15-КАНАЛЬНЫЙ SMART DUO DD1802P</t>
  </si>
  <si>
    <t xml:space="preserve">ПУЛЬТ 15-КАНАЛЬНЫЙ SMART DUO DD2762PD</t>
  </si>
  <si>
    <t xml:space="preserve">РАДИОВЫКЛЮЧАТЕЛЬ 1КАНАЛЬНЫЙ СЕНСОРНЫЙ SMART DC1770</t>
  </si>
  <si>
    <t xml:space="preserve">РАДИОВЫКЛЮЧАТЕЛЬ 1КАНАЛЬНЫЙ  SMART DUO DD1850P</t>
  </si>
  <si>
    <t xml:space="preserve">РАДИОВЫКЛЮЧАТЕЛЬ 15-КАНАЛЬНЫЙ SMART DUO DD1853P</t>
  </si>
  <si>
    <t xml:space="preserve">ДАТЧИК СОЛНЦА DC1187</t>
  </si>
  <si>
    <t xml:space="preserve">РАДИОПЕРЕДАТЧИК С СУХИМИ КОНТАКТАМИ DC1149A,12/24В</t>
  </si>
  <si>
    <t xml:space="preserve">РАДИОПЕРЕДАТЧИК С СУХИМИ КОНТАКТАМИ DD1149P,12/24В</t>
  </si>
  <si>
    <t xml:space="preserve">РЕТРАНСЛЯТОР РАДИОСИГНАЛА DC425</t>
  </si>
  <si>
    <t xml:space="preserve">WI-FI BOX</t>
  </si>
  <si>
    <t xml:space="preserve">РАДИОПРИЕМНИК DC1141, 12В-3А</t>
  </si>
  <si>
    <t xml:space="preserve">РАДИОПРИЕМНИК DC1141B, 24В-3А</t>
  </si>
  <si>
    <t xml:space="preserve">РАДИОПРИЕМНИК DC50 ВНЕШНИЙ, 230В</t>
  </si>
  <si>
    <t xml:space="preserve">РАДИОПРИЕМНИК ВСТРАИВАЕМЫЙ DC114B, 230В</t>
  </si>
  <si>
    <t xml:space="preserve">РАДИОПРИЕМНИК ВСТРАИВАЕМЫЙ DD117P, 230В С ОБР.СВ.</t>
  </si>
  <si>
    <t xml:space="preserve">Блоки питания</t>
  </si>
  <si>
    <t xml:space="preserve">БЛОК ПИТАНИЯ DC240I, 12В-2А ДЛЯ ПРИВОДОВ DV24CFQ</t>
  </si>
  <si>
    <t xml:space="preserve">БЛОК ПИТАНИЯ DC241, 24В-1А</t>
  </si>
  <si>
    <t xml:space="preserve">БЛОК ПИТАНИЯ DC731J, 24В-2.0А, б/р</t>
  </si>
  <si>
    <t xml:space="preserve">БЛОК ПИТАНИЯ DC731K, 12В-4.0А, б/р</t>
  </si>
  <si>
    <t xml:space="preserve">БЛОК ПИТАНИЯ DC943A ИНДИВИДУАЛЬНЫЙ, 12В-1А ПРОМ</t>
  </si>
  <si>
    <t xml:space="preserve">БАТАРЕЯ АККУМУЛЯТОРНАЯ DC1276, 12В</t>
  </si>
  <si>
    <t xml:space="preserve">УДЛИНИТЕЛЬ ДЛЯ ЗАРЯДНЫХ УСТРОЙСТВ 2,44м</t>
  </si>
  <si>
    <t xml:space="preserve">ЗАРЯДНОЕ УСТРОЙСТВО USB 5В/1А</t>
  </si>
  <si>
    <t xml:space="preserve">КАБЕЛЬ microUSB, 3м</t>
  </si>
  <si>
    <t xml:space="preserve">Проводные выключатели</t>
  </si>
  <si>
    <t xml:space="preserve">ВЫКЛЮЧАТЕЛЬ ПРОВОДНОЙ ERGONOMIC DC398</t>
  </si>
  <si>
    <t xml:space="preserve">ВЫКЛЮЧАТЕЛЬ ПРОВОДНОЙ БЕЗ ФИКСАЦИИ DC865, 220В</t>
  </si>
  <si>
    <t xml:space="preserve">ВЫКЛЮЧАТЕЛЬ ПРОВОДНОЙ С ФИКСАЦИЕЙ DC866, 220В</t>
  </si>
  <si>
    <t xml:space="preserve">ВЫКЛЮЧАТЕЛЬ DC128, 12/24В</t>
  </si>
  <si>
    <t xml:space="preserve">ВЫКЛЮЧАТЕЛЬ С БП И ПРИЕМНИКОМ DC1686A, 24В-1.5А</t>
  </si>
  <si>
    <t xml:space="preserve">РЕЛЕ ГРУППОВОЕ DC516 НА 4 ПРИВОДА 220В</t>
  </si>
  <si>
    <t xml:space="preserve">РЕЛЕ ГРУППОВОЕ/ИНДИВ. DC209, 220В</t>
  </si>
  <si>
    <t xml:space="preserve">РЕЛЕ DC302 ДЛЯ ПРИВОДОВ 12/24В С УПРАВЛЕНИЕМ 230В</t>
  </si>
  <si>
    <t xml:space="preserve">Трубы</t>
  </si>
  <si>
    <t xml:space="preserve">Запас для намотки</t>
  </si>
  <si>
    <t xml:space="preserve">нижние рейки/планки — наше название</t>
  </si>
  <si>
    <t xml:space="preserve">название в прайсе Амиго</t>
  </si>
  <si>
    <t xml:space="preserve">LVT, белая 1 паз</t>
  </si>
  <si>
    <t xml:space="preserve">LVT, антрацит 1 паз</t>
  </si>
  <si>
    <t xml:space="preserve">LVT, серая 1 паз</t>
  </si>
  <si>
    <t xml:space="preserve">LVT, белая 2 паза</t>
  </si>
  <si>
    <t xml:space="preserve">Benthin L, белая</t>
  </si>
  <si>
    <t xml:space="preserve">Benthin L, некрашен.</t>
  </si>
  <si>
    <t xml:space="preserve">Benthin L, серый металлик</t>
  </si>
  <si>
    <t xml:space="preserve">Benthin L, чёрная</t>
  </si>
  <si>
    <t xml:space="preserve">Benthin L, чёрный муар</t>
  </si>
  <si>
    <t xml:space="preserve">Benthin M, белая</t>
  </si>
  <si>
    <t xml:space="preserve">Benthin M, серый металлик</t>
  </si>
  <si>
    <t xml:space="preserve">Benthin M, чёрная</t>
  </si>
  <si>
    <t xml:space="preserve">Benthin M, чёрный муар</t>
  </si>
  <si>
    <t xml:space="preserve">Benthin M, некрашен.</t>
  </si>
  <si>
    <t xml:space="preserve">Работа</t>
  </si>
  <si>
    <t xml:space="preserve">Цена розн. За 1шт.</t>
  </si>
  <si>
    <t xml:space="preserve">Комплектация нижних реек/планок</t>
  </si>
  <si>
    <t xml:space="preserve">LVT, белая 2 паза для направляющих</t>
  </si>
  <si>
    <t xml:space="preserve">Benthin L, белая для направляющих</t>
  </si>
  <si>
    <t xml:space="preserve">Benthin M, белая для направляющих</t>
  </si>
  <si>
    <t xml:space="preserve">UNI планка стальная белая</t>
  </si>
  <si>
    <t xml:space="preserve">Комплектация направляющих</t>
  </si>
  <si>
    <t xml:space="preserve">Направляющие LVT</t>
  </si>
  <si>
    <t xml:space="preserve">Направляющие Бентин L</t>
  </si>
  <si>
    <t xml:space="preserve">Направляющие Бентин M</t>
  </si>
  <si>
    <t xml:space="preserve">Ткань</t>
  </si>
  <si>
    <t xml:space="preserve">Цена в долларах</t>
  </si>
  <si>
    <t xml:space="preserve">Ширина рулона</t>
  </si>
  <si>
    <t xml:space="preserve">Направленность рисунка (1-да, 2 — нет)</t>
  </si>
  <si>
    <t xml:space="preserve">для КП</t>
  </si>
  <si>
    <t xml:space="preserve">АВЕНСИС</t>
  </si>
  <si>
    <t xml:space="preserve">направленный</t>
  </si>
  <si>
    <t xml:space="preserve">Нижняя рейка</t>
  </si>
  <si>
    <t xml:space="preserve">Линий полосы-фиксатора</t>
  </si>
  <si>
    <t xml:space="preserve">А</t>
  </si>
  <si>
    <t xml:space="preserve">АЖУР </t>
  </si>
  <si>
    <t xml:space="preserve">Рейка LVT</t>
  </si>
  <si>
    <t xml:space="preserve">A</t>
  </si>
  <si>
    <t xml:space="preserve">АКВАРЕЛЬ</t>
  </si>
  <si>
    <t xml:space="preserve">Итал.некраш+щётка</t>
  </si>
  <si>
    <t xml:space="preserve">профиль</t>
  </si>
  <si>
    <t xml:space="preserve">АЛЛЕЯ</t>
  </si>
  <si>
    <t xml:space="preserve">СТАЛЬНАЯ, БЕЛАЯ </t>
  </si>
  <si>
    <t xml:space="preserve">щётка</t>
  </si>
  <si>
    <t xml:space="preserve">B</t>
  </si>
  <si>
    <t xml:space="preserve">АЛЬМЕРИЯ</t>
  </si>
  <si>
    <t xml:space="preserve">заглушка пластик, 2 шт.</t>
  </si>
  <si>
    <t xml:space="preserve">АЛЬФА 200 см</t>
  </si>
  <si>
    <t xml:space="preserve">ненаправленный</t>
  </si>
  <si>
    <t xml:space="preserve">Итого Ролтех некрашен</t>
  </si>
  <si>
    <t xml:space="preserve">АЛЬФА 200 см(белый,бежевый,серый)</t>
  </si>
  <si>
    <t xml:space="preserve">АЛЬФА 250 см</t>
  </si>
  <si>
    <t xml:space="preserve">Раскрой</t>
  </si>
  <si>
    <t xml:space="preserve">АЛЬФА 270 см ЛАЙТ (белый)</t>
  </si>
  <si>
    <t xml:space="preserve">АЛЬФА ALU б/о 250см</t>
  </si>
  <si>
    <t xml:space="preserve">по ширине</t>
  </si>
  <si>
    <t xml:space="preserve">АЛЬФА ALU б/о 200см</t>
  </si>
  <si>
    <t xml:space="preserve">АЛЬФА б/о</t>
  </si>
  <si>
    <t xml:space="preserve">АМЕЛИ</t>
  </si>
  <si>
    <t xml:space="preserve">Запас ткани в зависимости от трубы</t>
  </si>
  <si>
    <t xml:space="preserve">АНЖУ</t>
  </si>
  <si>
    <t xml:space="preserve">труба</t>
  </si>
  <si>
    <t xml:space="preserve">запас</t>
  </si>
  <si>
    <t xml:space="preserve">АНТАРЕС б/о</t>
  </si>
  <si>
    <t xml:space="preserve">АПОЛЛО б/о 410 см</t>
  </si>
  <si>
    <t xml:space="preserve">АРАБИКА</t>
  </si>
  <si>
    <t xml:space="preserve">АРИАДНА</t>
  </si>
  <si>
    <t xml:space="preserve">БАБОЧКИ</t>
  </si>
  <si>
    <t xml:space="preserve">БАМБУК</t>
  </si>
  <si>
    <t xml:space="preserve">БЛАНШ</t>
  </si>
  <si>
    <t xml:space="preserve">БЛЮЗ</t>
  </si>
  <si>
    <t xml:space="preserve">C</t>
  </si>
  <si>
    <t xml:space="preserve">БОЛГАРСКАЯ РОЗА</t>
  </si>
  <si>
    <t xml:space="preserve">БОСТОН</t>
  </si>
  <si>
    <t xml:space="preserve">БУКЛЕ DIM-OUT</t>
  </si>
  <si>
    <t xml:space="preserve">БУХАРА б/о</t>
  </si>
  <si>
    <t xml:space="preserve">БЬЯНКА</t>
  </si>
  <si>
    <t xml:space="preserve">ВАЛЬС</t>
  </si>
  <si>
    <t xml:space="preserve">В</t>
  </si>
  <si>
    <t xml:space="preserve">ВЕНА</t>
  </si>
  <si>
    <t xml:space="preserve">ВЕНЕЦИЯ</t>
  </si>
  <si>
    <t xml:space="preserve">ВЕРОНА</t>
  </si>
  <si>
    <t xml:space="preserve">ВИНТАЖ</t>
  </si>
  <si>
    <t xml:space="preserve">ВУАЛЬ</t>
  </si>
  <si>
    <t xml:space="preserve">ГАЛА б/о</t>
  </si>
  <si>
    <t xml:space="preserve">ГЛИТТЕР</t>
  </si>
  <si>
    <t xml:space="preserve">ГЛИТТЕР б/о</t>
  </si>
  <si>
    <t xml:space="preserve">ГУАНА</t>
  </si>
  <si>
    <t xml:space="preserve">ДАЛЛАС</t>
  </si>
  <si>
    <t xml:space="preserve">ДЖУНГЛИ</t>
  </si>
  <si>
    <t xml:space="preserve">С</t>
  </si>
  <si>
    <t xml:space="preserve">ДУАН</t>
  </si>
  <si>
    <t xml:space="preserve">ИМПАЛА</t>
  </si>
  <si>
    <t xml:space="preserve">КАЛИПСО</t>
  </si>
  <si>
    <t xml:space="preserve">КАМЕЛИЯ</t>
  </si>
  <si>
    <t xml:space="preserve">КАРОЛИНА</t>
  </si>
  <si>
    <t xml:space="preserve">КИМБЕРЛИ</t>
  </si>
  <si>
    <t xml:space="preserve">КРИС </t>
  </si>
  <si>
    <t xml:space="preserve">КРИС б/о</t>
  </si>
  <si>
    <t xml:space="preserve">КРОНА</t>
  </si>
  <si>
    <t xml:space="preserve">ЛЁН</t>
  </si>
  <si>
    <t xml:space="preserve">ЛЁН б/о </t>
  </si>
  <si>
    <t xml:space="preserve">ЛИМА ПЕРЛА</t>
  </si>
  <si>
    <t xml:space="preserve">ЛИНА</t>
  </si>
  <si>
    <t xml:space="preserve">ЛИНА б/о</t>
  </si>
  <si>
    <t xml:space="preserve">ЛЮМИЯ</t>
  </si>
  <si>
    <t xml:space="preserve">МАНИЛА</t>
  </si>
  <si>
    <t xml:space="preserve">МАРЦИПАН</t>
  </si>
  <si>
    <t xml:space="preserve">МЕМФИС</t>
  </si>
  <si>
    <t xml:space="preserve">МОНТЕ</t>
  </si>
  <si>
    <t xml:space="preserve">НЕВАДА</t>
  </si>
  <si>
    <t xml:space="preserve">НИКА</t>
  </si>
  <si>
    <t xml:space="preserve">НОВА</t>
  </si>
  <si>
    <t xml:space="preserve">НУАЖ</t>
  </si>
  <si>
    <t xml:space="preserve">ОМЕГА 200 см</t>
  </si>
  <si>
    <t xml:space="preserve">ОМЕГА 250 см</t>
  </si>
  <si>
    <t xml:space="preserve">ОМЕГА 300 см белый, серый, бежевый, чёрный</t>
  </si>
  <si>
    <t xml:space="preserve">ОМЕГА 300 см чёрная</t>
  </si>
  <si>
    <t xml:space="preserve">ОМЕГА б/о 250см</t>
  </si>
  <si>
    <t xml:space="preserve">ОМЕГА б/о 300 см</t>
  </si>
  <si>
    <t xml:space="preserve">ОМЕГА FR 250 см</t>
  </si>
  <si>
    <t xml:space="preserve">ОМЕГА FR б/о 250см</t>
  </si>
  <si>
    <t xml:space="preserve">ОМЕГА Лайт</t>
  </si>
  <si>
    <t xml:space="preserve">ОМЕГА Лайт б/о</t>
  </si>
  <si>
    <t xml:space="preserve">ОМЕГА СОФТ </t>
  </si>
  <si>
    <t xml:space="preserve">ОСЛО б/о</t>
  </si>
  <si>
    <t xml:space="preserve">ПЕРГАМ</t>
  </si>
  <si>
    <t xml:space="preserve">ПЕРЛ</t>
  </si>
  <si>
    <t xml:space="preserve">ПЕРЛ Лайт</t>
  </si>
  <si>
    <t xml:space="preserve">ПЛЭЙН</t>
  </si>
  <si>
    <t xml:space="preserve">ПЛЭЙН б/о</t>
  </si>
  <si>
    <t xml:space="preserve">ПРОВАНС</t>
  </si>
  <si>
    <t xml:space="preserve">ПРОТЕКТ ПЛЕНКА ПРОЗРАЧНАЯ</t>
  </si>
  <si>
    <t xml:space="preserve">ПУЭБЛО б/о</t>
  </si>
  <si>
    <t xml:space="preserve">РАПСОДИЯ</t>
  </si>
  <si>
    <t xml:space="preserve">РИКИ</t>
  </si>
  <si>
    <t xml:space="preserve">РУАН</t>
  </si>
  <si>
    <t xml:space="preserve">САЛЬМА</t>
  </si>
  <si>
    <t xml:space="preserve">САМИРА</t>
  </si>
  <si>
    <t xml:space="preserve">САТАРА</t>
  </si>
  <si>
    <t xml:space="preserve">САФАРИ</t>
  </si>
  <si>
    <t xml:space="preserve">СИДЕ</t>
  </si>
  <si>
    <t xml:space="preserve">СИДЕ б/о</t>
  </si>
  <si>
    <t xml:space="preserve">СИЛКСКРИН</t>
  </si>
  <si>
    <t xml:space="preserve">СИЛЬВИЯ</t>
  </si>
  <si>
    <t xml:space="preserve">СКАЗКА</t>
  </si>
  <si>
    <t xml:space="preserve">СКАНДИ</t>
  </si>
  <si>
    <t xml:space="preserve">СКРИН 1% (300167)</t>
  </si>
  <si>
    <t xml:space="preserve">СКРИН 3% 300см (300157)</t>
  </si>
  <si>
    <t xml:space="preserve">СКРИН 3% 250см (300159)</t>
  </si>
  <si>
    <t xml:space="preserve">СКРИН 3% 200см (300170)</t>
  </si>
  <si>
    <t xml:space="preserve">СКРИН 3% ЭКО (300177)</t>
  </si>
  <si>
    <t xml:space="preserve">СКРИН 5% 250см (300112)</t>
  </si>
  <si>
    <t xml:space="preserve">СКРИН 5% 300см (300134)</t>
  </si>
  <si>
    <t xml:space="preserve">СКРИН 5% 200см (300171)</t>
  </si>
  <si>
    <t xml:space="preserve">СКРИН 5% 250см (0225 белый )</t>
  </si>
  <si>
    <t xml:space="preserve">СКРИН 5% 300см (0225 белый)</t>
  </si>
  <si>
    <t xml:space="preserve">СКРИН 5% 300см (1881 т.серый, 1908 черный, 1608 св.серый, 2261 св.беж)</t>
  </si>
  <si>
    <t xml:space="preserve">СКРИН 5% 300см (1604 св. серый однотонный, 1882 т. серый однотонный)</t>
  </si>
  <si>
    <t xml:space="preserve">СКРИН 5% 250см ALU</t>
  </si>
  <si>
    <t xml:space="preserve">СОЛЕЙ</t>
  </si>
  <si>
    <t xml:space="preserve">СОУЛ</t>
  </si>
  <si>
    <t xml:space="preserve">СОФИЯ</t>
  </si>
  <si>
    <t xml:space="preserve">СФЕРА б/о</t>
  </si>
  <si>
    <t xml:space="preserve">ТАЛЬНИК</t>
  </si>
  <si>
    <t xml:space="preserve">ТОЛЕДО</t>
  </si>
  <si>
    <t xml:space="preserve">ТРЕВИ</t>
  </si>
  <si>
    <t xml:space="preserve">ТРОПИК</t>
  </si>
  <si>
    <t xml:space="preserve">ФИЕСТА</t>
  </si>
  <si>
    <t xml:space="preserve">ФЛАЙ</t>
  </si>
  <si>
    <t xml:space="preserve">ФЛЁР</t>
  </si>
  <si>
    <t xml:space="preserve">ФЛОРА б/о</t>
  </si>
  <si>
    <t xml:space="preserve">ФОГ</t>
  </si>
  <si>
    <t xml:space="preserve">ФРИДЖ</t>
  </si>
  <si>
    <t xml:space="preserve">ШАНХАЙ</t>
  </si>
  <si>
    <t xml:space="preserve">ШЁЛК </t>
  </si>
  <si>
    <t xml:space="preserve">ШЁЛК б/о</t>
  </si>
  <si>
    <t xml:space="preserve">ШЁЛК II</t>
  </si>
  <si>
    <t xml:space="preserve">ШИКАТАН Путь самурая</t>
  </si>
  <si>
    <t xml:space="preserve">ШИКАТАН Чайная церемония </t>
  </si>
  <si>
    <t xml:space="preserve">ЭЛЬБА</t>
  </si>
  <si>
    <t xml:space="preserve">ЮТА</t>
  </si>
  <si>
    <t xml:space="preserve">ЮТА б/о</t>
  </si>
  <si>
    <t xml:space="preserve">ЯМАЙКА</t>
  </si>
  <si>
    <t xml:space="preserve">АЛИСА б/о</t>
  </si>
  <si>
    <t xml:space="preserve">ЖЕМЧУГ</t>
  </si>
  <si>
    <t xml:space="preserve">ПРИНЦ б/о</t>
  </si>
  <si>
    <t xml:space="preserve">ООО "Зомфи"</t>
  </si>
  <si>
    <t xml:space="preserve">111020, Москва, ул. Сторожевая, 26, стр.1</t>
  </si>
  <si>
    <t xml:space="preserve">тел. 495 781-47-72, факс 495 781-47-73</t>
  </si>
  <si>
    <t xml:space="preserve">www.somfypro.ru</t>
  </si>
  <si>
    <t xml:space="preserve">    ПРАЙС-ЛИСТ НА ЭЛЕКТРОПРИВОДЫ И КОМПЛЕКТУЮЩИЕ ДЛЯ СОЛНЦЕЗАЩИТНЫХ СИСТЕМ </t>
  </si>
  <si>
    <t xml:space="preserve">                                                                      В ИНТЕРЬЕРАХ</t>
  </si>
  <si>
    <t xml:space="preserve">    Код товарной группы    IWC</t>
  </si>
  <si>
    <t xml:space="preserve">Цены действительны с </t>
  </si>
  <si>
    <t xml:space="preserve">Каталожные цены указаны со склада в Москве, с НДС (20%)</t>
  </si>
  <si>
    <t xml:space="preserve">Каталожные цены на электроприводы указаны без стоимости адаптера, переходника и крепления</t>
  </si>
  <si>
    <t xml:space="preserve">Для точного расчета необходимого крутящего момента привода пользуйтесь рекомендациями производителя конструкций.</t>
  </si>
  <si>
    <t xml:space="preserve">*Данный номенклатурный номер поставляется под заказ. Наличие на складе необходимо уточнить у менеджера.</t>
  </si>
  <si>
    <t xml:space="preserve">Техническая информация об изделии на сайте www.somfypro.ru </t>
  </si>
  <si>
    <t xml:space="preserve">Ном. номер</t>
  </si>
  <si>
    <t xml:space="preserve">Наименование, Нм/об.мин. </t>
  </si>
  <si>
    <t xml:space="preserve">Краткое описание изделия (подробное описание см. каталог)</t>
  </si>
  <si>
    <t xml:space="preserve">Цена за шт./руб.</t>
  </si>
  <si>
    <t xml:space="preserve">Cерия Roll Up Basic 28 RTS, WireFree, Li-Ion, 12 V DC </t>
  </si>
  <si>
    <t xml:space="preserve">Зарядное устройство Roll Up Basic 28 WF 230/12 В</t>
  </si>
  <si>
    <t xml:space="preserve">для SONESSE 30 WF арт. 1003128, Roll Up Basic 28 WF арт. 1240282</t>
  </si>
  <si>
    <t xml:space="preserve">Удлинительный кабель 2,4 м </t>
  </si>
  <si>
    <t xml:space="preserve">для зарядного устройства 9020810</t>
  </si>
  <si>
    <t xml:space="preserve">Серия бесшумных внутривальных приводов</t>
  </si>
  <si>
    <t xml:space="preserve">Cерия SONESSE 30, 24 V DC </t>
  </si>
  <si>
    <t xml:space="preserve">Комплект адаптеров Sonesse 30, Ø 38 мм</t>
  </si>
  <si>
    <t xml:space="preserve">Адаптер, переходник, под посадку адаптеров Sonesse 40</t>
  </si>
  <si>
    <t xml:space="preserve">Cерия SONESSE 28, 30 Wire Free Li-Ion, 12 V DC </t>
  </si>
  <si>
    <t xml:space="preserve">SONESSE 28 WF RTS 1,1/28 LI-ION</t>
  </si>
  <si>
    <t xml:space="preserve">привод, 12 V DC, RTS, встроенный аккумулятор</t>
  </si>
  <si>
    <t xml:space="preserve">Зарядное устройство Sonesse 30 ULTRA, Sonesse 28 WF, внешнего Li-Ion аккумулятора, 230/12 В</t>
  </si>
  <si>
    <t xml:space="preserve">для Sonesse 30 Ultra (1003310), Sonesse 28 (1003296), внешнего Li-Ion аккумулятора (9021217)</t>
  </si>
  <si>
    <t xml:space="preserve">для зарядного устройства 9021028</t>
  </si>
  <si>
    <t xml:space="preserve">Удлинительный кабель 0,2 м  </t>
  </si>
  <si>
    <t xml:space="preserve">для зарядного устройства 9021028, используется при установки привода в кассету</t>
  </si>
  <si>
    <t xml:space="preserve">КОМПЛЕКТУЮЩИЕ ДЛЯ ПРИВОДОВ СЕРИИ Sonesse 30 WF RTS Li-Ion, Sonesse 28 WF RTS Li-Ion и Roll Up Basic 28 WF RTS Li-Ion</t>
  </si>
  <si>
    <t xml:space="preserve">Адаптер, переходник, винт и шайба (к-т) под посадку адаптеров Sonesse 40</t>
  </si>
  <si>
    <t xml:space="preserve">для комплектов адаптеров 9016654, 9016655 и др.</t>
  </si>
  <si>
    <t xml:space="preserve">Адаптер, переходник, крепление, винт и шайба (к-т) для вала Louvolite 45 </t>
  </si>
  <si>
    <t xml:space="preserve">круглый вал 45 мм</t>
  </si>
  <si>
    <t xml:space="preserve">Cерия SONESSE 40, 230 V AC </t>
  </si>
  <si>
    <t xml:space="preserve">1002942*</t>
  </si>
  <si>
    <t xml:space="preserve">SONESSE 40 1,3/50</t>
  </si>
  <si>
    <t xml:space="preserve">Мех. конечн. выкл., 43 дБ, кабель 2,5 м белый, функция Modulis</t>
  </si>
  <si>
    <t xml:space="preserve">Мех. конечн. выкл., 42 дБ, кабель 2,5 м  белый, функция Modulis</t>
  </si>
  <si>
    <t xml:space="preserve">Мех. конечн. выкл., 45 дБ, кабель 2,5 м  белый, функция Modulis</t>
  </si>
  <si>
    <t xml:space="preserve">Мех. конечн. выкл., 40 дБ, кабель 3 м  белый, функция Modulis</t>
  </si>
  <si>
    <t xml:space="preserve">Cерия SONESSE 40 RTS, 230 V AC </t>
  </si>
  <si>
    <t xml:space="preserve">1002943*</t>
  </si>
  <si>
    <t xml:space="preserve">SONESSE 40 RTS 1,3/50</t>
  </si>
  <si>
    <t xml:space="preserve">RTS, эл.конечн. выкл., 43 дБ, кабель 3 м белый, функция Modulis</t>
  </si>
  <si>
    <t xml:space="preserve">RTS, эл.конечн. выкл., 42 дБ, кабель 3 м белый, функция Modulis</t>
  </si>
  <si>
    <t xml:space="preserve">RTS, эл.конечн. выкл., 45 дБ, кабель 3 м белый, функция Modulis</t>
  </si>
  <si>
    <t xml:space="preserve">RTS, эл.конечн. выкл., 40 дБ, кабель 3 м белый, функция Modulis</t>
  </si>
  <si>
    <t xml:space="preserve">КОМПЛЕКТУЮЩИЕ ДЛЯ ПРИВОДОВ СЕРИИ Sonesse 40</t>
  </si>
  <si>
    <t xml:space="preserve">Комплект адаптеров Sonesse 40 для вала Ø40х1,5мм </t>
  </si>
  <si>
    <t xml:space="preserve">адаптер и переходник, резиновая оболочка</t>
  </si>
  <si>
    <t xml:space="preserve">Адаптер LS 40 для вала Ø40х1,0 мм</t>
  </si>
  <si>
    <t xml:space="preserve">круглый вал</t>
  </si>
  <si>
    <t xml:space="preserve">Переходник LS 40 для вала Ø40х1,0 мм</t>
  </si>
  <si>
    <t xml:space="preserve">Адаптер LS 40 для круглого вала Ø40х1,5 мм, </t>
  </si>
  <si>
    <t xml:space="preserve">Переходник LS 40 для круглого вала Ø40х1,5 мм</t>
  </si>
  <si>
    <t xml:space="preserve">9500354*</t>
  </si>
  <si>
    <t xml:space="preserve">Адаптер LS40 для вала Ø48 мм</t>
  </si>
  <si>
    <t xml:space="preserve">Soloscreen, Griesser, центр.</t>
  </si>
  <si>
    <t xml:space="preserve">9500343*</t>
  </si>
  <si>
    <t xml:space="preserve">Переходник LS40 для вала Ø48 мм </t>
  </si>
  <si>
    <t xml:space="preserve">Soloscreen, Griesser (эксцентриситет 2,3 мм)</t>
  </si>
  <si>
    <t xml:space="preserve">Адаптер LS 40 для вала Ø63х1,5 мм, центр.</t>
  </si>
  <si>
    <t xml:space="preserve">круглый вал Ø63х1,5 мм, центр.</t>
  </si>
  <si>
    <t xml:space="preserve">Переходник LS 40 для вала Ø63х1,5 мм</t>
  </si>
  <si>
    <t xml:space="preserve">круглый вал Ø63х1,5 мм</t>
  </si>
  <si>
    <t xml:space="preserve">Комплект переходной LS40/LT50</t>
  </si>
  <si>
    <t xml:space="preserve">адаптер LS40/LT50, адаптер на выходной вал привода LS40/LT50, 
фиксатор с саморезом</t>
  </si>
  <si>
    <t xml:space="preserve">Переходное крепл. для LS 40 на крепл. LT50/60 </t>
  </si>
  <si>
    <t xml:space="preserve">для установки приводов LS40 на крепление LT50/60 со звездообразной головкой</t>
  </si>
  <si>
    <t xml:space="preserve">Крепление для LS 40 (сторона привода) </t>
  </si>
  <si>
    <t xml:space="preserve">с чашкой, белое пластиковое</t>
  </si>
  <si>
    <t xml:space="preserve">Крепление для LS 40 (сторона гильзы Ø8 мм) </t>
  </si>
  <si>
    <t xml:space="preserve">Крепл. промежуточное для LS 40 </t>
  </si>
  <si>
    <t xml:space="preserve">промежуточное, белое пластиковое, гильзы -2 шт </t>
  </si>
  <si>
    <t xml:space="preserve">Крепление для LS 40, пластина с квадратом 10х10 мм</t>
  </si>
  <si>
    <t xml:space="preserve">оцинкованная сталь</t>
  </si>
  <si>
    <t xml:space="preserve">Гильза LS 40 универсальная с цапфой Ø8 мм</t>
  </si>
  <si>
    <t xml:space="preserve">для любых переходников LS 40 </t>
  </si>
  <si>
    <t xml:space="preserve">Гильза LS 40 для вала 50х1,5 мм для промеж. крепления </t>
  </si>
  <si>
    <t xml:space="preserve">внутр. квадрат 13х13 мм</t>
  </si>
  <si>
    <t xml:space="preserve">ДЛЯ ГОРИЗОНТАЛЬНЫХ ЖАЛЮЗИ НА ОСНОВЕ ПРОФИЛЬНОГО КАРНИЗА 51 Х 57 ММ </t>
  </si>
  <si>
    <t xml:space="preserve">CTS 40 система шнуронамотки, состоит из 2-x компонентов: конус+крепление. Доп. на изделие: два опорных кронштейна и одна гильза</t>
  </si>
  <si>
    <t xml:space="preserve">CTS 40 Крепление конуса для карниза 51х57 мм</t>
  </si>
  <si>
    <t xml:space="preserve">CTS 40 Конус на окто вал Ø40х0,6 мм  </t>
  </si>
  <si>
    <t xml:space="preserve">CTS 40 Опорный кронштейн для карниза 51х57 мм</t>
  </si>
  <si>
    <t xml:space="preserve">опора привода + опора гильзы (2 шт. на изделие)</t>
  </si>
  <si>
    <t xml:space="preserve">CTS 40 Гильза с цапфой Ø8 мм для окто вала Ø40х0,6 мм</t>
  </si>
  <si>
    <t xml:space="preserve">1 шт. на изделие</t>
  </si>
  <si>
    <t xml:space="preserve">Cерия SONESSE 50 WT, 230 V AC </t>
  </si>
  <si>
    <t xml:space="preserve">SONESSE 50 WT 6/28</t>
  </si>
  <si>
    <t xml:space="preserve">Полуавт. конечн. выкл., 44 дБ, кабель 3 м белый, функция Modulis</t>
  </si>
  <si>
    <t xml:space="preserve">SONESSE 50 WT 10/28</t>
  </si>
  <si>
    <t xml:space="preserve">Cерия SONESSE 50 RTS, 230 V AC </t>
  </si>
  <si>
    <t xml:space="preserve">SONESSE 50 RTS 6/28</t>
  </si>
  <si>
    <t xml:space="preserve">RTS, эл.конечн. выкл., 44 дБ, кабель 3 м белый, функция Modulis</t>
  </si>
  <si>
    <t xml:space="preserve">SONESSE 50 RTS 10/28</t>
  </si>
  <si>
    <t xml:space="preserve">Cерия SONESSE ULTRA 50, 230 V AC сверхтихие приводы</t>
  </si>
  <si>
    <t xml:space="preserve">SONESSE ULTRA 50 WT 6/20 </t>
  </si>
  <si>
    <t xml:space="preserve">Полуавт. конечн. выкл., 38 дБ, кабель 3 м белый, функция Modulis</t>
  </si>
  <si>
    <t xml:space="preserve">SONESSE ULTRA 50 RTS 6/20 </t>
  </si>
  <si>
    <t xml:space="preserve">Cерия ALTUS 50 RTS , 230 V AC высокоскоростные приводы</t>
  </si>
  <si>
    <t xml:space="preserve">ALTUS RH 50 RTS 6/32</t>
  </si>
  <si>
    <t xml:space="preserve">Круглая голова, RTS, эл.конечн. выкл., кабель 3 м белый</t>
  </si>
  <si>
    <t xml:space="preserve">КОМПЛЕКТУЮЩИЕ ДЛЯ ПРИВОДОВ СЕРИИ Sonesse 50</t>
  </si>
  <si>
    <t xml:space="preserve">Переходник LT 50 для круглого вала Ø50x1,5 мм</t>
  </si>
  <si>
    <t xml:space="preserve">для привода LT50 адаптер не требуется</t>
  </si>
  <si>
    <t xml:space="preserve">Адаптер LT 50 для круглого вала Ø60x1,5, центр.</t>
  </si>
  <si>
    <t xml:space="preserve">Mischler</t>
  </si>
  <si>
    <t xml:space="preserve">Переходник LT 50 для круглого вала Ø60x1,5, центр.</t>
  </si>
  <si>
    <t xml:space="preserve">9701047*</t>
  </si>
  <si>
    <t xml:space="preserve">Адаптер LT50 для вала Ø65 мм</t>
  </si>
  <si>
    <t xml:space="preserve">Helioscreen</t>
  </si>
  <si>
    <t xml:space="preserve">9751002*</t>
  </si>
  <si>
    <t xml:space="preserve">Переходник LT50 для вала Ø65 мм</t>
  </si>
  <si>
    <t xml:space="preserve">Крепление для LT 50 RH, пластина с квадратом 10х10 мм</t>
  </si>
  <si>
    <t xml:space="preserve">Крепление  фланцевое для LS40/ LT50 под квадрат 10х10 мм </t>
  </si>
  <si>
    <t xml:space="preserve">L=95 мм B=80 мм, сталь</t>
  </si>
  <si>
    <t xml:space="preserve">Крепление пром-е настенное для LS40/ LT50 9002540 в сборе c квадратным пальцем 13х13 мм, оцинк.</t>
  </si>
  <si>
    <t xml:space="preserve">L=95 мм B=80 мм, белый пластик</t>
  </si>
  <si>
    <t xml:space="preserve">Гильза для круглого вала 50х1,5 мм, с цапфой Ø10 мм </t>
  </si>
  <si>
    <t xml:space="preserve">Рекомендуется для привода LT 50 / ALTUS 50 </t>
  </si>
  <si>
    <t xml:space="preserve">Гильза для круглого вала 50х1,5 мм с цапфой Ø10 мм</t>
  </si>
  <si>
    <t xml:space="preserve">Рекомендуется для привода SONESSE 50</t>
  </si>
  <si>
    <t xml:space="preserve">Гильза LT 50/ 60 универсальная  </t>
  </si>
  <si>
    <t xml:space="preserve">для любых переходников с цапфой Ø10 мм</t>
  </si>
  <si>
    <t xml:space="preserve">Рекомендуется для привода Sonesse Ultra 50</t>
  </si>
  <si>
    <t xml:space="preserve">СЕРИЯ ПРИВОДОВ FTS. , 230 V AC Система из двух приводов для синхронного натяжения горизонтального полотна</t>
  </si>
  <si>
    <t xml:space="preserve">1126018*</t>
  </si>
  <si>
    <t xml:space="preserve">FTS LT 50 GEMINI S 25/17</t>
  </si>
  <si>
    <t xml:space="preserve">привод</t>
  </si>
  <si>
    <t xml:space="preserve">1185009*</t>
  </si>
  <si>
    <t xml:space="preserve">FTS LT 60 ORION S 55/17</t>
  </si>
  <si>
    <t xml:space="preserve">1185012*</t>
  </si>
  <si>
    <t xml:space="preserve">FTS LT 60 ANTARES S 70/17</t>
  </si>
  <si>
    <t xml:space="preserve">1824044*</t>
  </si>
  <si>
    <t xml:space="preserve">Блок управления системой FTS HI-PRO BOX II</t>
  </si>
  <si>
    <t xml:space="preserve">блок управления накладного монтажа для синхронизации работы FTS приводов</t>
  </si>
  <si>
    <t xml:space="preserve">Серия внутривальных приводов ROLL UP, с низковольтовым питанием DC</t>
  </si>
  <si>
    <t xml:space="preserve">Цена за шт./УЕ</t>
  </si>
  <si>
    <t xml:space="preserve">Cерия Roll Up 28 WF RTS II, 12 V DC  </t>
  </si>
  <si>
    <t xml:space="preserve">ROLL UP 28 WF RTS II 1,1/20</t>
  </si>
  <si>
    <t xml:space="preserve">привод, 12 V DC, RTS, питание от внешнего аккумулятора (9021217) или блока питания (1822445)</t>
  </si>
  <si>
    <t xml:space="preserve">Cерия Roll Up 28 WT, 24 V DC  </t>
  </si>
  <si>
    <t xml:space="preserve">ROLL UP 28 WT 24V W/PIN, электропривод</t>
  </si>
  <si>
    <t xml:space="preserve">крепление со штифтом, для круглого вала Ø28х0,7/29x1,15 мм</t>
  </si>
  <si>
    <t xml:space="preserve">Переходник Roll Up 28 на вал 28 мм</t>
  </si>
  <si>
    <t xml:space="preserve">Переходник на круглый вал Ø28 х 0,7 мм, саморез и шайба</t>
  </si>
  <si>
    <t xml:space="preserve">Фланцевое крепление на привод LT 28 </t>
  </si>
  <si>
    <t xml:space="preserve">для замены стандартного крепления со штифтом </t>
  </si>
  <si>
    <t xml:space="preserve">Крепление LT 28 комплект пластиковое</t>
  </si>
  <si>
    <t xml:space="preserve">цвет белый, комплект: крепление под штифт, крепление под гильзу</t>
  </si>
  <si>
    <t xml:space="preserve">Крепление LT 28 Benthin для привода/под цапфу</t>
  </si>
  <si>
    <t xml:space="preserve">крепление под штифт привода/цапфу гильзы, металл (2 на изделие) </t>
  </si>
  <si>
    <t xml:space="preserve">Крепление LT 28 Benthin противолежащее</t>
  </si>
  <si>
    <t xml:space="preserve">крепление под гильзу, металл</t>
  </si>
  <si>
    <t xml:space="preserve">Гильза с цапфой для вала Ø28 x 0,7 / 29х1,15 мм</t>
  </si>
  <si>
    <t xml:space="preserve">пластик, цапфа Ø4 мм</t>
  </si>
  <si>
    <t xml:space="preserve">Адаптер LT 28 для вала Ø38 x 1 мм </t>
  </si>
  <si>
    <t xml:space="preserve">Переходник LT 28 для вала Ø38 x 1 мм </t>
  </si>
  <si>
    <t xml:space="preserve">КОМПЛЕКТУЮЩИЕ ДЛЯ ПРИВОДОВ СЕРИИ Roll UP 28</t>
  </si>
  <si>
    <t xml:space="preserve">Адаптер CREATION BAUMANN для вала Ø34 мм </t>
  </si>
  <si>
    <t xml:space="preserve">круглый вал 34 мм</t>
  </si>
  <si>
    <t xml:space="preserve">Переходник CREATION BAUMANN для вала Ø34 мм</t>
  </si>
  <si>
    <t xml:space="preserve">Переходник и метизы для установки в круглый вал 34 мм</t>
  </si>
  <si>
    <t xml:space="preserve">Адаптер HD VIGNETTE </t>
  </si>
  <si>
    <t xml:space="preserve">Переходник HD VIGNETTE</t>
  </si>
  <si>
    <t xml:space="preserve">Переходник, фиксаторы и метизы для установки в круглый вал 45 мм</t>
  </si>
  <si>
    <t xml:space="preserve">Адаптер HUNTER DOUGLAS для вала Ø31мм </t>
  </si>
  <si>
    <t xml:space="preserve">круглый вал 31 мм</t>
  </si>
  <si>
    <t xml:space="preserve">Переходник HUNTER DOUGLAS для вала Ø31мм</t>
  </si>
  <si>
    <t xml:space="preserve">Переходник и метизы для установки в круглый вал 31 мм</t>
  </si>
  <si>
    <t xml:space="preserve">Адаптер HUNTER DOUGLAS для вала Ø37 мм </t>
  </si>
  <si>
    <t xml:space="preserve">круглый вал 37 мм</t>
  </si>
  <si>
    <t xml:space="preserve">Переходник HUNTER DOUGLAS для вала Ø37 мм</t>
  </si>
  <si>
    <t xml:space="preserve">Переходник и метизы для установки в круглый вал 37 мм</t>
  </si>
  <si>
    <t xml:space="preserve">Адаптер LOUVOLITE для вала Ø40 мм </t>
  </si>
  <si>
    <t xml:space="preserve">круглый вал 40 мм</t>
  </si>
  <si>
    <t xml:space="preserve">Переходник LOUVOLITE для вала Ø40 мм</t>
  </si>
  <si>
    <t xml:space="preserve">Переходник и метизы для установки в круглый вал 40 мм</t>
  </si>
  <si>
    <t xml:space="preserve">Адаптер MECHOSHADE </t>
  </si>
  <si>
    <t xml:space="preserve">круглый вал 35 мм</t>
  </si>
  <si>
    <t xml:space="preserve">Переходник MECHOSHADE</t>
  </si>
  <si>
    <t xml:space="preserve">Переходник и метизы для установки в круглый вал 35 мм</t>
  </si>
  <si>
    <t xml:space="preserve">Адаптер ROLLEASE для вала Ø32/1,25 мм </t>
  </si>
  <si>
    <t xml:space="preserve">круглый вал 32 мм</t>
  </si>
  <si>
    <t xml:space="preserve">Переходник ROLLEASE для вала Ø32/1,25 мм</t>
  </si>
  <si>
    <t xml:space="preserve">Переходник и метизы для установки в круглый вал 32 мм</t>
  </si>
  <si>
    <t xml:space="preserve">Адаптер ROLLEASE для вала Ø38/1,5 мм </t>
  </si>
  <si>
    <t xml:space="preserve">круглый вал 38 мм</t>
  </si>
  <si>
    <t xml:space="preserve">Переходник ROLLEASE для вала Ø38/1,5 мм</t>
  </si>
  <si>
    <t xml:space="preserve">Переходник и метизы для установки в круглый вал 38 мм</t>
  </si>
  <si>
    <t xml:space="preserve">Адаптер SHANGRI-LA для вала Ø38 мм </t>
  </si>
  <si>
    <t xml:space="preserve">Переходник SHANGRI-LA для вала Ø38 мм</t>
  </si>
  <si>
    <t xml:space="preserve">Адаптер SILHOUETTE II </t>
  </si>
  <si>
    <t xml:space="preserve">Переходник SILHOUETTE II</t>
  </si>
  <si>
    <t xml:space="preserve">Переходник, фиксатор и метизы для установки в круглый вал 40 мм</t>
  </si>
  <si>
    <t xml:space="preserve">Серия внутрикарнизных приводов и TILT&amp;LIFT, с низковольтовым питанием DC</t>
  </si>
  <si>
    <t xml:space="preserve">Cерия TILT&amp;LIFT/LV/LW 25, 24 V DC </t>
  </si>
  <si>
    <t xml:space="preserve">LV 25 B 64, 0,6/35, 24V, электропривод</t>
  </si>
  <si>
    <t xml:space="preserve">установка сбоку карниза, питание от блока 230/24V</t>
  </si>
  <si>
    <t xml:space="preserve">LV 25 B 44, 0,4/40, 24V, электропривод</t>
  </si>
  <si>
    <t xml:space="preserve">LW 25 B 44, 0,4/40, 24V, электропривод</t>
  </si>
  <si>
    <t xml:space="preserve">установка в центре карниза, питание от блока 230/24V</t>
  </si>
  <si>
    <t xml:space="preserve">LW 25 B 83, 0,8/30, 24V, электропривод</t>
  </si>
  <si>
    <t xml:space="preserve">AMS 25, шпиндельная блокировка  </t>
  </si>
  <si>
    <t xml:space="preserve">регулируемая, для отключения LV/W 25 в нижн. положении</t>
  </si>
  <si>
    <t xml:space="preserve">Cерия TILT&amp;LIFT/LV/LW 25, 12 V DC </t>
  </si>
  <si>
    <t xml:space="preserve">TILT &amp; LIFT 25 WireFree RTS, 0,8/30, 12V, электропривод</t>
  </si>
  <si>
    <t xml:space="preserve">установка в центре карниза, RTS, питание от блока 230/12V (1822445)</t>
  </si>
  <si>
    <t xml:space="preserve">Варианты питания </t>
  </si>
  <si>
    <t xml:space="preserve">Внешний Li-Ion аккумулятор, 12 В, 2600 мАч </t>
  </si>
  <si>
    <t xml:space="preserve">Совместим с зарядным устройством арт. 9021028</t>
  </si>
  <si>
    <t xml:space="preserve"> Lithium AA 1,5V</t>
  </si>
  <si>
    <t xml:space="preserve">Контейнер для батареек Lithium AA 1,5V </t>
  </si>
  <si>
    <t xml:space="preserve">Контейнер для 8-ми батареек типа  Lithium АА 1,5V + 2 крепления</t>
  </si>
  <si>
    <t xml:space="preserve">NiMH AA 1,2V</t>
  </si>
  <si>
    <t xml:space="preserve">Контейнер для ак. батареек NiMH AA 1,2V</t>
  </si>
  <si>
    <t xml:space="preserve">Контейнер для 10-ти аккумуляторов типа  NiMH АА 1,2V +  2 крепления</t>
  </si>
  <si>
    <t xml:space="preserve">Зарядное устройство ак. батареек NiMH AA 1,2 В</t>
  </si>
  <si>
    <t xml:space="preserve">для подзарядки 1-го контейнера 9018608</t>
  </si>
  <si>
    <t xml:space="preserve">Блок питания с вилкой 230/12V</t>
  </si>
  <si>
    <t xml:space="preserve">для одного привода серии WireFree, 3 м</t>
  </si>
  <si>
    <t xml:space="preserve">Кабель 120 см удлинительный WireFree (F/M)</t>
  </si>
  <si>
    <t xml:space="preserve">Совместим с внешним Li-Ion аккумулятором (арт. 9021217), контейнером для ак. батареек (арт. 9018608) и блоком питания с вилкой (арт. 1822445)</t>
  </si>
  <si>
    <t xml:space="preserve">Серия TILT 50 RTS, WireFree 12 V DC  только поворот ламелей для горизонтальных жалюзи/ширина карниза ≥ 50 мм</t>
  </si>
  <si>
    <t xml:space="preserve">Tilt 50 RTS 1/12</t>
  </si>
  <si>
    <t xml:space="preserve">привод 1 Hм/5-12 об.мин, встроенный радиоприемник RTS, 12 В</t>
  </si>
  <si>
    <t xml:space="preserve">для одного привода серии WireFree</t>
  </si>
  <si>
    <t xml:space="preserve">Установочный бокс для карниза HD 51x57 мм</t>
  </si>
  <si>
    <t xml:space="preserve">Адаптер для профильного вала, тип D</t>
  </si>
  <si>
    <t xml:space="preserve">АВТОМАТИКА для управления приводами LT28 / LV/LW 25</t>
  </si>
  <si>
    <t xml:space="preserve">БЛОКИ ПИТАНИЯ для приводов с питанием 24 В</t>
  </si>
  <si>
    <t xml:space="preserve">INIS DC, выкл. с блоком питания, 230/24V на 1 привод </t>
  </si>
  <si>
    <t xml:space="preserve">0.7 А, 29 Вт, дизайн inteo, IP 40 </t>
  </si>
  <si>
    <t xml:space="preserve">Блок питания с вилкой 230/24V для 1 привода</t>
  </si>
  <si>
    <t xml:space="preserve">1 А, 24 Вт,  для приводов Roll Up 28 WT, LV/LW 25</t>
  </si>
  <si>
    <t xml:space="preserve">Блок питания с вилкой 230/12V для 1 привода </t>
  </si>
  <si>
    <t xml:space="preserve">для приводов Roll Up 28 RTS, Cord Lift 32 RTS, Tilt&amp;Lift 25 RTS</t>
  </si>
  <si>
    <t xml:space="preserve">Power 1,0 DC Flush, блок питания 230/24V на 1 привод</t>
  </si>
  <si>
    <t xml:space="preserve">монтаж в подрозетник, IP 20 </t>
  </si>
  <si>
    <t xml:space="preserve">Power 1,5 DC, блок питания  230/24V, групповой</t>
  </si>
  <si>
    <t xml:space="preserve">1.5 А, накладной монтаж, цвет белый, без сет. кабеля с вилкой, IP 20</t>
  </si>
  <si>
    <t xml:space="preserve">Кабель сетевой для Power 1,5 DC с вилкой</t>
  </si>
  <si>
    <t xml:space="preserve">белый, 230V, для 1870149</t>
  </si>
  <si>
    <t xml:space="preserve">Power 2,7 DC, блок питания 230/24V, групповой</t>
  </si>
  <si>
    <t xml:space="preserve">2,7 А, накладной монтаж, цвет белый, IP 20</t>
  </si>
  <si>
    <t xml:space="preserve">УСТРОЙСТВА УПРАВЛЕНИЯ питанием 24 В</t>
  </si>
  <si>
    <t xml:space="preserve">RTS - РАДИОУПРАВЛЕНИЕ</t>
  </si>
  <si>
    <t xml:space="preserve">DC RTS RECEIVER INTEGRATED, радиоприёмник, 24V </t>
  </si>
  <si>
    <t xml:space="preserve">функция Modulis, установка в карниз 25x25 мм</t>
  </si>
  <si>
    <t xml:space="preserve">DC RTS RECEIVER, радиоприёмник, 24V</t>
  </si>
  <si>
    <t xml:space="preserve">функция Modulis, цвет белый, накладной монтаж</t>
  </si>
  <si>
    <t xml:space="preserve">POWER 1x2,5 DC RTS, блок питания с RTS приемником  </t>
  </si>
  <si>
    <t xml:space="preserve">на 4-6 приводов, цвет белый, IP 20</t>
  </si>
  <si>
    <t xml:space="preserve">POWER 4х2,5 DC RTS, блок питания с RTS приемником </t>
  </si>
  <si>
    <t xml:space="preserve">на 4 группы приводов с последовательным управлением, IP 20</t>
  </si>
  <si>
    <t xml:space="preserve">IR - ИНФРАКРАСНОЕ УПРАВЛЕНИЕ</t>
  </si>
  <si>
    <t xml:space="preserve">IR 1, ИК-пульт, 1-канальный</t>
  </si>
  <si>
    <t xml:space="preserve">цвет черный</t>
  </si>
  <si>
    <t xml:space="preserve">ПРОВОДНОЕ УПРАВЛЕНИЕ</t>
  </si>
  <si>
    <t xml:space="preserve">CENTRALIS DC IB, 24V, выключатель </t>
  </si>
  <si>
    <t xml:space="preserve">для ролло, плиссе, римских штор, до 3-х приводов, со входом IB</t>
  </si>
  <si>
    <t xml:space="preserve">CENTRALIS DC IB VB, 24V, выключатель </t>
  </si>
  <si>
    <t xml:space="preserve">для горизонтальных жалюзи, до 3-х приводов, со входом IB</t>
  </si>
  <si>
    <t xml:space="preserve">CONCEPT 25, комплектующие для LV/LW/AMS/MS/CD 25</t>
  </si>
  <si>
    <t xml:space="preserve">Cерия CD 25, механический редуктор для ручного моноуправления горизонтальными жалюзи</t>
  </si>
  <si>
    <t xml:space="preserve">9163900*</t>
  </si>
  <si>
    <t xml:space="preserve">CD 25 1:4,8, редуктор ручной</t>
  </si>
  <si>
    <t xml:space="preserve">для шнура, без направляющей, адаптера и зажима</t>
  </si>
  <si>
    <t xml:space="preserve">9001281*</t>
  </si>
  <si>
    <t xml:space="preserve">CD 25 1:2,6, редуктор ручной </t>
  </si>
  <si>
    <t xml:space="preserve">CTS 25 адаптеры для привода LV/LW 25</t>
  </si>
  <si>
    <t xml:space="preserve">Адаптер для оси 5 мм 6-тигранной</t>
  </si>
  <si>
    <t xml:space="preserve">для привода LV, AMS, цвет серый </t>
  </si>
  <si>
    <t xml:space="preserve">Адаптер двойной для оси 5 мм  6-тигранной</t>
  </si>
  <si>
    <t xml:space="preserve">для привода LW, цвет серый </t>
  </si>
  <si>
    <t xml:space="preserve">Адаптер для оси 6 мм  6-тигранной</t>
  </si>
  <si>
    <t xml:space="preserve">для привода LV, AMS, цвет черный</t>
  </si>
  <si>
    <t xml:space="preserve">Адаптер двойной для оси 6 мм 6-тигранной</t>
  </si>
  <si>
    <t xml:space="preserve">для привода LW, цвет черный</t>
  </si>
  <si>
    <t xml:space="preserve">Адаптер для оси 5 мм 4-гранной</t>
  </si>
  <si>
    <t xml:space="preserve">для привода LV, AMS, цвет белый</t>
  </si>
  <si>
    <t xml:space="preserve">Адаптер двойной для оси 5 мм 4-гранной</t>
  </si>
  <si>
    <t xml:space="preserve">для привода LW, цвет белый</t>
  </si>
  <si>
    <t xml:space="preserve">CTS 25 зажимы для фиксации привода, AMS и радиоприемника в карнизе</t>
  </si>
  <si>
    <t xml:space="preserve">Зажим для карниза HD-Ultimate 25x25 мм и Holis 25x25 мм</t>
  </si>
  <si>
    <t xml:space="preserve">Зажим для карниза FABER SOFTLINE 25x25 мм </t>
  </si>
  <si>
    <t xml:space="preserve">CTS 25 шнуронамоточная система из 4 компонентов: крепление + конус + кольцо + крышка</t>
  </si>
  <si>
    <t xml:space="preserve">Крепление CTS 25 в карниз HD-Standard, Holis 25 x 25 мм </t>
  </si>
  <si>
    <t xml:space="preserve">CTS 25</t>
  </si>
  <si>
    <t xml:space="preserve">Крепление CTS 25 HD-Ultimate 25x25 мм </t>
  </si>
  <si>
    <t xml:space="preserve">Крепление CTS 25 в карниз MHZ</t>
  </si>
  <si>
    <t xml:space="preserve">Крепление CTS 25 в карниз FABER/HD/PERMA 35 мм</t>
  </si>
  <si>
    <t xml:space="preserve">Конус CTS HD 25/35, для оси 5 мм 4-гранной</t>
  </si>
  <si>
    <t xml:space="preserve">Конус укороченный CTS 25/35 для для оси 5 мм 4-гранной</t>
  </si>
  <si>
    <t xml:space="preserve">Конус укороченный CTS 25/35 для оси 5 мм 6-тигранной</t>
  </si>
  <si>
    <t xml:space="preserve">Конус CTS карниза PERMA 25/35,оси 6 мм 6-тигранной</t>
  </si>
  <si>
    <t xml:space="preserve">Конус укороченный CTS 25/35 для оси 6 мм 6-тигранной</t>
  </si>
  <si>
    <t xml:space="preserve">Кольцо CTS для карниза HD 25/35, для оси 5 мм 4-гранной</t>
  </si>
  <si>
    <t xml:space="preserve">Кольцо CTS для карниза PERMA 25/35, оси 6 мм 6-гранной</t>
  </si>
  <si>
    <t xml:space="preserve">Кольцо CTS для карниза FABER 25/35 , 5 мм 6-тигранной </t>
  </si>
  <si>
    <t xml:space="preserve">Крышка CTS 25/35 универсальная </t>
  </si>
  <si>
    <t xml:space="preserve">Крышка CTS 25/35 укороченная L= 70 мм </t>
  </si>
  <si>
    <t xml:space="preserve">CTS 25 дополнительные комплектующие</t>
  </si>
  <si>
    <t xml:space="preserve">Кольцо стопорное для оси 6 мм 6-гранной и 5 мм 4-гранной</t>
  </si>
  <si>
    <t xml:space="preserve">Кольцо стопорное для оси 5 мм 6-тигранной</t>
  </si>
  <si>
    <t xml:space="preserve">КОМПЛЕКТУЮЩИЕ ДЛЯ СБОРКИ РУЛОННЫХ ШТОР С ПРИВОДАМИ СЕРИЙ SONESSE 30/40</t>
  </si>
  <si>
    <t xml:space="preserve">КОМПЛЕКТУЮЩИЕ НА БАЗЕ ВАЛА COULISSE 42 ММ</t>
  </si>
  <si>
    <t xml:space="preserve">Вал алюминиевый Coulisse Ø42 мм x 6 м с клейкой лентой</t>
  </si>
  <si>
    <t xml:space="preserve">Для Sonesse 30 WF с перехродным комплектом 9020676. Возможен распил по размерам (до 3 распилов на один вал). Один распил: 50 руб. Исп. бланк.</t>
  </si>
  <si>
    <t xml:space="preserve">Адаптер Sonesse 40 для вала Coulisse 42 мм</t>
  </si>
  <si>
    <t xml:space="preserve">Переходник Sonesse 40 для вала Coulisse 42 мм</t>
  </si>
  <si>
    <t xml:space="preserve">Крепежная пластина мотора для вала Coulisse 42 мм</t>
  </si>
  <si>
    <t xml:space="preserve">саморезы входят в комплект</t>
  </si>
  <si>
    <t xml:space="preserve">Ответная втулка для вала Coulisse 42 мм, белая</t>
  </si>
  <si>
    <t xml:space="preserve">необходимо сочетать со штоком 9025949</t>
  </si>
  <si>
    <t xml:space="preserve">Ответная втулка для вала Coulisse 42 мм, бежевая</t>
  </si>
  <si>
    <t xml:space="preserve">необходимо сочетать со штоком 9025950</t>
  </si>
  <si>
    <t xml:space="preserve">Ответная втулка для вала Coulisse 42 мм, антрацит</t>
  </si>
  <si>
    <t xml:space="preserve">необходимо сочетать со штоком 9025951</t>
  </si>
  <si>
    <t xml:space="preserve">Ответная втулка для вала Coulisse 42 мм, бронза</t>
  </si>
  <si>
    <t xml:space="preserve">необходимо сочетать со штоком 9025952</t>
  </si>
  <si>
    <t xml:space="preserve">Ответная втулка для вала Coulisse 42 мм, серая</t>
  </si>
  <si>
    <t xml:space="preserve">необходимо сочетать со штоком 9025953</t>
  </si>
  <si>
    <t xml:space="preserve">Ответная втулка для вала Coulisse 42 мм, черная</t>
  </si>
  <si>
    <t xml:space="preserve">необходимо сочетать со штоком 9025954</t>
  </si>
  <si>
    <t xml:space="preserve">Шток ответной втулки для вала Coulisse 42 мм, белый</t>
  </si>
  <si>
    <t xml:space="preserve">необходимо сочетать с ответной втулкой 9025943</t>
  </si>
  <si>
    <t xml:space="preserve">Шток ответной втулки для вала Coulisse 42 мм, бежевый</t>
  </si>
  <si>
    <t xml:space="preserve">необходимо сочетать с ответной втулкой 9025944</t>
  </si>
  <si>
    <t xml:space="preserve">Шток ответной втулки для вала Coulisse 42 мм, антрацит</t>
  </si>
  <si>
    <t xml:space="preserve">необходимо сочетать с ответной втулкой 9025945</t>
  </si>
  <si>
    <t xml:space="preserve">Шток ответной втулки для вала Coulisse 42 мм, бронза</t>
  </si>
  <si>
    <t xml:space="preserve">необходимо сочетать с ответной втулкой 9025946</t>
  </si>
  <si>
    <t xml:space="preserve">Шток ответной втулки для вала Coulisse 42 мм, серый</t>
  </si>
  <si>
    <t xml:space="preserve">необходимо сочетать с ответной втулкой 9025947</t>
  </si>
  <si>
    <t xml:space="preserve">Шток ответной втулки для вала Coulisse 42 мм, черный</t>
  </si>
  <si>
    <t xml:space="preserve">необходимо сочетать с ответной втулкой 9025948</t>
  </si>
  <si>
    <t xml:space="preserve">Крепление металлическое Coulisse, белое</t>
  </si>
  <si>
    <t xml:space="preserve">необходимо сочетать с боковой и нижней деталями крышки 9025961, 9025967</t>
  </si>
  <si>
    <t xml:space="preserve">Крепление металлическое Coulisse, бежевое</t>
  </si>
  <si>
    <t xml:space="preserve">необходимо сочетать с боковой и нижней деталями крышки 9025962, 9025968</t>
  </si>
  <si>
    <t xml:space="preserve">Крепление металлическое Coulisse, антрацит</t>
  </si>
  <si>
    <t xml:space="preserve">необходимо сочетать с боковой и нижней деталями крышки 9025963, 9025969</t>
  </si>
  <si>
    <t xml:space="preserve">Крепление металлическое Coulisse, бронза</t>
  </si>
  <si>
    <t xml:space="preserve">необходимо сочетать с боковой и нижней деталями крышки 9025964, 9025970</t>
  </si>
  <si>
    <t xml:space="preserve">Крепление металлическое Coulisse, серое</t>
  </si>
  <si>
    <t xml:space="preserve">необходимо сочетать с боковой и нижней деталями крышки 9025965, 9025971</t>
  </si>
  <si>
    <t xml:space="preserve">Крепление металлическое Coulisse, черное</t>
  </si>
  <si>
    <t xml:space="preserve">необходимо сочетать с боковой и нижней деталями крышки 9025966, 9025972</t>
  </si>
  <si>
    <t xml:space="preserve">Крышка крепления Coulisse. Боковая деталь, белая</t>
  </si>
  <si>
    <t xml:space="preserve">сочетается с креплением 9025955</t>
  </si>
  <si>
    <t xml:space="preserve">Крышка крепления Coulisse. Боковая деталь, бежевая</t>
  </si>
  <si>
    <t xml:space="preserve">сочетается с креплением 9025956</t>
  </si>
  <si>
    <t xml:space="preserve">Крышка крепления Coulisse. Боковая деталь, антрацит</t>
  </si>
  <si>
    <t xml:space="preserve">сочетается с креплением 9025957</t>
  </si>
  <si>
    <t xml:space="preserve">Крышка крепления Coulisse. Боковая деталь, бронза</t>
  </si>
  <si>
    <t xml:space="preserve">сочетается с креплением 9025958</t>
  </si>
  <si>
    <t xml:space="preserve">Крышка крепления Coulisse. Боковая деталь, серая</t>
  </si>
  <si>
    <t xml:space="preserve">сочетается с креплением 9025959</t>
  </si>
  <si>
    <t xml:space="preserve">Крышка крепления Coulisse. Боковая деталь, черная</t>
  </si>
  <si>
    <t xml:space="preserve">сочетается с креплением 9025960</t>
  </si>
  <si>
    <t xml:space="preserve">Крышка крепления Coulisse. Нижняя деталь, белая</t>
  </si>
  <si>
    <t xml:space="preserve">Крышка крепления Coulisse. Нижняя деталь, бежевая</t>
  </si>
  <si>
    <t xml:space="preserve">Крышка крепления Coulisse. Нижняя деталь, антрацит</t>
  </si>
  <si>
    <t xml:space="preserve">Крышка крепления Coulisse. Нижняя деталь, бронза</t>
  </si>
  <si>
    <t xml:space="preserve">Крышка крепления Coulisse. Нижняя деталь, серая</t>
  </si>
  <si>
    <t xml:space="preserve">Крышка крепления Coulisse. Нижняя деталь, черная</t>
  </si>
  <si>
    <t xml:space="preserve">КОМПЛЕКТУЮЩИЕ НА БАЗЕ ВАЛА 47 ММ</t>
  </si>
  <si>
    <t xml:space="preserve">Вал алюминиевый Ø47 мм x 6 м</t>
  </si>
  <si>
    <t xml:space="preserve">возможен распил по размерам (до 3 распилов на один вал). Один распил: 50 руб. Исп. бланк.</t>
  </si>
  <si>
    <t xml:space="preserve">Адаптер Sonesse 40 для вала 47 мм</t>
  </si>
  <si>
    <t xml:space="preserve">Переходник Sonesse 40 для вала 47 мм</t>
  </si>
  <si>
    <t xml:space="preserve">Гильза для вала 47 мм, белая</t>
  </si>
  <si>
    <t xml:space="preserve">Гильза для вала 47 мм, бежевая</t>
  </si>
  <si>
    <t xml:space="preserve">Гильза для вала 47 мм, серая</t>
  </si>
  <si>
    <t xml:space="preserve">Крепежная пластина мотора пластиковая для валов 47 мм</t>
  </si>
  <si>
    <t xml:space="preserve">саморезы не входят в комплект. Сочетается с креплением 9026017</t>
  </si>
  <si>
    <t xml:space="preserve">Крепления металлические 45 мм комплект, под монтажный профиль, для вала 47 мм, белые</t>
  </si>
  <si>
    <t xml:space="preserve">Сочетается с крепежной пластиной мотора 9026022
Используются с монтажным профилем 9026019</t>
  </si>
  <si>
    <t xml:space="preserve">Крепления металлические 45 мм комплект для вала 47 мм, белые</t>
  </si>
  <si>
    <t xml:space="preserve">Сочетается с крепежной пластиной мотора 9026022
Используеются без монтажного профиля</t>
  </si>
  <si>
    <t xml:space="preserve">Крышки крепления 45 мм для вала 47 мм (пара), белые</t>
  </si>
  <si>
    <t xml:space="preserve">сочетается с креплениями 9026017 и 9026352</t>
  </si>
  <si>
    <t xml:space="preserve">Профиль монтажный 47 мм x 6 м для креплений 45 мм, белый</t>
  </si>
  <si>
    <t xml:space="preserve">сочетается с креплениями 9026017</t>
  </si>
  <si>
    <t xml:space="preserve">Крепление для профиля монтажного</t>
  </si>
  <si>
    <t xml:space="preserve">Установка через каждые 0,5 м</t>
  </si>
  <si>
    <t xml:space="preserve">КОМПЛЕКТУЮЩИЕ НА БАЗЕ ВАЛА 61 ММ</t>
  </si>
  <si>
    <t xml:space="preserve">Адаптер Sonesse 40 для вала 61 мм</t>
  </si>
  <si>
    <t xml:space="preserve">Переходник Sonesse 40 для вала 61 мм</t>
  </si>
  <si>
    <t xml:space="preserve">Гильза для вала 61 мм, белая</t>
  </si>
  <si>
    <t xml:space="preserve">Гильза для вала 61 мм, бежевая</t>
  </si>
  <si>
    <t xml:space="preserve">Гильза для вала 61 мм, серая</t>
  </si>
  <si>
    <t xml:space="preserve">УНИВЕРСАЛЬНЫЕ КОМПЛЕКТУЮЩИЕ ВАЛОВ 47 И 61 ММ</t>
  </si>
  <si>
    <t xml:space="preserve">Крепежная пластина мотора пластиковая для валов 47 и 61 мм</t>
  </si>
  <si>
    <t xml:space="preserve">саморезы не входят в комплект. Сочетается с креплением 9025983</t>
  </si>
  <si>
    <t xml:space="preserve">Крепление металлическое со стороны привода для валов 47 и 61 мм , белое</t>
  </si>
  <si>
    <t xml:space="preserve">сочетается с крепежной пластиной мотора 9025976. Идёт в комплекте с креплением 9025984</t>
  </si>
  <si>
    <t xml:space="preserve">Крепление металлическое со стороны гильзы для валов 47 и 61 мм, белое</t>
  </si>
  <si>
    <t xml:space="preserve">идёт в комплекте с креплением 9025983</t>
  </si>
  <si>
    <t xml:space="preserve">Крепление промежуточное для валов 47 и 61 мм металлическое, белое</t>
  </si>
  <si>
    <t xml:space="preserve">сочетается с креплениями 9025983, 9025984</t>
  </si>
  <si>
    <t xml:space="preserve">Крышка крепления для валов 47 и 61 мм, белая</t>
  </si>
  <si>
    <t xml:space="preserve">Крышка крепления для валов 47 и 61 мм, бежевая</t>
  </si>
  <si>
    <t xml:space="preserve">Крышка крепления для валов 47 и 61 мм, серая</t>
  </si>
  <si>
    <t xml:space="preserve">Шток промежуточного крепления для валов 47 и 61 мм</t>
  </si>
  <si>
    <t xml:space="preserve">сочетается с промежуточным креплением 9025994</t>
  </si>
  <si>
    <t xml:space="preserve">Втулка крепления промежуточного для вала 61 мм, белая</t>
  </si>
  <si>
    <t xml:space="preserve">сочетается с промежуточным креплением 9025994 и штоком 9025995</t>
  </si>
  <si>
    <t xml:space="preserve">Втулка крепления промежуточного для вала 61 мм, бежевая</t>
  </si>
  <si>
    <t xml:space="preserve">Втулка крепления промежуточного для вала 61 мм, серая</t>
  </si>
  <si>
    <t xml:space="preserve">Втулка крепления промежуточного для вала 47 мм, белая</t>
  </si>
  <si>
    <t xml:space="preserve">Втулка крепления промежуточного для вала 47 мм, бежевая</t>
  </si>
  <si>
    <t xml:space="preserve">Втулка крепления промежуточного для вала 47 мм, серая</t>
  </si>
  <si>
    <t xml:space="preserve">НИЖНИЕ ПЛАНКИ ДЛЯ РУЛОННЫХ ШТОР</t>
  </si>
  <si>
    <t xml:space="preserve">Нижняя планка алюминиевая 6 м, белая</t>
  </si>
  <si>
    <t xml:space="preserve">Нижняя планка алюминиевая 6 м, бежевая</t>
  </si>
  <si>
    <t xml:space="preserve">Нижняя планка алюминиевая 6 м, серая</t>
  </si>
  <si>
    <t xml:space="preserve">Нижняя планка алюминиевая 6 м, черная</t>
  </si>
  <si>
    <t xml:space="preserve">Нижняя планка алюминиевая 6 м, коричневая</t>
  </si>
  <si>
    <t xml:space="preserve">Нижняя планка алюминиевая, серебро, анодированная</t>
  </si>
  <si>
    <t xml:space="preserve">Нижняя планка алюминиевая, бронза, анодированная</t>
  </si>
  <si>
    <t xml:space="preserve">Заглушка для нижней планки, белая</t>
  </si>
  <si>
    <t xml:space="preserve">сочетается с нижней планкой 9025921</t>
  </si>
  <si>
    <t xml:space="preserve">Заглушка для нижней планки, бежевая</t>
  </si>
  <si>
    <t xml:space="preserve">сочетается с нижней планкой 9025922</t>
  </si>
  <si>
    <t xml:space="preserve">Заглушка для нижней планки, серая</t>
  </si>
  <si>
    <t xml:space="preserve">сочетается с нижней планкой 9025923</t>
  </si>
  <si>
    <t xml:space="preserve">Заглушка для нижней планки, черная</t>
  </si>
  <si>
    <t xml:space="preserve">сочетается с нижней планкой 9025924</t>
  </si>
  <si>
    <t xml:space="preserve">Заглушка для нижней планки, коричневая</t>
  </si>
  <si>
    <t xml:space="preserve">сочетается с нижней планкой 9025925</t>
  </si>
  <si>
    <t xml:space="preserve">Уплотнительная лента 7 мм</t>
  </si>
  <si>
    <t xml:space="preserve">Для вставки ткани в нижнюю планку и вал 47 мм (9025919). Бухта 100 м</t>
  </si>
  <si>
    <t xml:space="preserve">Уплотнительная лента 8 мм</t>
  </si>
  <si>
    <t xml:space="preserve">Для вставки ткани в вал 61 мм (9025920). Бухта 100 м</t>
  </si>
  <si>
    <t xml:space="preserve">1000658*</t>
  </si>
  <si>
    <t xml:space="preserve">SONESSE 30 RS 485 2/28</t>
  </si>
  <si>
    <t xml:space="preserve">привод, 24 V DC, 44 дБ, управление по RS 485, функция Modulis</t>
  </si>
  <si>
    <t xml:space="preserve">Cерия SONESSE 30 Wire Free Li Ion, 12 V DC </t>
  </si>
  <si>
    <t xml:space="preserve">SONESSE 30 WF RTS 2/20 LI-ION</t>
  </si>
  <si>
    <t xml:space="preserve">для SONESSE 30 ном. номер 1003128</t>
  </si>
  <si>
    <t xml:space="preserve">Удлинительный кабель 2,4 м для зарядного устройства 9020810</t>
  </si>
  <si>
    <t xml:space="preserve">Зарядное устройство Sonesse 30 ULTRA WireFree 230/12 В</t>
  </si>
  <si>
    <t xml:space="preserve">для SONESSE 30 ULTRA ном. номер 1003310</t>
  </si>
  <si>
    <t xml:space="preserve">Удлинительный кабель 2,4 м для зарядного устройства 9021028</t>
  </si>
  <si>
    <t xml:space="preserve">КОМПЛЕКТУЮЩИЕ ДЛЯ ПРИВОДОВ СЕРИИ Sonesse 30 Wire Free Li Ion</t>
  </si>
  <si>
    <t xml:space="preserve">Адаптер, переходник, винт и шайба (к-т) для вала Louvolite 40 </t>
  </si>
  <si>
    <t xml:space="preserve">Адаптер, переходник, винт и шайба (к-т) для вала HD 37</t>
  </si>
  <si>
    <t xml:space="preserve">Адаптер, переходник, винт и шайба (к-т) для вала Acmeda 45 </t>
  </si>
  <si>
    <t xml:space="preserve">9021036*</t>
  </si>
  <si>
    <t xml:space="preserve">Адаптер, переходник, винт и шайба (к-т) для усиленного вал Acmeda 45</t>
  </si>
  <si>
    <t xml:space="preserve">9020674*</t>
  </si>
  <si>
    <t xml:space="preserve">Адаптер, переходник, винт и шайба (к-т) для вала Rollease 38/1,5 </t>
  </si>
  <si>
    <t xml:space="preserve">9021037*</t>
  </si>
  <si>
    <t xml:space="preserve">Адаптер, переходник, винт и шайба (к-т) для вала HD Qantum 37</t>
  </si>
  <si>
    <t xml:space="preserve">Мех. конечн. выкл., 44 дБ, кабель 1 м черный, функция Modulis</t>
  </si>
  <si>
    <t xml:space="preserve">Мех. конечн. выкл., 44 дБ, кабель 3 м черный, функция Modulis</t>
  </si>
  <si>
    <t xml:space="preserve">RTS, эл.конечн. выкл., 44 дБ, кабель 1 м черный, функция Modulis</t>
  </si>
  <si>
    <t xml:space="preserve">Somfy 1781253, Helioscreen Ø47 мм, центр.</t>
  </si>
  <si>
    <t xml:space="preserve">Somfy 1781253</t>
  </si>
  <si>
    <t xml:space="preserve">9500686*</t>
  </si>
  <si>
    <t xml:space="preserve">Крепление для LS 40 (сторона гильзы Ø10 мм) </t>
  </si>
  <si>
    <t xml:space="preserve">Переходное крепл. LS 40 на крепл. LT 50 HiPro </t>
  </si>
  <si>
    <t xml:space="preserve">чёрное пластиковое </t>
  </si>
  <si>
    <t xml:space="preserve">Гильза для вала арт. № 1782287 Ø34 мм </t>
  </si>
  <si>
    <t xml:space="preserve">для креплений арт. №№ 9500685/9500686</t>
  </si>
  <si>
    <t xml:space="preserve">SONESSE 50 WT 3/28</t>
  </si>
  <si>
    <t xml:space="preserve">Полуавт. конечн. выкл., 50 дБ, кабель 3 м белый, функция Modulis</t>
  </si>
  <si>
    <t xml:space="preserve">Cерия SONESSE 50 RS485, 230 V AC </t>
  </si>
  <si>
    <t xml:space="preserve">1002382*</t>
  </si>
  <si>
    <t xml:space="preserve">SONESSE 50 RS485 6/28</t>
  </si>
  <si>
    <t xml:space="preserve">RS485, эл. конечн. выкл., 44 дБ, обратная связъ, кабель 3 м белый, функция Modulis</t>
  </si>
  <si>
    <t xml:space="preserve">1002383*</t>
  </si>
  <si>
    <t xml:space="preserve">SONESSE 50 RS485 10/28</t>
  </si>
  <si>
    <t xml:space="preserve">1003048*</t>
  </si>
  <si>
    <t xml:space="preserve">SONESSE ULTRA 50 RS485 6/20</t>
  </si>
  <si>
    <t xml:space="preserve">RS485, эл. конечн. выкл., 38 дБ, обратная связъ, кабель 3 м белый, функция Modulis</t>
  </si>
  <si>
    <t xml:space="preserve">9017142*</t>
  </si>
  <si>
    <t xml:space="preserve">RS485 Setting Tool</t>
  </si>
  <si>
    <t xml:space="preserve">Устройство для настройки и программирования приводов RS485</t>
  </si>
  <si>
    <t xml:space="preserve">ALTUS 50 RTS 6/32</t>
  </si>
  <si>
    <t xml:space="preserve">RTS, эл.конечн. выкл., кабель 5 м белый</t>
  </si>
  <si>
    <t xml:space="preserve">ALTUS 50 RTS 10/32</t>
  </si>
  <si>
    <t xml:space="preserve">ALTUS RH 50 RTS 15/32</t>
  </si>
  <si>
    <t xml:space="preserve">9410652*</t>
  </si>
  <si>
    <t xml:space="preserve">Крепление фланцевое приводов LT 50/60 белое </t>
  </si>
  <si>
    <t xml:space="preserve">L=95 мм B=80 мм, белое</t>
  </si>
  <si>
    <t xml:space="preserve">9410634*</t>
  </si>
  <si>
    <t xml:space="preserve">Крепление фланцевое с опорой под цапфу Ø10 мм белое</t>
  </si>
  <si>
    <t xml:space="preserve">Гильза виброгасящая для круглого вала 50х1,5 с цапфой D=10 мм телескопическая с хвостовиком для переходника LT 50/60 </t>
  </si>
  <si>
    <t xml:space="preserve">9019717*</t>
  </si>
  <si>
    <t xml:space="preserve">Гильза виброгасящая для круглого вала 50х1,5 с цапфой D=12 мм телескопическая с хвостовиком для переходника LT 50/60</t>
  </si>
  <si>
    <t xml:space="preserve">9018228*</t>
  </si>
  <si>
    <t xml:space="preserve">Гильза виброгасящая для круглого вала 50х1,5 
с цапфой D=12 мм телескопическая</t>
  </si>
  <si>
    <t xml:space="preserve">9132077*</t>
  </si>
  <si>
    <t xml:space="preserve">Ремень системы FTS</t>
  </si>
  <si>
    <t xml:space="preserve">черный, 20 мм, бухта 50 м</t>
  </si>
  <si>
    <t xml:space="preserve">9146071*</t>
  </si>
  <si>
    <t xml:space="preserve">Ограничительное сборное кольцо системы FTS </t>
  </si>
  <si>
    <t xml:space="preserve">Ø 63х130 мм</t>
  </si>
  <si>
    <t xml:space="preserve">9146072*</t>
  </si>
  <si>
    <t xml:space="preserve">Ø 63х160 мм</t>
  </si>
  <si>
    <t xml:space="preserve">9146035*</t>
  </si>
  <si>
    <t xml:space="preserve">Ø 50х110 мм</t>
  </si>
  <si>
    <t xml:space="preserve">Вал алюминиевый Ø29 x 1,15 мм</t>
  </si>
  <si>
    <t xml:space="preserve">длина 6 м</t>
  </si>
  <si>
    <t xml:space="preserve">Cерия Roll Up 28 RTS, WireFree 12 V DC </t>
  </si>
  <si>
    <t xml:space="preserve">Roll Up 28 RTS 1,1/27, 12V</t>
  </si>
  <si>
    <t xml:space="preserve">привод, встроенный радиоприемник RTS</t>
  </si>
  <si>
    <t xml:space="preserve">Пластина для крепления Roll Up 28</t>
  </si>
  <si>
    <t xml:space="preserve">Пластина для крепления Roll Up 28 к фланцевому креплению 9018005, метизы</t>
  </si>
  <si>
    <t xml:space="preserve">Крепление для Roll Up 28 RTS</t>
  </si>
  <si>
    <t xml:space="preserve">Крепление фланцевое, 50 мм, металл, цвет белый</t>
  </si>
  <si>
    <t xml:space="preserve">Заглушка крепления для Roll Up 28 RTS</t>
  </si>
  <si>
    <t xml:space="preserve">Декор. заглушка крепления 9018005, 50 мм, пластик, цвет белый</t>
  </si>
  <si>
    <t xml:space="preserve">9018584*</t>
  </si>
  <si>
    <t xml:space="preserve">9018594*</t>
  </si>
  <si>
    <t xml:space="preserve">9018585*</t>
  </si>
  <si>
    <t xml:space="preserve">9018595*</t>
  </si>
  <si>
    <t xml:space="preserve">9018607*</t>
  </si>
  <si>
    <t xml:space="preserve">9018605*</t>
  </si>
  <si>
    <t xml:space="preserve">9018587*</t>
  </si>
  <si>
    <t xml:space="preserve">9018597*</t>
  </si>
  <si>
    <t xml:space="preserve">1000014*</t>
  </si>
  <si>
    <t xml:space="preserve">LW25 E 83, 0,8/30, 24V, электропривод</t>
  </si>
  <si>
    <t xml:space="preserve">установка в центре карниза, для интеллект. систем управления</t>
  </si>
  <si>
    <t xml:space="preserve">MS 25, шпиндельная блокировка </t>
  </si>
  <si>
    <t xml:space="preserve">нерегулируемая, для отключения LV/W 25 в нижн. положении</t>
  </si>
  <si>
    <t xml:space="preserve">Кабель 25 см Y - образный  WireFree DUAL (F/M2)</t>
  </si>
  <si>
    <t xml:space="preserve">кабель соединительный для подключения 2-х контейнеров к 1 приводу</t>
  </si>
  <si>
    <t xml:space="preserve">Solar Pack комплект v2</t>
  </si>
  <si>
    <t xml:space="preserve">Контейнер для 10-ти аккумуляторов типа  NiMH АА 1,2V +  2 крепления, кабель 25 см Y-образный(F2/M), солнечная панель, крепления</t>
  </si>
  <si>
    <t xml:space="preserve">Серия CORD LIFT 32 RTS , WireFree 12 V DC для плиссе и римских штор/карниз 32 мм</t>
  </si>
  <si>
    <t xml:space="preserve">Cord Lift 32 RTS</t>
  </si>
  <si>
    <t xml:space="preserve">привод 0,34 Hм/50-78 об.мин, встроенный радиоприемник RTS</t>
  </si>
  <si>
    <t xml:space="preserve">Адаптер для оси 5 мм квадрат </t>
  </si>
  <si>
    <t xml:space="preserve">Адаптер для оси 4 мм квадрат</t>
  </si>
  <si>
    <t xml:space="preserve">9013285*</t>
  </si>
  <si>
    <t xml:space="preserve">Адаптер для оси 5 мм 6-гранный </t>
  </si>
  <si>
    <t xml:space="preserve">Установочный бокс для карниза HD 38x57 мм</t>
  </si>
  <si>
    <t xml:space="preserve">Адаптер для вала, 5 мм шестигранник</t>
  </si>
  <si>
    <t xml:space="preserve">Адаптер для вала, 4 мм квадрат</t>
  </si>
  <si>
    <t xml:space="preserve">2,5 А, накладной монтаж, цвет белый, IP 20</t>
  </si>
  <si>
    <t xml:space="preserve">IR 8, ИК-пульт, 8-канальный</t>
  </si>
  <si>
    <t xml:space="preserve">IRS 300, ИК-приемник, 24V </t>
  </si>
  <si>
    <t xml:space="preserve">8-ми канальный, вход индивидуального и группового управления IB.</t>
  </si>
  <si>
    <t xml:space="preserve">S 51, 24V , переключатель 5-ти позиционный </t>
  </si>
  <si>
    <t xml:space="preserve">цвет белый, без корпуса/крышки</t>
  </si>
  <si>
    <t xml:space="preserve">Крышка S 51, для внутреннего монтажа</t>
  </si>
  <si>
    <t xml:space="preserve">цвет белый</t>
  </si>
  <si>
    <t xml:space="preserve">Корпус S 51, для накладного монтажа</t>
  </si>
  <si>
    <t xml:space="preserve">квет белый</t>
  </si>
  <si>
    <t xml:space="preserve">CD25 1:4,8, редуктор ручной</t>
  </si>
  <si>
    <t xml:space="preserve">Зажим для карниза Verosol 40x40 мм</t>
  </si>
  <si>
    <t xml:space="preserve">9163261*</t>
  </si>
  <si>
    <t xml:space="preserve">Зажим для карниза FABER 25x25 мм  </t>
  </si>
  <si>
    <t xml:space="preserve">цвет серый </t>
  </si>
  <si>
    <t xml:space="preserve">9163269*</t>
  </si>
  <si>
    <t xml:space="preserve">Зажим для карниза WO WO Design 25x25 мм</t>
  </si>
  <si>
    <t xml:space="preserve">9001167*</t>
  </si>
  <si>
    <t xml:space="preserve">Крепление CTS 25 для деревянных жалюзи</t>
  </si>
  <si>
    <t xml:space="preserve">9162165*</t>
  </si>
  <si>
    <t xml:space="preserve">Крепление CTS 25 для Warema </t>
  </si>
  <si>
    <t xml:space="preserve">9162136*</t>
  </si>
  <si>
    <t xml:space="preserve">Конус CTS карниза FABER 25/35, 5 mm 6-тигранной </t>
  </si>
  <si>
    <t xml:space="preserve">1781003*</t>
  </si>
  <si>
    <t xml:space="preserve">9162141*</t>
  </si>
  <si>
    <t xml:space="preserve">Вал алюминиевый Ø 45 мм, 6 м </t>
  </si>
  <si>
    <t xml:space="preserve">для серии SONESSE 40 с к-том адаптеров 9016654</t>
  </si>
  <si>
    <t xml:space="preserve">Вал алюминиевый Ø34 мм, 6 м</t>
  </si>
  <si>
    <t xml:space="preserve">рекомендуется для приводов Sonesse и RollUp WireFree RTS.</t>
  </si>
  <si>
    <t xml:space="preserve">Вал алюминиевый Ø61 мм x 6 м</t>
  </si>
  <si>
    <t xml:space="preserve">Крепежная пластина мотора металлическая для валов 47 и 61 мм</t>
  </si>
  <si>
    <t xml:space="preserve">&lt; На главную</t>
  </si>
  <si>
    <t xml:space="preserve">№</t>
  </si>
  <si>
    <t xml:space="preserve">Примечание</t>
  </si>
  <si>
    <t xml:space="preserve">Цена в у.е.</t>
  </si>
  <si>
    <t xml:space="preserve">Моторизация для рулонных штор</t>
  </si>
  <si>
    <t xml:space="preserve">ПРИВОД DM16LE-0,3/50 12В, ЭК, IC, АКБ</t>
  </si>
  <si>
    <t xml:space="preserve">Электропривод 12В (аккумуляторная батарея) со встроенным приёмником радиосигнала для UNI, MINI</t>
  </si>
  <si>
    <t xml:space="preserve">Электропривод 8В (аккумуляторная батарея) со встроенным приёмником радиосигнала для UNI, MINI</t>
  </si>
  <si>
    <t xml:space="preserve">Электропривод 220В со встроенным приёмником радиосигнала для LVT 35, 45мм</t>
  </si>
  <si>
    <t xml:space="preserve">Электропривод 220В со встроенным приёмником радиосигнала для LVT 35, 45мм, малошумный</t>
  </si>
  <si>
    <t xml:space="preserve">Электропривод 220В со встроенным приёмником радиосигнала для LVT 35, 45мм, с обратной связью</t>
  </si>
  <si>
    <t xml:space="preserve">ПРИВОД DM25LE-1.1/40, 12В, ЭК, IC, АКБ</t>
  </si>
  <si>
    <t xml:space="preserve">Электропривод 12В (аккумуляторная батарея) со встроенным приёмником радиосигнала для LVT 35, 45мм</t>
  </si>
  <si>
    <t xml:space="preserve">Электропривод 220В для LVT 55мм</t>
  </si>
  <si>
    <t xml:space="preserve">ПРИВОД DM35SL-6/28, 316#, 230В            </t>
  </si>
  <si>
    <t xml:space="preserve">Электропривод 220В для Benthin 44/52/65мм</t>
  </si>
  <si>
    <t xml:space="preserve">ПРИВОД DM35SL-10/17, 316#, 230В                </t>
  </si>
  <si>
    <t xml:space="preserve">Электропривод 220В со встроенным приёмником радиосигнала для LVT 55мм</t>
  </si>
  <si>
    <t xml:space="preserve">ПРИВОД DM35F/Y-6/28, 316#, 230В, РАДИО                                </t>
  </si>
  <si>
    <t xml:space="preserve">Электропривод 220В со встроенным приёмником радиосигнала для Benthin 44/52/65мм</t>
  </si>
  <si>
    <t xml:space="preserve">ПРИВОД DM35F/Y-10/17, 316#, 230В, РАДИО                             </t>
  </si>
  <si>
    <t xml:space="preserve">ПРИВОД DM35F/S-6/28 316#, 230В, С ОБРАТНОЙ СВЯЗЬЮ   </t>
  </si>
  <si>
    <t xml:space="preserve">Электропривод 220В со встроенным приёмником радиосигнала для Benthin 44/52/65мм и обратной связью</t>
  </si>
  <si>
    <t xml:space="preserve">ПРИВОД DM35F/S-10/17 316#, 230В, С ОБРАТНОЙ СВЯЗЬЮ              </t>
  </si>
  <si>
    <t xml:space="preserve">ПРИВОД DM35F/SW-6/28, 316#, 230В, Wi-Fi,  С ОБРАТНОЙ СВЯЗЬЮ       </t>
  </si>
  <si>
    <t xml:space="preserve">Электропривод 220В со встроенным приёмником радиосигнала, модулем WIFI  для Benthin 44/52/65мм и обратной связью</t>
  </si>
  <si>
    <t xml:space="preserve">ПРИВОД DM35F/SW-10/17, 316#, 230В, Wi-Fi С ОБРАТНОЙ СВЯЗЬЮ      </t>
  </si>
  <si>
    <t xml:space="preserve">Электропривод 12В (аккумуляторная батарея) со встроенным приёмником радиосигнала для LVT 55мм</t>
  </si>
  <si>
    <t xml:space="preserve">ПРИВОД DM35LE/S-3/28 316#, АКБ, С ОБРАТНОЙ СВЯЗЬЮ              </t>
  </si>
  <si>
    <t xml:space="preserve">Электропривод 12В (аккумуляторная батарея) со встроенным приёмником радиосигнала для Benthin 44/52/65мм. с обратной связью</t>
  </si>
  <si>
    <t xml:space="preserve">ПЕРЕХОДНИК ДЛЯ ЗАГЛУШКИ UNI/MINI</t>
  </si>
  <si>
    <t xml:space="preserve">Заглушка для UNI, MINI</t>
  </si>
  <si>
    <t xml:space="preserve">АДАПТЕР DL387 ДЛЯ ПРИВОДА DM16</t>
  </si>
  <si>
    <t xml:space="preserve">Адаптер для UNI, MINI</t>
  </si>
  <si>
    <t xml:space="preserve">Для октогонального вала и трубы LVT 55мм</t>
  </si>
  <si>
    <t xml:space="preserve">Для труб LVT 35мм, 45мм</t>
  </si>
  <si>
    <t xml:space="preserve">Комплект для LVT 35мм</t>
  </si>
  <si>
    <t xml:space="preserve">Комплект для LVT 45мм</t>
  </si>
  <si>
    <t xml:space="preserve">Комплект для LVT 55мм</t>
  </si>
  <si>
    <t xml:space="preserve">Комплект для LVT 35мм без кронштейнов</t>
  </si>
  <si>
    <t xml:space="preserve">Комплект для LVT 45мм без кронштейнов</t>
  </si>
  <si>
    <t xml:space="preserve">Комплект для LVT 55мм без кронштейнов</t>
  </si>
  <si>
    <t xml:space="preserve">Комплект для MINI ROLLA белый</t>
  </si>
  <si>
    <t xml:space="preserve">Комплект для MINI белый</t>
  </si>
  <si>
    <t xml:space="preserve">Комплект для MINI коричневый</t>
  </si>
  <si>
    <t xml:space="preserve">Комплект для MINI дуб</t>
  </si>
  <si>
    <t xml:space="preserve">Комплект для MINI т.серый</t>
  </si>
  <si>
    <t xml:space="preserve">Комплект для MINI ЗЕБРА белый</t>
  </si>
  <si>
    <t xml:space="preserve">Комплект для MINI ЗЕБРА коричневый</t>
  </si>
  <si>
    <t xml:space="preserve">Комплект для UNI белый</t>
  </si>
  <si>
    <t xml:space="preserve">Комплект для UNI коричневый</t>
  </si>
  <si>
    <t xml:space="preserve">Комплект для UNI золотой дуб</t>
  </si>
  <si>
    <t xml:space="preserve">Комплект для UNI светлый дуб</t>
  </si>
  <si>
    <t xml:space="preserve">Комплект для UNI махагони</t>
  </si>
  <si>
    <t xml:space="preserve">Комплект для UNI т. Серый</t>
  </si>
  <si>
    <t xml:space="preserve">Кронштейн для производства МОНО на 55 трубе</t>
  </si>
  <si>
    <t xml:space="preserve">Труба для UNI, MINI</t>
  </si>
  <si>
    <t xml:space="preserve">ТРУБА 21,4ММ ДЛЯ МОТОРИЗАЦИИ</t>
  </si>
  <si>
    <t xml:space="preserve">Труба для LVT 35мм</t>
  </si>
  <si>
    <t xml:space="preserve">Труба для LVT 45мм</t>
  </si>
  <si>
    <t xml:space="preserve">Труба для LVT 55мм</t>
  </si>
  <si>
    <t xml:space="preserve">Моторизация для горизонтальных жалюзи 50мм</t>
  </si>
  <si>
    <t xml:space="preserve">Электропривод 220В для гор.50мм</t>
  </si>
  <si>
    <t xml:space="preserve">Электропривод 220В со встроенным приёмником радиосигнала для гор.50мм</t>
  </si>
  <si>
    <t xml:space="preserve">ПРИВОД DM35F/S-10/17 316#, 230В, С ОБРАТНОЙ СВЯЗЬЮ             </t>
  </si>
  <si>
    <t xml:space="preserve">ПРИВОД DM35F/SW-10/17, 316#, 230В, Wi-Fi С ОБРАТНОЙ СВЯЗЬЮ        </t>
  </si>
  <si>
    <t xml:space="preserve">Для октогонального вала и трубы 55</t>
  </si>
  <si>
    <t xml:space="preserve">Моторизация для горизонтальных жалюзи 16/25мм</t>
  </si>
  <si>
    <t xml:space="preserve">Электропривод 12В для гор.16/25мм</t>
  </si>
  <si>
    <t xml:space="preserve">ПРИВОД DV24CFQ/L-0.8/34, 12В, ЭК, IC, СРЕДИННЫЙ</t>
  </si>
  <si>
    <t xml:space="preserve">Электропривод 12В со встроенным приёмником радиосигнала для гор.16/25мм</t>
  </si>
  <si>
    <t xml:space="preserve">Электропривод 12В со встроенным приёмником радиосигнала для гор.16/25мм, с обратной связью</t>
  </si>
  <si>
    <t xml:space="preserve">Моторизация для кассетный горизонтальных жалюзи 16/25мм</t>
  </si>
  <si>
    <t xml:space="preserve">Моторизация для вертикальных жалюзи</t>
  </si>
  <si>
    <t xml:space="preserve">Электропривод 24В для вертикальных жалюзи</t>
  </si>
  <si>
    <t xml:space="preserve">Моторизация для плиссе</t>
  </si>
  <si>
    <t xml:space="preserve">Электропривод 12В для плиссе</t>
  </si>
  <si>
    <t xml:space="preserve">Электропривод 12В со встроенным приёмником радиосигнала для плиссе</t>
  </si>
  <si>
    <t xml:space="preserve">Электропривод 12В с двумя независимыми валами, с двумя встроенными приёмниками радиосигнала для плиссе, с обратной связью</t>
  </si>
  <si>
    <t xml:space="preserve">Моторизация для плиссе 89ХХ</t>
  </si>
  <si>
    <t xml:space="preserve">ПРИВОД DM35F/Y-6/28, 316#, 230В, РАДИО                                 </t>
  </si>
  <si>
    <t xml:space="preserve">ПРИВОД DM35F/S-6/28 316#, 230В, С ОБРАТНОЙ СВЯЗЬЮ     </t>
  </si>
  <si>
    <t xml:space="preserve">Моторизация для римских карнизов</t>
  </si>
  <si>
    <t xml:space="preserve">Электропривод 12В со встроенным приёмником радиосигнала для римского карниза</t>
  </si>
  <si>
    <t xml:space="preserve">Радиопередатчики</t>
  </si>
  <si>
    <t xml:space="preserve">Только для приводов DV24AF/TD-2x0.6/34</t>
  </si>
  <si>
    <t xml:space="preserve">С обратной связью</t>
  </si>
  <si>
    <t xml:space="preserve">Управление изделиями с телефона</t>
  </si>
  <si>
    <t xml:space="preserve">Радиоприемники</t>
  </si>
  <si>
    <t xml:space="preserve">Радиоприемник для двух приводов DV24 12В</t>
  </si>
  <si>
    <t xml:space="preserve">Радиоприемник для приводов 24В</t>
  </si>
  <si>
    <t xml:space="preserve">РАДИОПРИЕМНИК DC50 ВНЕШНИЙ, 220В</t>
  </si>
  <si>
    <t xml:space="preserve">Радиоприемник для привода 220В</t>
  </si>
  <si>
    <t xml:space="preserve">Радиоприемник для привода 220В с возможностью подключения выключателя</t>
  </si>
  <si>
    <t xml:space="preserve">Радиоприемник с обратной связью для привода 220В с возможностью подключения выключателя</t>
  </si>
  <si>
    <t xml:space="preserve">Блок питания для одного привода DV24 12В</t>
  </si>
  <si>
    <t xml:space="preserve">Блок питания для приводов 24В</t>
  </si>
  <si>
    <t xml:space="preserve">Блок питания для трех приводов DV24 12В</t>
  </si>
  <si>
    <t xml:space="preserve">БЛОК ПИТАНИЯ DC943A ИНДИВИДУАЛЬНЫЙ, 12В-1А</t>
  </si>
  <si>
    <t xml:space="preserve">БАТАРЕЯ АККУМУЛЯТОРНАЯ DC1326B, 12В</t>
  </si>
  <si>
    <t xml:space="preserve">Батарея  для одного привода DV24 12В</t>
  </si>
  <si>
    <t xml:space="preserve">Удлинитель для  зарядного устройства L=2,44м</t>
  </si>
  <si>
    <t xml:space="preserve">Зарядное устройство для приводов DM15LEU</t>
  </si>
  <si>
    <t xml:space="preserve">Кабель для зарядного устройства USB</t>
  </si>
  <si>
    <t xml:space="preserve">Для приводов 220В</t>
  </si>
  <si>
    <t xml:space="preserve">Для приводов 12В</t>
  </si>
  <si>
    <t xml:space="preserve">Выключатель  со встроенным блоком питания и радиоприемником для приводов 24В</t>
  </si>
  <si>
    <t xml:space="preserve">Управление приводами 12/24В фазовым сигналом 220В</t>
  </si>
  <si>
    <t xml:space="preserve">Привод DM16LE-0,3/50 12В, ЭК, IC, АКБ</t>
  </si>
  <si>
    <t xml:space="preserve">Привод DM25TE-1.5/32, 100-240В, ЭК, IC</t>
  </si>
  <si>
    <t xml:space="preserve">Привод DM25LE-1.1/40, 12В, ЭК, IC, АКБ</t>
  </si>
  <si>
    <t xml:space="preserve">Привод DM35S-6/28, 220В, МК</t>
  </si>
  <si>
    <t xml:space="preserve">Привод DM35S-10/17, 220В, МК</t>
  </si>
  <si>
    <t xml:space="preserve">Привод DM35EW/Y-6/28, 220В, ЭК, IC</t>
  </si>
  <si>
    <t xml:space="preserve">Привод DM35EW/Y-10/17, 220В, ЭК, IC</t>
  </si>
  <si>
    <t xml:space="preserve">Привод DM35LE-3/28, 12В, ЭК, IC, АКБ</t>
  </si>
  <si>
    <t xml:space="preserve">Зарядное устройство DC264,12.6В-1А,для приводов LE</t>
  </si>
  <si>
    <t xml:space="preserve">Зарядное устройство для приводов DM16LE и DM35LE</t>
  </si>
  <si>
    <t xml:space="preserve">Переходник для заглушки UNI/MINI</t>
  </si>
  <si>
    <t xml:space="preserve">Адаптер DL387 для привода DM16</t>
  </si>
  <si>
    <t xml:space="preserve">Комплект для моторизации MINI белый</t>
  </si>
  <si>
    <t xml:space="preserve">Комплект для моторизации MINI коричневый</t>
  </si>
  <si>
    <t xml:space="preserve">Комплект для моторизации MINI дуб</t>
  </si>
  <si>
    <t xml:space="preserve">Комплект для моторизации MINI ЗЕБРА белый</t>
  </si>
  <si>
    <t xml:space="preserve">Комплект для моторизации MINI ЗЕБРА коричневый</t>
  </si>
  <si>
    <t xml:space="preserve">Комплект для моторизации UNI коричневый</t>
  </si>
  <si>
    <t xml:space="preserve">Комплект для моторизации UNI золотой дуб</t>
  </si>
  <si>
    <t xml:space="preserve">Комплект для моторизации UNI светлый дуб</t>
  </si>
  <si>
    <t xml:space="preserve">Комплект для моторизации UNI махагони</t>
  </si>
  <si>
    <t xml:space="preserve">Труба 21,4мм для моторизации</t>
  </si>
  <si>
    <t xml:space="preserve">LVT 45мм усиленная</t>
  </si>
  <si>
    <t xml:space="preserve">КРЫШКА КРОНШТЕЙНА 32</t>
  </si>
  <si>
    <t xml:space="preserve">КРЫШКА КРОНШТЕЙНА 45</t>
  </si>
  <si>
    <t xml:space="preserve">Кронштейн соединительный 55</t>
  </si>
  <si>
    <t xml:space="preserve">Виды коробов</t>
  </si>
  <si>
    <t xml:space="preserve">Текст для КП</t>
  </si>
  <si>
    <t xml:space="preserve">Типы направляющих</t>
  </si>
  <si>
    <t xml:space="preserve">LVT32 — выбрать комплектацию «ДЛЯ КАССЕТЫ LVT35»</t>
  </si>
  <si>
    <t xml:space="preserve">LVT32</t>
  </si>
  <si>
    <t xml:space="preserve">Ролтех некраш.</t>
  </si>
  <si>
    <t xml:space="preserve">Направляющие (Италия)</t>
  </si>
  <si>
    <t xml:space="preserve">LVT45 — выбрать комплектацию «ДЛЯ КАССЕТЫ LVT45»</t>
  </si>
  <si>
    <t xml:space="preserve">LVT45</t>
  </si>
  <si>
    <t xml:space="preserve">Тип «С» (алюм)</t>
  </si>
  <si>
    <t xml:space="preserve">Направляющие тип «С»</t>
  </si>
  <si>
    <t xml:space="preserve">CT76 Некрашенный -  — выбрать систему «CT76»</t>
  </si>
  <si>
    <t xml:space="preserve">CT76 Некрашенный</t>
  </si>
  <si>
    <t xml:space="preserve">LVT Направляющая </t>
  </si>
  <si>
    <t xml:space="preserve">Направляющие LVT со шлегелем</t>
  </si>
  <si>
    <t xml:space="preserve">штучные</t>
  </si>
  <si>
    <t xml:space="preserve">за п.м. без коэф.</t>
  </si>
  <si>
    <t xml:space="preserve">Кронштейн стеновой кассеты 32</t>
  </si>
  <si>
    <t xml:space="preserve">Механизм упр. цепь кассеты 32</t>
  </si>
  <si>
    <t xml:space="preserve">Профиль лицевой кассеты 32, без паза</t>
  </si>
  <si>
    <t xml:space="preserve">Профиль соединительный кассеты 32</t>
  </si>
  <si>
    <t xml:space="preserve">Кронштейн стеновой кассеты 45</t>
  </si>
  <si>
    <t xml:space="preserve">Механизм упр. цепь кассеты 45</t>
  </si>
  <si>
    <t xml:space="preserve">Профиль лицевой  кассеты 45, без паза</t>
  </si>
  <si>
    <t xml:space="preserve">Профиль соединительный кассеты 45</t>
  </si>
  <si>
    <t xml:space="preserve">CT76</t>
  </si>
  <si>
    <t xml:space="preserve">101263 металлическая клепка для ткани</t>
  </si>
  <si>
    <t xml:space="preserve">101248 Резиновый изолятор под кабель</t>
  </si>
  <si>
    <t xml:space="preserve">102455L Крышка короба СТ-76 без отверстия белая</t>
  </si>
  <si>
    <t xml:space="preserve">102455P Крышка короба СТ-76 без отверстия белая</t>
  </si>
  <si>
    <t xml:space="preserve">101459 ступица (для тр 40*1,5) ф 38 мм с цапфой ф 5х10</t>
  </si>
  <si>
    <t xml:space="preserve">101411 Пласт. опора с отв. Ф 5 мм белая</t>
  </si>
  <si>
    <t xml:space="preserve">100166 Короб СТ-76 (перед. часть) некрашенный 6м</t>
  </si>
  <si>
    <t xml:space="preserve">100257 Короб СТ-76 (задн. часть) некрашенный 6м</t>
  </si>
  <si>
    <t xml:space="preserve">100508 GAF49 Напр некраш 6м</t>
  </si>
  <si>
    <t xml:space="preserve">101154 Клипс для крепления направляющих</t>
  </si>
  <si>
    <t xml:space="preserve">Итого направляющая с клипсами за п.м.</t>
  </si>
  <si>
    <t xml:space="preserve">Направляющая LVT</t>
  </si>
  <si>
    <t xml:space="preserve">Шлегель для направляющей</t>
  </si>
  <si>
    <t xml:space="preserve">с/с</t>
  </si>
  <si>
    <t xml:space="preserve">c/c, руб.</t>
  </si>
  <si>
    <t xml:space="preserve">с/с крышек</t>
  </si>
  <si>
    <t xml:space="preserve">Натяжитель цепи (LVT)</t>
  </si>
  <si>
    <t xml:space="preserve">32+мм</t>
  </si>
  <si>
    <t xml:space="preserve">45мм</t>
  </si>
  <si>
    <t xml:space="preserve">45+мм</t>
  </si>
  <si>
    <t xml:space="preserve">32+мм с крышками</t>
  </si>
  <si>
    <t xml:space="preserve">45мм с крышками</t>
  </si>
  <si>
    <t xml:space="preserve">45+мм с крышками</t>
  </si>
  <si>
    <t xml:space="preserve">Для кассеты 32+</t>
  </si>
  <si>
    <t xml:space="preserve">Для кассеты 45</t>
  </si>
  <si>
    <t xml:space="preserve">с/с, руб.</t>
  </si>
  <si>
    <t xml:space="preserve">MG с цепью</t>
  </si>
  <si>
    <t xml:space="preserve">Цепь за п.м.</t>
  </si>
  <si>
    <t xml:space="preserve">Цепь пластик</t>
  </si>
  <si>
    <t xml:space="preserve">Цепь металл</t>
  </si>
  <si>
    <t xml:space="preserve">ОГРАНИЧИТЕЛЬ ЦЕПИ УПРАВЛЕНИЯ, БЕЛЫЙ</t>
  </si>
  <si>
    <t xml:space="preserve">запас ткани</t>
  </si>
  <si>
    <t xml:space="preserve">32 мм</t>
  </si>
  <si>
    <t xml:space="preserve">45 мм, 3 паза</t>
  </si>
  <si>
    <t xml:space="preserve">45 мм усиленная</t>
  </si>
  <si>
    <t xml:space="preserve">РАСЧЁТ В ПРОЦЕССЕ РАЗРАБОТКИ</t>
  </si>
  <si>
    <t xml:space="preserve">Электрокарниз для римских штор  AT35E (управление — радио, электронная настройка крайних положений)</t>
  </si>
  <si>
    <t xml:space="preserve">Электрокарниз для римских штор  AT35SL (управление — фазное, механическая настройка крайних положений)</t>
  </si>
  <si>
    <t xml:space="preserve">AT35RA</t>
  </si>
  <si>
    <t xml:space="preserve">AKKO 35RA</t>
  </si>
  <si>
    <t xml:space="preserve">Электрокарниз для римских штор  AT35RA (управление — радио и по «сухим контактам», механическая настройка крайних положений)</t>
  </si>
  <si>
    <t xml:space="preserve">Электрокарниз для римских штор  AT35LE (встроенная АКБ, управление — радио, электронная настройка крайних положений)</t>
  </si>
  <si>
    <t xml:space="preserve">Электрокарниз для римских штор  AT35S (управление — фазное, механическая настройка крайних положений)</t>
  </si>
  <si>
    <t xml:space="preserve">Электрокарниз для римских штор  SONESSE 40 3/30 (управление — фазное, механическая настройка крайних положений)</t>
  </si>
  <si>
    <t xml:space="preserve">Электрокарниз для римских штор  SONESSE 40 6/20 (управление — фазное, механическая настройка крайних положений)</t>
  </si>
  <si>
    <t xml:space="preserve">Электрокарниз для римских штор  SONESSE 40 9/12 (управление — фазное, механическая настройка крайних положений)</t>
  </si>
  <si>
    <t xml:space="preserve">Электрокарниз для римских штор  SONESSE 40 RTS 3/30 (управление — радио, электронная настройка крайних положений)</t>
  </si>
  <si>
    <t xml:space="preserve">Электрокарниз для римских штор  SONESSE 40 RTS 6/20 (управление — радио, электронная настройка крайних положений)</t>
  </si>
  <si>
    <t xml:space="preserve">Электрокарниз для римских штор  SONESSE 40 RTS 9/12 (управление — радио, электронная настройка крайних положений)</t>
  </si>
  <si>
    <t xml:space="preserve">ПРИВОД DM25TE-1.5/32, 100-240В, ЭК, IC</t>
  </si>
  <si>
    <t xml:space="preserve">ПРИВОД DM35EW/Y-6/28, 220В, ЭК, IC</t>
  </si>
  <si>
    <t xml:space="preserve">ПУЛЬТ 1-КАНАЛЬНЫЙ SMART DUO DD1800H</t>
  </si>
  <si>
    <t xml:space="preserve">ПУЛЬТ 5-КАНАЛЬНЫЙ С ТАЙМЕРОМ SMART DUO DD1805H</t>
  </si>
</sst>
</file>

<file path=xl/styles.xml><?xml version="1.0" encoding="utf-8"?>
<styleSheet xmlns="http://schemas.openxmlformats.org/spreadsheetml/2006/main">
  <numFmts count="29">
    <numFmt numFmtId="164" formatCode="General"/>
    <numFmt numFmtId="165" formatCode="\ #,##0.00&quot;$ &quot;;\-#,##0.00&quot;$ &quot;;\-#&quot;$ &quot;;@\ "/>
    <numFmt numFmtId="166" formatCode="#,##0.00"/>
    <numFmt numFmtId="167" formatCode="#,##0.00\ [$руб.-419];[RED]\-#,##0.00\ [$руб.-419]"/>
    <numFmt numFmtId="168" formatCode="[$-419]#,##0.00\ [$руб.]"/>
    <numFmt numFmtId="169" formatCode="dd/mm/yy"/>
    <numFmt numFmtId="170" formatCode="#,##0%"/>
    <numFmt numFmtId="171" formatCode="General"/>
    <numFmt numFmtId="172" formatCode="#,##0"/>
    <numFmt numFmtId="173" formatCode="#,##0\ [$руб.-419];\-#,##0\ [$руб.-419]"/>
    <numFmt numFmtId="174" formatCode="&quot;BOOL&quot;yy&quot;AN&quot;"/>
    <numFmt numFmtId="175" formatCode="#,##0\ [$р.-419];\-#,##0\ [$р.-419]"/>
    <numFmt numFmtId="176" formatCode="#,##0\ [$руб.-419];[RED]\-#,##0\ [$руб.-419]"/>
    <numFmt numFmtId="177" formatCode="#,##0.00\ [$₽-419];[RED]\-#,##0.00\ [$₽-419]"/>
    <numFmt numFmtId="178" formatCode="0%"/>
    <numFmt numFmtId="179" formatCode="0.000"/>
    <numFmt numFmtId="180" formatCode="@"/>
    <numFmt numFmtId="181" formatCode="0"/>
    <numFmt numFmtId="182" formatCode="[$$-409]#,##0.00"/>
    <numFmt numFmtId="183" formatCode="[$$-C09]#,##0.00"/>
    <numFmt numFmtId="184" formatCode="0.00"/>
    <numFmt numFmtId="185" formatCode="0.0"/>
    <numFmt numFmtId="186" formatCode="[$$-1009]#,##0.00"/>
    <numFmt numFmtId="187" formatCode="[$$-1009]#,##0.0000"/>
    <numFmt numFmtId="188" formatCode="#,##0.0"/>
    <numFmt numFmtId="189" formatCode="[$$-C09]#,##0.0000"/>
    <numFmt numFmtId="190" formatCode="[$$-409]#,##0.00;[RED]\-[$$-409]#,##0.00"/>
    <numFmt numFmtId="191" formatCode="dd/mm/yyyy"/>
    <numFmt numFmtId="192" formatCode="0.0000"/>
  </numFmts>
  <fonts count="95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 Cyr"/>
      <family val="0"/>
      <charset val="204"/>
    </font>
    <font>
      <b val="true"/>
      <i val="true"/>
      <u val="single"/>
      <sz val="10"/>
      <color rgb="FF000000"/>
      <name val="Arial Cyr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0"/>
      <name val="Arial Tur"/>
      <family val="0"/>
      <charset val="204"/>
    </font>
    <font>
      <sz val="10"/>
      <name val="Arial"/>
      <family val="2"/>
      <charset val="204"/>
    </font>
    <font>
      <u val="single"/>
      <sz val="10"/>
      <color rgb="FF0000FF"/>
      <name val="Arial Cyr"/>
      <family val="0"/>
      <charset val="204"/>
    </font>
    <font>
      <sz val="11"/>
      <color rgb="FF000000"/>
      <name val="Times New Roman"/>
      <family val="2"/>
      <charset val="204"/>
    </font>
    <font>
      <b val="true"/>
      <sz val="10"/>
      <name val="Arial"/>
      <family val="2"/>
      <charset val="204"/>
    </font>
    <font>
      <sz val="14"/>
      <color rgb="FF000000"/>
      <name val="Arial Narrow"/>
      <family val="2"/>
      <charset val="204"/>
    </font>
    <font>
      <b val="true"/>
      <i val="true"/>
      <u val="single"/>
      <sz val="10"/>
      <name val="Arial Cyr"/>
      <family val="0"/>
      <charset val="204"/>
    </font>
    <font>
      <sz val="8"/>
      <name val="Arial Cyr"/>
      <family val="2"/>
      <charset val="204"/>
    </font>
    <font>
      <sz val="6"/>
      <name val="Arial"/>
      <family val="2"/>
      <charset val="204"/>
    </font>
    <font>
      <b val="true"/>
      <sz val="7"/>
      <name val="Arial"/>
      <family val="2"/>
      <charset val="204"/>
    </font>
    <font>
      <sz val="9"/>
      <color rgb="FF0000FF"/>
      <name val="Arial"/>
      <family val="2"/>
      <charset val="204"/>
    </font>
    <font>
      <b val="true"/>
      <sz val="15"/>
      <name val="Arial Cyr"/>
      <family val="0"/>
      <charset val="204"/>
    </font>
    <font>
      <b val="true"/>
      <sz val="6"/>
      <name val="Arial"/>
      <family val="2"/>
      <charset val="204"/>
    </font>
    <font>
      <sz val="7"/>
      <name val="Arial"/>
      <family val="2"/>
      <charset val="204"/>
    </font>
    <font>
      <sz val="7"/>
      <name val="Arial Cyr"/>
      <family val="0"/>
      <charset val="204"/>
    </font>
    <font>
      <sz val="7"/>
      <color rgb="FF0000FF"/>
      <name val="Arial"/>
      <family val="2"/>
      <charset val="204"/>
    </font>
    <font>
      <b val="true"/>
      <sz val="7"/>
      <name val="Arial Cyr"/>
      <family val="0"/>
      <charset val="204"/>
    </font>
    <font>
      <b val="true"/>
      <sz val="6"/>
      <name val="Arial Cyr"/>
      <family val="0"/>
      <charset val="204"/>
    </font>
    <font>
      <b val="true"/>
      <sz val="6"/>
      <color rgb="FF000000"/>
      <name val="Arial"/>
      <family val="2"/>
      <charset val="204"/>
    </font>
    <font>
      <sz val="6"/>
      <name val="Arial Cyr"/>
      <family val="0"/>
      <charset val="204"/>
    </font>
    <font>
      <sz val="6"/>
      <color rgb="FF000000"/>
      <name val="Arial"/>
      <family val="2"/>
      <charset val="204"/>
    </font>
    <font>
      <b val="true"/>
      <sz val="8"/>
      <color rgb="FF0000FF"/>
      <name val="Arial Cyr"/>
      <family val="0"/>
      <charset val="204"/>
    </font>
    <font>
      <b val="true"/>
      <sz val="8"/>
      <color rgb="FF0000FF"/>
      <name val="Arial"/>
      <family val="2"/>
      <charset val="204"/>
    </font>
    <font>
      <sz val="8"/>
      <name val="Arial Cyr"/>
      <family val="0"/>
      <charset val="204"/>
    </font>
    <font>
      <b val="true"/>
      <sz val="8"/>
      <name val="Arial"/>
      <family val="2"/>
      <charset val="204"/>
    </font>
    <font>
      <b val="true"/>
      <sz val="14"/>
      <color rgb="FF000000"/>
      <name val="Times New Roman"/>
      <family val="1"/>
      <charset val="204"/>
    </font>
    <font>
      <sz val="8"/>
      <name val="Arial"/>
      <family val="2"/>
      <charset val="204"/>
    </font>
    <font>
      <b val="true"/>
      <sz val="11"/>
      <name val="Times New Roman"/>
      <family val="1"/>
      <charset val="204"/>
    </font>
    <font>
      <sz val="11"/>
      <color rgb="FF9C0006"/>
      <name val="Calibri"/>
      <family val="2"/>
      <charset val="204"/>
    </font>
    <font>
      <sz val="11"/>
      <name val="Times New Roman"/>
      <family val="1"/>
      <charset val="204"/>
    </font>
    <font>
      <sz val="15"/>
      <name val="Arial Cyr"/>
      <family val="0"/>
      <charset val="204"/>
    </font>
    <font>
      <b val="true"/>
      <sz val="7"/>
      <color rgb="FF000000"/>
      <name val="Arial"/>
      <family val="2"/>
      <charset val="204"/>
    </font>
    <font>
      <sz val="7"/>
      <color rgb="FF000000"/>
      <name val="Arial Cyr"/>
      <family val="0"/>
      <charset val="204"/>
    </font>
    <font>
      <sz val="7"/>
      <color rgb="FF000000"/>
      <name val="Arial"/>
      <family val="2"/>
      <charset val="204"/>
    </font>
    <font>
      <b val="true"/>
      <sz val="12"/>
      <name val="Arial Cyr"/>
      <family val="0"/>
      <charset val="204"/>
    </font>
    <font>
      <b val="true"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u val="single"/>
      <sz val="12"/>
      <color rgb="FF2A6099"/>
      <name val="Arial"/>
      <family val="2"/>
      <charset val="204"/>
    </font>
    <font>
      <b val="true"/>
      <sz val="15"/>
      <name val="Arial"/>
      <family val="2"/>
      <charset val="204"/>
    </font>
    <font>
      <b val="true"/>
      <sz val="8"/>
      <name val="Arial Cyr"/>
      <family val="0"/>
      <charset val="204"/>
    </font>
    <font>
      <sz val="15"/>
      <name val="Arial"/>
      <family val="2"/>
      <charset val="204"/>
    </font>
    <font>
      <b val="true"/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Calibri"/>
      <family val="2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b val="true"/>
      <sz val="10"/>
      <name val="Times New Roman"/>
      <family val="1"/>
      <charset val="204"/>
    </font>
    <font>
      <b val="true"/>
      <sz val="8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10"/>
      <name val="Arial Cyr"/>
      <family val="0"/>
      <charset val="204"/>
    </font>
    <font>
      <sz val="10"/>
      <name val="Arial Narrow"/>
      <family val="2"/>
      <charset val="204"/>
    </font>
    <font>
      <sz val="11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family val="0"/>
      <charset val="204"/>
    </font>
    <font>
      <sz val="8"/>
      <name val="Times New Roman"/>
      <family val="1"/>
      <charset val="204"/>
    </font>
    <font>
      <b val="true"/>
      <sz val="10"/>
      <color rgb="FF000000"/>
      <name val="Arial"/>
      <family val="2"/>
      <charset val="204"/>
    </font>
    <font>
      <b val="true"/>
      <i val="true"/>
      <sz val="10"/>
      <color rgb="FF000000"/>
      <name val="Times New Roman"/>
      <family val="1"/>
      <charset val="204"/>
    </font>
    <font>
      <b val="true"/>
      <i val="true"/>
      <sz val="10"/>
      <color rgb="FFFF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sz val="10"/>
      <color rgb="FF000000"/>
      <name val="Arial Narrow"/>
      <family val="2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sz val="12"/>
      <name val="Calibri"/>
      <family val="2"/>
      <charset val="204"/>
    </font>
    <font>
      <b val="true"/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i val="true"/>
      <sz val="8"/>
      <name val="Calibri"/>
      <family val="2"/>
      <charset val="204"/>
    </font>
    <font>
      <i val="true"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i val="true"/>
      <sz val="8"/>
      <color rgb="FFFF0000"/>
      <name val="Calibri"/>
      <family val="2"/>
      <charset val="204"/>
    </font>
    <font>
      <sz val="8"/>
      <name val="Calibri"/>
      <family val="2"/>
      <charset val="204"/>
    </font>
    <font>
      <sz val="6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6"/>
      <color rgb="FFFFFFFF"/>
      <name val="Calibri"/>
      <family val="2"/>
      <charset val="204"/>
    </font>
    <font>
      <b val="true"/>
      <sz val="14"/>
      <color rgb="FFFFFFFF"/>
      <name val="Calibri"/>
      <family val="2"/>
      <charset val="204"/>
    </font>
    <font>
      <b val="true"/>
      <sz val="8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6"/>
      <color rgb="FFFF0000"/>
      <name val="Times New Roman"/>
      <family val="1"/>
      <charset val="204"/>
    </font>
    <font>
      <b val="true"/>
      <sz val="18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6"/>
      <name val="Times New Roman"/>
      <family val="1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FFCC99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5CE"/>
      </patternFill>
    </fill>
    <fill>
      <patternFill patternType="solid">
        <fgColor rgb="FFCCCCFF"/>
        <bgColor rgb="FFC6D9F1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B9CDE5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B0F0"/>
      </patternFill>
    </fill>
    <fill>
      <patternFill patternType="solid">
        <fgColor rgb="FF339966"/>
        <bgColor rgb="FF00B050"/>
      </patternFill>
    </fill>
    <fill>
      <patternFill patternType="solid">
        <fgColor rgb="FFFFFF00"/>
        <bgColor rgb="FFFFC000"/>
      </patternFill>
    </fill>
    <fill>
      <patternFill patternType="solid">
        <fgColor rgb="FFFFC7CE"/>
        <bgColor rgb="FFFFCC99"/>
      </patternFill>
    </fill>
    <fill>
      <patternFill patternType="solid">
        <fgColor rgb="FF00FFFF"/>
        <bgColor rgb="FF00FF7F"/>
      </patternFill>
    </fill>
    <fill>
      <patternFill patternType="solid">
        <fgColor rgb="FFEEEEEE"/>
        <bgColor rgb="FFFDEADA"/>
      </patternFill>
    </fill>
    <fill>
      <patternFill patternType="solid">
        <fgColor rgb="FF00FF7F"/>
        <bgColor rgb="FF00FFFF"/>
      </patternFill>
    </fill>
    <fill>
      <patternFill patternType="solid">
        <fgColor rgb="FF808080"/>
        <bgColor rgb="FF77933C"/>
      </patternFill>
    </fill>
    <fill>
      <patternFill patternType="solid">
        <fgColor rgb="FFFFBF00"/>
        <bgColor rgb="FFFFC000"/>
      </patternFill>
    </fill>
    <fill>
      <patternFill patternType="solid">
        <fgColor rgb="FFFFF5CE"/>
        <bgColor rgb="FFFFFFCC"/>
      </patternFill>
    </fill>
    <fill>
      <patternFill patternType="solid">
        <fgColor rgb="FFDDDDDD"/>
        <bgColor rgb="FFE6E0EC"/>
      </patternFill>
    </fill>
    <fill>
      <patternFill patternType="solid">
        <fgColor rgb="FFCCCCCC"/>
        <bgColor rgb="FFC0C0C0"/>
      </patternFill>
    </fill>
    <fill>
      <patternFill patternType="solid">
        <fgColor rgb="FFD7E4BD"/>
        <bgColor rgb="FFDDDDDD"/>
      </patternFill>
    </fill>
    <fill>
      <patternFill patternType="solid">
        <fgColor rgb="FF77933C"/>
        <bgColor rgb="FF808080"/>
      </patternFill>
    </fill>
    <fill>
      <patternFill patternType="solid">
        <fgColor rgb="FFB3A2C7"/>
        <bgColor rgb="FFBFBFBF"/>
      </patternFill>
    </fill>
    <fill>
      <patternFill patternType="solid">
        <fgColor rgb="FFE6E0EC"/>
        <bgColor rgb="FFDDDDDD"/>
      </patternFill>
    </fill>
    <fill>
      <patternFill patternType="solid">
        <fgColor rgb="FF604A7B"/>
        <bgColor rgb="FF333399"/>
      </patternFill>
    </fill>
    <fill>
      <patternFill patternType="solid">
        <fgColor rgb="FFFF9900"/>
        <bgColor rgb="FFFFBF00"/>
      </patternFill>
    </fill>
    <fill>
      <patternFill patternType="solid">
        <fgColor rgb="FFFDEADA"/>
        <bgColor rgb="FFFFF5CE"/>
      </patternFill>
    </fill>
    <fill>
      <patternFill patternType="solid">
        <fgColor rgb="FF92D050"/>
        <bgColor rgb="FFBFBFBF"/>
      </patternFill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9CDE5"/>
        <bgColor rgb="FFC6D9F1"/>
      </patternFill>
    </fill>
    <fill>
      <patternFill patternType="solid">
        <fgColor rgb="FF0070C0"/>
        <bgColor rgb="FF2A6099"/>
      </patternFill>
    </fill>
    <fill>
      <patternFill patternType="solid">
        <fgColor rgb="FFC6D9F1"/>
        <bgColor rgb="FFCCCCFF"/>
      </patternFill>
    </fill>
    <fill>
      <patternFill patternType="solid">
        <fgColor rgb="FFBFBFBF"/>
        <bgColor rgb="FFC0C0C0"/>
      </patternFill>
    </fill>
    <fill>
      <patternFill patternType="solid">
        <fgColor rgb="FFFFC000"/>
        <bgColor rgb="FFFFBF00"/>
      </patternFill>
    </fill>
    <fill>
      <patternFill patternType="solid">
        <fgColor rgb="FF00B050"/>
        <bgColor rgb="FF339966"/>
      </patternFill>
    </fill>
  </fills>
  <borders count="7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medium"/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1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1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7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21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21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2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2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2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21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1" fillId="1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21" fillId="1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2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1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17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1" fontId="21" fillId="1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21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5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1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1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1" fillId="1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1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2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15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3" fontId="21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3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2" fontId="2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1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2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1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1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2" fillId="16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1" fillId="1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1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22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1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2" fillId="1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3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2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2" fontId="2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1" fontId="2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8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2" fontId="26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70" fontId="2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31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1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6" fontId="33" fillId="16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5" fillId="0" borderId="5" xfId="5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37" fillId="0" borderId="5" xfId="5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3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7" fillId="18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3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3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3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71" fontId="3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3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3" fontId="3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5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8" fontId="3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24" fillId="15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6" fontId="39" fillId="1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4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71" fontId="3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9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4" fillId="1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39" fillId="1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39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39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6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22" fillId="16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4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16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22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41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2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6" fontId="39" fillId="17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1" fillId="1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6" fontId="39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6" fontId="39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1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32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39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39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37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3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3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5" fontId="37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7" fillId="1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1" fontId="37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4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4" fillId="1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3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6" fillId="1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6" fillId="1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15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1" fontId="1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16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17" fillId="17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24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1" fontId="20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3" fontId="1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2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73" fontId="20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8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4" fillId="15" borderId="0" xfId="0" applyFont="true" applyBorder="false" applyAlignment="true" applyProtection="true">
      <alignment horizontal="right" vertical="bottom" textRotation="0" wrapText="true" indent="0" shrinkToFit="false"/>
      <protection locked="false" hidden="false"/>
    </xf>
    <xf numFmtId="164" fontId="16" fillId="1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16" fillId="17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3" fontId="16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6" fontId="17" fillId="1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1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1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17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34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9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75" fontId="3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7" fontId="3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7" fontId="37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5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4" fillId="17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34" fillId="1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1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34" fillId="1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6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34" fillId="1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6" fontId="34" fillId="1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15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4" fillId="1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3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5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5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5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5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4" fillId="1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17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51" fillId="1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2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15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3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3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3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31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3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4" fillId="1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71" fontId="3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1" fontId="34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3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3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1" fontId="5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1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82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2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5" xfId="4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0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80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6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7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8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0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9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10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11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6" fillId="4" borderId="14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5" fontId="54" fillId="4" borderId="0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13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4" borderId="14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6" fillId="4" borderId="21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0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6" fillId="4" borderId="14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54" fillId="4" borderId="24" xfId="5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0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54" fillId="4" borderId="15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16" xfId="5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4" fillId="4" borderId="18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2" xfId="5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4" fillId="4" borderId="17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3" xfId="5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6" fillId="4" borderId="25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56" fillId="4" borderId="26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27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6" fillId="4" borderId="13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50" fillId="4" borderId="0" xfId="5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4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6" fillId="4" borderId="34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13" borderId="36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13" borderId="34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6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0" xfId="5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5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4" borderId="18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4" borderId="22" xfId="5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0" xfId="5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5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4" borderId="34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4" borderId="39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40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11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4" borderId="0" xfId="5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8" fillId="4" borderId="39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15" xfId="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4" fillId="4" borderId="41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16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18" xfId="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4" fillId="4" borderId="5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22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0" fillId="4" borderId="0" xfId="5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17" xfId="5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0" fillId="4" borderId="32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23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34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4" fontId="54" fillId="4" borderId="41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4" borderId="42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43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44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54" fillId="4" borderId="5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50" fillId="4" borderId="32" xfId="5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54" fillId="4" borderId="23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32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45" xfId="5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46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4" borderId="47" xfId="5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4" borderId="47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4" borderId="47" xfId="5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9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4" borderId="48" xfId="5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4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4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4" fontId="34" fillId="0" borderId="0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2" fontId="34" fillId="0" borderId="0" xfId="4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0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4" fontId="34" fillId="0" borderId="0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4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" xfId="5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" xfId="5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2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7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1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7" fontId="60" fillId="1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6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6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5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2" fillId="4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2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2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2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3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5" fontId="3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2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32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32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3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5" fontId="32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32" fillId="0" borderId="0" xfId="4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3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0" borderId="0" xfId="5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1" fillId="0" borderId="0" xfId="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1" fillId="0" borderId="0" xfId="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1" fillId="0" borderId="0" xfId="5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8" fontId="61" fillId="0" borderId="0" xfId="5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6" fontId="3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2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3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4" borderId="1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3" fontId="3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2" fontId="3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1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34" fillId="4" borderId="1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1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6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6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9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9" fillId="1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9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6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6" borderId="6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3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3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1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2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3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9" fillId="16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9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4" fontId="9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84" fontId="63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4" fontId="63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8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4" fontId="9" fillId="16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84" fontId="63" fillId="16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3" fillId="16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16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9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0" fillId="1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16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5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7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7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6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9" fillId="0" borderId="1" xfId="4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9" fillId="0" borderId="1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9" fillId="0" borderId="1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1" fillId="0" borderId="41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1" fillId="0" borderId="5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1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1" fillId="0" borderId="5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9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4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1" xfId="4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9" fillId="0" borderId="1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5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4" borderId="1" xfId="4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9" fillId="4" borderId="1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4" borderId="1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4" borderId="5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4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4" borderId="1" xfId="4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0" fillId="0" borderId="1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5" xfId="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5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32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41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48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6" fontId="70" fillId="0" borderId="1" xfId="4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29" xfId="4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1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4" fontId="84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2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8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5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8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86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7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2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4" fontId="83" fillId="2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2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83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6" fontId="52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80" fontId="8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5" fillId="28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83" fillId="2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3" fillId="2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80" fontId="83" fillId="2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84" fontId="83" fillId="2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0" fontId="8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3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8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83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2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4" fontId="8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7" fillId="3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7" fillId="2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2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4" fontId="84" fillId="2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3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3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4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52" fillId="2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2" fillId="2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2" fillId="29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2" fontId="52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2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0" fontId="8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7" fillId="3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3" fillId="3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4" fontId="84" fillId="3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5" fillId="3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34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9" fillId="3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2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5" fillId="2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3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83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8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8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2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0" fontId="8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83" fillId="2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3" fillId="2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83" fillId="2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4" fontId="83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0" fontId="8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52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83" fillId="1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2" fillId="1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80" fontId="83" fillId="1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8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3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8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4" fontId="8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84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83" fillId="2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3" fillId="2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52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3" fillId="2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2" fillId="2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52" fillId="2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83" fillId="2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3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84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2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2" fillId="29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52" fillId="2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8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3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4" fontId="84" fillId="3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5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5" fillId="2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5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1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2" fillId="4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92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2" fillId="4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8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7" fillId="36" borderId="42" xfId="4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3" fillId="36" borderId="43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3" fillId="36" borderId="62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92" fontId="54" fillId="36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6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6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3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6" borderId="34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4" fillId="3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63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33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1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4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0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5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64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38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18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47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65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66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7" fillId="36" borderId="67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60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55" fillId="4" borderId="35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50" fillId="3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63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64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65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3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6" borderId="68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36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4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4" borderId="15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37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46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63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0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18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38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47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64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18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17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35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48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36" borderId="70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3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41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5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32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7" fillId="36" borderId="67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4" borderId="63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33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4" borderId="4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71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9" fontId="50" fillId="4" borderId="5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72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4" borderId="64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4" borderId="47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50" fillId="4" borderId="73" xfId="4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4" borderId="65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66" xfId="4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4" borderId="5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74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36" borderId="36" xfId="4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4" borderId="1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41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1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18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22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36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6" borderId="27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9" fontId="50" fillId="0" borderId="30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5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36" borderId="36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4" borderId="75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65" fillId="4" borderId="37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35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0" borderId="48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36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36" borderId="0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36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50" fillId="0" borderId="1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2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3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41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0" borderId="71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5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4" borderId="5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0" borderId="73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7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4" borderId="32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0" fillId="0" borderId="77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0" borderId="26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37" borderId="34" xfId="4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54" fillId="37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65" fillId="4" borderId="19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22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0" borderId="64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0" borderId="65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0" fontId="65" fillId="4" borderId="31" xfId="4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9" fontId="50" fillId="4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50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4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38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54" fillId="4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54" fillId="4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4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6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34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4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6" fontId="34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94" fillId="3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4" fillId="3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9" fontId="94" fillId="3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72" fillId="0" borderId="0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72" fillId="3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72" fillId="0" borderId="0" xfId="4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72" fillId="4" borderId="0" xfId="4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9" fontId="50" fillId="4" borderId="47" xfId="45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1"/>
    <cellStyle name="Результат" xfId="22"/>
    <cellStyle name="20% — акцент1" xfId="23"/>
    <cellStyle name="20% — акцент2" xfId="24"/>
    <cellStyle name="20% — акцент3" xfId="25"/>
    <cellStyle name="20% — акцент4" xfId="26"/>
    <cellStyle name="20% — акцент5" xfId="27"/>
    <cellStyle name="20% — акцент6" xfId="28"/>
    <cellStyle name="40% — акцент1" xfId="29"/>
    <cellStyle name="40% — акцент2" xfId="30"/>
    <cellStyle name="40% — акцент3" xfId="31"/>
    <cellStyle name="40% — акцент4" xfId="32"/>
    <cellStyle name="40% — акцент5" xfId="33"/>
    <cellStyle name="40% — акцент6" xfId="34"/>
    <cellStyle name="60% — акцент1" xfId="35"/>
    <cellStyle name="60% — акцент2" xfId="36"/>
    <cellStyle name="60% — акцент3" xfId="37"/>
    <cellStyle name="60% — акцент4" xfId="38"/>
    <cellStyle name="60% — акцент5" xfId="39"/>
    <cellStyle name="60% — акцент6" xfId="40"/>
    <cellStyle name="Normal 3" xfId="41"/>
    <cellStyle name="Безымянный1" xfId="42"/>
    <cellStyle name="Гиперссылка 2" xfId="43"/>
    <cellStyle name="Денежный 2" xfId="44"/>
    <cellStyle name="Обычный 2" xfId="45"/>
    <cellStyle name="Обычный 2 2" xfId="46"/>
    <cellStyle name="Обычный 2_Комплекты электрики Amigo" xfId="47"/>
    <cellStyle name="Обычный 3" xfId="48"/>
    <cellStyle name="Обычный 4" xfId="49"/>
    <cellStyle name="Обычный_Прайс рублевый  Амилюкс от 28.03.2007" xfId="50"/>
    <cellStyle name="Обычный_Прайс ткань рол-шторы рубли с 18.02.2008" xfId="51"/>
    <cellStyle name="Обычный_Прайсы Феникс ГЖ 25-16 рубли" xfId="52"/>
    <cellStyle name="ПРАЙС" xfId="53"/>
    <cellStyle name="Результат2" xfId="54"/>
    <cellStyle name="一般_Sheet1" xfId="55"/>
    <cellStyle name="Excel Built-in Bad" xfId="56"/>
    <cellStyle name="Excel Built-in Explanatory Text" xfId="57"/>
    <cellStyle name="*unknown*" xfId="20" builtinId="8"/>
  </cellStyles>
  <dxfs count="1">
    <dxf>
      <font>
        <name val="Arial"/>
        <charset val="204"/>
        <family val="2"/>
        <b val="0"/>
        <i val="0"/>
        <color rgb="FF000000"/>
        <sz val="18"/>
      </font>
    </dxf>
  </dxf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9C0006"/>
      <rgbColor rgb="FFFFF5CE"/>
      <rgbColor rgb="FF000080"/>
      <rgbColor rgb="FF77933C"/>
      <rgbColor rgb="FF800080"/>
      <rgbColor rgb="FF00B050"/>
      <rgbColor rgb="FFC0C0C0"/>
      <rgbColor rgb="FF808080"/>
      <rgbColor rgb="FFB9CDE5"/>
      <rgbColor rgb="FFDDDDDD"/>
      <rgbColor rgb="FFFFFFCC"/>
      <rgbColor rgb="FFCCFFFF"/>
      <rgbColor rgb="FF660066"/>
      <rgbColor rgb="FFCCCCCC"/>
      <rgbColor rgb="FF0070C0"/>
      <rgbColor rgb="FFCCCCFF"/>
      <rgbColor rgb="FF000080"/>
      <rgbColor rgb="FFFF00FF"/>
      <rgbColor rgb="FFFFBF00"/>
      <rgbColor rgb="FFC6D9F1"/>
      <rgbColor rgb="FF800080"/>
      <rgbColor rgb="FF800000"/>
      <rgbColor rgb="FFD7E4BD"/>
      <rgbColor rgb="FF0000FF"/>
      <rgbColor rgb="FF00B0F0"/>
      <rgbColor rgb="FFEEEEEE"/>
      <rgbColor rgb="FFCCFFCC"/>
      <rgbColor rgb="FFFFFF99"/>
      <rgbColor rgb="FF99CCFF"/>
      <rgbColor rgb="FFFFC7CE"/>
      <rgbColor rgb="FFB3A2C7"/>
      <rgbColor rgb="FFFFCC99"/>
      <rgbColor rgb="FF2A6099"/>
      <rgbColor rgb="FF33CCCC"/>
      <rgbColor rgb="FF92D050"/>
      <rgbColor rgb="FFFFC000"/>
      <rgbColor rgb="FFFF9900"/>
      <rgbColor rgb="FFE46C0A"/>
      <rgbColor rgb="FF604A7B"/>
      <rgbColor rgb="FFBFBFBF"/>
      <rgbColor rgb="FF003366"/>
      <rgbColor rgb="FF339966"/>
      <rgbColor rgb="FF003300"/>
      <rgbColor rgb="FF333300"/>
      <rgbColor rgb="FFFDEADA"/>
      <rgbColor rgb="FFE6E0EC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externalLink" Target="externalLinks/externalLink1.xml"/><Relationship Id="rId2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31.png"/><Relationship Id="rId2" Type="http://schemas.openxmlformats.org/officeDocument/2006/relationships/image" Target="../media/image1032.png"/><Relationship Id="rId3" Type="http://schemas.openxmlformats.org/officeDocument/2006/relationships/image" Target="../media/image1033.png"/><Relationship Id="rId4" Type="http://schemas.openxmlformats.org/officeDocument/2006/relationships/image" Target="../media/image1034.png"/><Relationship Id="rId5" Type="http://schemas.openxmlformats.org/officeDocument/2006/relationships/image" Target="../media/image1035.png"/><Relationship Id="rId6" Type="http://schemas.openxmlformats.org/officeDocument/2006/relationships/image" Target="../media/image1036.png"/><Relationship Id="rId7" Type="http://schemas.openxmlformats.org/officeDocument/2006/relationships/image" Target="../media/image1037.png"/><Relationship Id="rId8" Type="http://schemas.openxmlformats.org/officeDocument/2006/relationships/image" Target="../media/image1038.jpeg"/><Relationship Id="rId9" Type="http://schemas.openxmlformats.org/officeDocument/2006/relationships/image" Target="../media/image1039.jpeg"/><Relationship Id="rId10" Type="http://schemas.openxmlformats.org/officeDocument/2006/relationships/image" Target="../media/image1040.png"/><Relationship Id="rId11" Type="http://schemas.openxmlformats.org/officeDocument/2006/relationships/image" Target="../media/image1041.jpeg"/><Relationship Id="rId12" Type="http://schemas.openxmlformats.org/officeDocument/2006/relationships/image" Target="../media/image1042.jpeg"/><Relationship Id="rId13" Type="http://schemas.openxmlformats.org/officeDocument/2006/relationships/image" Target="../media/image1043.png"/><Relationship Id="rId14" Type="http://schemas.openxmlformats.org/officeDocument/2006/relationships/image" Target="../media/image1044.jpeg"/><Relationship Id="rId15" Type="http://schemas.openxmlformats.org/officeDocument/2006/relationships/image" Target="../media/image1045.wmf"/><Relationship Id="rId16" Type="http://schemas.openxmlformats.org/officeDocument/2006/relationships/image" Target="../media/image1046.jpeg"/><Relationship Id="rId17" Type="http://schemas.openxmlformats.org/officeDocument/2006/relationships/image" Target="../media/image1047.png"/><Relationship Id="rId18" Type="http://schemas.openxmlformats.org/officeDocument/2006/relationships/image" Target="../media/image1048.png"/><Relationship Id="rId19" Type="http://schemas.openxmlformats.org/officeDocument/2006/relationships/image" Target="../media/image1049.png"/><Relationship Id="rId20" Type="http://schemas.openxmlformats.org/officeDocument/2006/relationships/image" Target="../media/image1050.wmf"/><Relationship Id="rId21" Type="http://schemas.openxmlformats.org/officeDocument/2006/relationships/image" Target="../media/image1051.png"/><Relationship Id="rId22" Type="http://schemas.openxmlformats.org/officeDocument/2006/relationships/image" Target="../media/image1052.png"/><Relationship Id="rId23" Type="http://schemas.openxmlformats.org/officeDocument/2006/relationships/image" Target="../media/image1053.png"/><Relationship Id="rId24" Type="http://schemas.openxmlformats.org/officeDocument/2006/relationships/image" Target="../media/image1054.png"/><Relationship Id="rId25" Type="http://schemas.openxmlformats.org/officeDocument/2006/relationships/image" Target="../media/image1055.png"/><Relationship Id="rId26" Type="http://schemas.openxmlformats.org/officeDocument/2006/relationships/image" Target="../media/image105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57.png"/><Relationship Id="rId2" Type="http://schemas.openxmlformats.org/officeDocument/2006/relationships/image" Target="../media/image105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162360</xdr:colOff>
      <xdr:row>143</xdr:row>
      <xdr:rowOff>102600</xdr:rowOff>
    </xdr:from>
    <xdr:to>
      <xdr:col>0</xdr:col>
      <xdr:colOff>413640</xdr:colOff>
      <xdr:row>144</xdr:row>
      <xdr:rowOff>75240</xdr:rowOff>
    </xdr:to>
    <xdr:pic>
      <xdr:nvPicPr>
        <xdr:cNvPr id="0" name="Picture 81" descr=""/>
        <xdr:cNvPicPr/>
      </xdr:nvPicPr>
      <xdr:blipFill>
        <a:blip r:embed="rId1"/>
        <a:stretch/>
      </xdr:blipFill>
      <xdr:spPr>
        <a:xfrm>
          <a:off x="162360" y="24851520"/>
          <a:ext cx="251280" cy="135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162360</xdr:colOff>
      <xdr:row>143</xdr:row>
      <xdr:rowOff>102600</xdr:rowOff>
    </xdr:from>
    <xdr:to>
      <xdr:col>0</xdr:col>
      <xdr:colOff>413640</xdr:colOff>
      <xdr:row>145</xdr:row>
      <xdr:rowOff>20880</xdr:rowOff>
    </xdr:to>
    <xdr:pic>
      <xdr:nvPicPr>
        <xdr:cNvPr id="1" name="Picture 81" descr=""/>
        <xdr:cNvPicPr/>
      </xdr:nvPicPr>
      <xdr:blipFill>
        <a:blip r:embed="rId2"/>
        <a:stretch/>
      </xdr:blipFill>
      <xdr:spPr>
        <a:xfrm>
          <a:off x="162360" y="24851520"/>
          <a:ext cx="251280" cy="176040"/>
        </a:xfrm>
        <a:prstGeom prst="rect">
          <a:avLst/>
        </a:prstGeom>
        <a:ln w="9360">
          <a:noFill/>
        </a:ln>
      </xdr:spPr>
    </xdr:pic>
    <xdr:clientData/>
  </xdr:twoCellAnchor>
  <xdr:twoCellAnchor editAs="twoCell">
    <xdr:from>
      <xdr:col>0</xdr:col>
      <xdr:colOff>104760</xdr:colOff>
      <xdr:row>3</xdr:row>
      <xdr:rowOff>173880</xdr:rowOff>
    </xdr:from>
    <xdr:to>
      <xdr:col>1</xdr:col>
      <xdr:colOff>499320</xdr:colOff>
      <xdr:row>6</xdr:row>
      <xdr:rowOff>128880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104760" y="699480"/>
          <a:ext cx="1068840" cy="496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171720</xdr:rowOff>
    </xdr:from>
    <xdr:to>
      <xdr:col>1</xdr:col>
      <xdr:colOff>254880</xdr:colOff>
      <xdr:row>18</xdr:row>
      <xdr:rowOff>390960</xdr:rowOff>
    </xdr:to>
    <xdr:pic>
      <xdr:nvPicPr>
        <xdr:cNvPr id="3" name="Image 5" descr="SY designed for silence W.png"/>
        <xdr:cNvPicPr/>
      </xdr:nvPicPr>
      <xdr:blipFill>
        <a:blip r:embed="rId4"/>
        <a:stretch/>
      </xdr:blipFill>
      <xdr:spPr>
        <a:xfrm>
          <a:off x="0" y="3036600"/>
          <a:ext cx="929160" cy="40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200160</xdr:colOff>
      <xdr:row>0</xdr:row>
      <xdr:rowOff>161640</xdr:rowOff>
    </xdr:from>
    <xdr:to>
      <xdr:col>2</xdr:col>
      <xdr:colOff>711000</xdr:colOff>
      <xdr:row>4</xdr:row>
      <xdr:rowOff>29880</xdr:rowOff>
    </xdr:to>
    <xdr:pic>
      <xdr:nvPicPr>
        <xdr:cNvPr id="4" name="Picture 1" descr=""/>
        <xdr:cNvPicPr/>
      </xdr:nvPicPr>
      <xdr:blipFill>
        <a:blip r:embed="rId5"/>
        <a:stretch/>
      </xdr:blipFill>
      <xdr:spPr>
        <a:xfrm>
          <a:off x="200160" y="161640"/>
          <a:ext cx="2125440" cy="569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544320</xdr:colOff>
      <xdr:row>42</xdr:row>
      <xdr:rowOff>39240</xdr:rowOff>
    </xdr:from>
    <xdr:to>
      <xdr:col>1</xdr:col>
      <xdr:colOff>289080</xdr:colOff>
      <xdr:row>46</xdr:row>
      <xdr:rowOff>138240</xdr:rowOff>
    </xdr:to>
    <xdr:pic>
      <xdr:nvPicPr>
        <xdr:cNvPr id="5" name="Picture 15" descr=""/>
        <xdr:cNvPicPr/>
      </xdr:nvPicPr>
      <xdr:blipFill>
        <a:blip r:embed="rId6"/>
        <a:stretch/>
      </xdr:blipFill>
      <xdr:spPr>
        <a:xfrm rot="10800000">
          <a:off x="125280" y="6861240"/>
          <a:ext cx="419040" cy="762120"/>
        </a:xfrm>
        <a:prstGeom prst="rect">
          <a:avLst/>
        </a:prstGeom>
        <a:ln w="9360">
          <a:noFill/>
        </a:ln>
      </xdr:spPr>
    </xdr:pic>
    <xdr:clientData/>
  </xdr:twoCellAnchor>
  <xdr:twoCellAnchor editAs="twoCell">
    <xdr:from>
      <xdr:col>0</xdr:col>
      <xdr:colOff>514440</xdr:colOff>
      <xdr:row>80</xdr:row>
      <xdr:rowOff>90360</xdr:rowOff>
    </xdr:from>
    <xdr:to>
      <xdr:col>1</xdr:col>
      <xdr:colOff>259200</xdr:colOff>
      <xdr:row>85</xdr:row>
      <xdr:rowOff>141120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 rot="10800000">
          <a:off x="95400" y="13212360"/>
          <a:ext cx="419040" cy="876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43200</xdr:colOff>
      <xdr:row>31</xdr:row>
      <xdr:rowOff>235440</xdr:rowOff>
    </xdr:from>
    <xdr:to>
      <xdr:col>0</xdr:col>
      <xdr:colOff>565560</xdr:colOff>
      <xdr:row>35</xdr:row>
      <xdr:rowOff>27720</xdr:rowOff>
    </xdr:to>
    <xdr:pic>
      <xdr:nvPicPr>
        <xdr:cNvPr id="7" name="Picture 2" descr=""/>
        <xdr:cNvPicPr/>
      </xdr:nvPicPr>
      <xdr:blipFill>
        <a:blip r:embed="rId8"/>
        <a:stretch/>
      </xdr:blipFill>
      <xdr:spPr>
        <a:xfrm>
          <a:off x="43200" y="6014520"/>
          <a:ext cx="522360" cy="44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25920</xdr:colOff>
      <xdr:row>69</xdr:row>
      <xdr:rowOff>90000</xdr:rowOff>
    </xdr:from>
    <xdr:to>
      <xdr:col>0</xdr:col>
      <xdr:colOff>596880</xdr:colOff>
      <xdr:row>72</xdr:row>
      <xdr:rowOff>48960</xdr:rowOff>
    </xdr:to>
    <xdr:pic>
      <xdr:nvPicPr>
        <xdr:cNvPr id="8" name="Picture 5" descr=""/>
        <xdr:cNvPicPr/>
      </xdr:nvPicPr>
      <xdr:blipFill>
        <a:blip r:embed="rId9"/>
        <a:stretch/>
      </xdr:blipFill>
      <xdr:spPr>
        <a:xfrm>
          <a:off x="25920" y="12221640"/>
          <a:ext cx="570960" cy="487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104040</xdr:colOff>
      <xdr:row>98</xdr:row>
      <xdr:rowOff>71640</xdr:rowOff>
    </xdr:from>
    <xdr:to>
      <xdr:col>0</xdr:col>
      <xdr:colOff>565560</xdr:colOff>
      <xdr:row>101</xdr:row>
      <xdr:rowOff>135720</xdr:rowOff>
    </xdr:to>
    <xdr:pic>
      <xdr:nvPicPr>
        <xdr:cNvPr id="9" name="Picture 21" descr=""/>
        <xdr:cNvPicPr/>
      </xdr:nvPicPr>
      <xdr:blipFill>
        <a:blip r:embed="rId10"/>
        <a:stretch/>
      </xdr:blipFill>
      <xdr:spPr>
        <a:xfrm>
          <a:off x="104040" y="17282520"/>
          <a:ext cx="461520" cy="525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54720</xdr:colOff>
      <xdr:row>19</xdr:row>
      <xdr:rowOff>1440</xdr:rowOff>
    </xdr:from>
    <xdr:to>
      <xdr:col>1</xdr:col>
      <xdr:colOff>336240</xdr:colOff>
      <xdr:row>21</xdr:row>
      <xdr:rowOff>135000</xdr:rowOff>
    </xdr:to>
    <xdr:pic>
      <xdr:nvPicPr>
        <xdr:cNvPr id="10" name="Рисунок 26" descr=""/>
        <xdr:cNvPicPr/>
      </xdr:nvPicPr>
      <xdr:blipFill>
        <a:blip r:embed="rId11"/>
        <a:stretch/>
      </xdr:blipFill>
      <xdr:spPr>
        <a:xfrm>
          <a:off x="54720" y="3504600"/>
          <a:ext cx="955800" cy="47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12600</xdr:colOff>
      <xdr:row>23</xdr:row>
      <xdr:rowOff>37440</xdr:rowOff>
    </xdr:from>
    <xdr:to>
      <xdr:col>0</xdr:col>
      <xdr:colOff>635760</xdr:colOff>
      <xdr:row>24</xdr:row>
      <xdr:rowOff>107280</xdr:rowOff>
    </xdr:to>
    <xdr:pic>
      <xdr:nvPicPr>
        <xdr:cNvPr id="11" name="Picture 30" descr=""/>
        <xdr:cNvPicPr/>
      </xdr:nvPicPr>
      <xdr:blipFill>
        <a:blip r:embed="rId12"/>
        <a:srcRect l="4695" t="6263" r="3965" b="33194"/>
        <a:stretch/>
      </xdr:blipFill>
      <xdr:spPr>
        <a:xfrm>
          <a:off x="12600" y="4244040"/>
          <a:ext cx="623160" cy="2325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137520</xdr:colOff>
      <xdr:row>27</xdr:row>
      <xdr:rowOff>118080</xdr:rowOff>
    </xdr:from>
    <xdr:to>
      <xdr:col>1</xdr:col>
      <xdr:colOff>287640</xdr:colOff>
      <xdr:row>31</xdr:row>
      <xdr:rowOff>92520</xdr:rowOff>
    </xdr:to>
    <xdr:pic>
      <xdr:nvPicPr>
        <xdr:cNvPr id="12" name="Picture 15" descr=""/>
        <xdr:cNvPicPr/>
      </xdr:nvPicPr>
      <xdr:blipFill>
        <a:blip r:embed="rId13"/>
        <a:stretch/>
      </xdr:blipFill>
      <xdr:spPr>
        <a:xfrm>
          <a:off x="137520" y="5118480"/>
          <a:ext cx="824400" cy="7531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25920</xdr:colOff>
      <xdr:row>69</xdr:row>
      <xdr:rowOff>90000</xdr:rowOff>
    </xdr:from>
    <xdr:to>
      <xdr:col>0</xdr:col>
      <xdr:colOff>596880</xdr:colOff>
      <xdr:row>72</xdr:row>
      <xdr:rowOff>49680</xdr:rowOff>
    </xdr:to>
    <xdr:pic>
      <xdr:nvPicPr>
        <xdr:cNvPr id="13" name="Picture 5" descr=""/>
        <xdr:cNvPicPr/>
      </xdr:nvPicPr>
      <xdr:blipFill>
        <a:blip r:embed="rId14"/>
        <a:stretch/>
      </xdr:blipFill>
      <xdr:spPr>
        <a:xfrm>
          <a:off x="25920" y="12221640"/>
          <a:ext cx="570960" cy="48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36000</xdr:colOff>
      <xdr:row>108</xdr:row>
      <xdr:rowOff>106200</xdr:rowOff>
    </xdr:from>
    <xdr:to>
      <xdr:col>0</xdr:col>
      <xdr:colOff>588600</xdr:colOff>
      <xdr:row>109</xdr:row>
      <xdr:rowOff>203760</xdr:rowOff>
    </xdr:to>
    <xdr:pic>
      <xdr:nvPicPr>
        <xdr:cNvPr id="14" name="Picture 31" descr=""/>
        <xdr:cNvPicPr/>
      </xdr:nvPicPr>
      <xdr:blipFill>
        <a:blip r:embed="rId15"/>
        <a:srcRect l="7260" t="29548" r="7950" b="35992"/>
        <a:stretch/>
      </xdr:blipFill>
      <xdr:spPr>
        <a:xfrm>
          <a:off x="36000" y="19153440"/>
          <a:ext cx="552600" cy="27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60480</xdr:colOff>
      <xdr:row>110</xdr:row>
      <xdr:rowOff>146520</xdr:rowOff>
    </xdr:from>
    <xdr:to>
      <xdr:col>0</xdr:col>
      <xdr:colOff>565560</xdr:colOff>
      <xdr:row>113</xdr:row>
      <xdr:rowOff>26280</xdr:rowOff>
    </xdr:to>
    <xdr:pic>
      <xdr:nvPicPr>
        <xdr:cNvPr id="15" name="Рисунок 3" descr=""/>
        <xdr:cNvPicPr/>
      </xdr:nvPicPr>
      <xdr:blipFill>
        <a:blip r:embed="rId16"/>
        <a:stretch/>
      </xdr:blipFill>
      <xdr:spPr>
        <a:xfrm>
          <a:off x="60480" y="19582920"/>
          <a:ext cx="505080" cy="380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178920</xdr:colOff>
      <xdr:row>143</xdr:row>
      <xdr:rowOff>102600</xdr:rowOff>
    </xdr:from>
    <xdr:to>
      <xdr:col>0</xdr:col>
      <xdr:colOff>444600</xdr:colOff>
      <xdr:row>145</xdr:row>
      <xdr:rowOff>61200</xdr:rowOff>
    </xdr:to>
    <xdr:pic>
      <xdr:nvPicPr>
        <xdr:cNvPr id="16" name="Picture 101" descr=""/>
        <xdr:cNvPicPr/>
      </xdr:nvPicPr>
      <xdr:blipFill>
        <a:blip r:embed="rId17"/>
        <a:srcRect l="15783" t="0" r="15783" b="0"/>
        <a:stretch/>
      </xdr:blipFill>
      <xdr:spPr>
        <a:xfrm>
          <a:off x="178920" y="24851520"/>
          <a:ext cx="265680" cy="216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178920</xdr:colOff>
      <xdr:row>143</xdr:row>
      <xdr:rowOff>102600</xdr:rowOff>
    </xdr:from>
    <xdr:to>
      <xdr:col>0</xdr:col>
      <xdr:colOff>444600</xdr:colOff>
      <xdr:row>144</xdr:row>
      <xdr:rowOff>38520</xdr:rowOff>
    </xdr:to>
    <xdr:pic>
      <xdr:nvPicPr>
        <xdr:cNvPr id="17" name="Picture 101" descr=""/>
        <xdr:cNvPicPr/>
      </xdr:nvPicPr>
      <xdr:blipFill>
        <a:blip r:embed="rId18"/>
        <a:srcRect l="15783" t="0" r="15783" b="0"/>
        <a:stretch/>
      </xdr:blipFill>
      <xdr:spPr>
        <a:xfrm>
          <a:off x="178920" y="24851520"/>
          <a:ext cx="265680" cy="98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104040</xdr:colOff>
      <xdr:row>145</xdr:row>
      <xdr:rowOff>19080</xdr:rowOff>
    </xdr:from>
    <xdr:to>
      <xdr:col>0</xdr:col>
      <xdr:colOff>604080</xdr:colOff>
      <xdr:row>145</xdr:row>
      <xdr:rowOff>370080</xdr:rowOff>
    </xdr:to>
    <xdr:pic>
      <xdr:nvPicPr>
        <xdr:cNvPr id="18" name="Picture 2" descr=""/>
        <xdr:cNvPicPr/>
      </xdr:nvPicPr>
      <xdr:blipFill>
        <a:blip r:embed="rId19"/>
        <a:stretch/>
      </xdr:blipFill>
      <xdr:spPr>
        <a:xfrm>
          <a:off x="104040" y="25025760"/>
          <a:ext cx="500040" cy="35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25920</xdr:colOff>
      <xdr:row>155</xdr:row>
      <xdr:rowOff>20520</xdr:rowOff>
    </xdr:from>
    <xdr:to>
      <xdr:col>0</xdr:col>
      <xdr:colOff>604080</xdr:colOff>
      <xdr:row>155</xdr:row>
      <xdr:rowOff>152640</xdr:rowOff>
    </xdr:to>
    <xdr:pic>
      <xdr:nvPicPr>
        <xdr:cNvPr id="19" name="Рисунок 27" descr=""/>
        <xdr:cNvPicPr/>
      </xdr:nvPicPr>
      <xdr:blipFill>
        <a:blip r:embed="rId20"/>
        <a:stretch/>
      </xdr:blipFill>
      <xdr:spPr>
        <a:xfrm>
          <a:off x="25920" y="27196920"/>
          <a:ext cx="578160" cy="13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164520</xdr:colOff>
      <xdr:row>155</xdr:row>
      <xdr:rowOff>232200</xdr:rowOff>
    </xdr:from>
    <xdr:to>
      <xdr:col>0</xdr:col>
      <xdr:colOff>527760</xdr:colOff>
      <xdr:row>157</xdr:row>
      <xdr:rowOff>181080</xdr:rowOff>
    </xdr:to>
    <xdr:pic>
      <xdr:nvPicPr>
        <xdr:cNvPr id="20" name="Picture 15" descr=""/>
        <xdr:cNvPicPr/>
      </xdr:nvPicPr>
      <xdr:blipFill>
        <a:blip r:embed="rId21"/>
        <a:stretch/>
      </xdr:blipFill>
      <xdr:spPr>
        <a:xfrm>
          <a:off x="164520" y="27408600"/>
          <a:ext cx="363240" cy="40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69120</xdr:colOff>
      <xdr:row>173</xdr:row>
      <xdr:rowOff>87480</xdr:rowOff>
    </xdr:from>
    <xdr:to>
      <xdr:col>0</xdr:col>
      <xdr:colOff>603720</xdr:colOff>
      <xdr:row>175</xdr:row>
      <xdr:rowOff>141120</xdr:rowOff>
    </xdr:to>
    <xdr:pic>
      <xdr:nvPicPr>
        <xdr:cNvPr id="21" name="Picture 19" descr=""/>
        <xdr:cNvPicPr/>
      </xdr:nvPicPr>
      <xdr:blipFill>
        <a:blip r:embed="rId22"/>
        <a:stretch/>
      </xdr:blipFill>
      <xdr:spPr>
        <a:xfrm>
          <a:off x="69120" y="30799800"/>
          <a:ext cx="534600" cy="49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60480</xdr:colOff>
      <xdr:row>182</xdr:row>
      <xdr:rowOff>138960</xdr:rowOff>
    </xdr:from>
    <xdr:to>
      <xdr:col>0</xdr:col>
      <xdr:colOff>603720</xdr:colOff>
      <xdr:row>185</xdr:row>
      <xdr:rowOff>21240</xdr:rowOff>
    </xdr:to>
    <xdr:pic>
      <xdr:nvPicPr>
        <xdr:cNvPr id="22" name="Picture 7" descr=""/>
        <xdr:cNvPicPr/>
      </xdr:nvPicPr>
      <xdr:blipFill>
        <a:blip r:embed="rId23"/>
        <a:stretch/>
      </xdr:blipFill>
      <xdr:spPr>
        <a:xfrm>
          <a:off x="60480" y="32558760"/>
          <a:ext cx="543240" cy="5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77760</xdr:colOff>
      <xdr:row>188</xdr:row>
      <xdr:rowOff>113040</xdr:rowOff>
    </xdr:from>
    <xdr:to>
      <xdr:col>0</xdr:col>
      <xdr:colOff>603720</xdr:colOff>
      <xdr:row>190</xdr:row>
      <xdr:rowOff>249120</xdr:rowOff>
    </xdr:to>
    <xdr:pic>
      <xdr:nvPicPr>
        <xdr:cNvPr id="23" name="Picture 1" descr=""/>
        <xdr:cNvPicPr/>
      </xdr:nvPicPr>
      <xdr:blipFill>
        <a:blip r:embed="rId24"/>
        <a:stretch/>
      </xdr:blipFill>
      <xdr:spPr>
        <a:xfrm>
          <a:off x="77760" y="33683400"/>
          <a:ext cx="525960" cy="5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77760</xdr:colOff>
      <xdr:row>190</xdr:row>
      <xdr:rowOff>127440</xdr:rowOff>
    </xdr:from>
    <xdr:to>
      <xdr:col>0</xdr:col>
      <xdr:colOff>596880</xdr:colOff>
      <xdr:row>192</xdr:row>
      <xdr:rowOff>46800</xdr:rowOff>
    </xdr:to>
    <xdr:pic>
      <xdr:nvPicPr>
        <xdr:cNvPr id="24" name="Picture 18" descr=""/>
        <xdr:cNvPicPr/>
      </xdr:nvPicPr>
      <xdr:blipFill>
        <a:blip r:embed="rId25"/>
        <a:stretch/>
      </xdr:blipFill>
      <xdr:spPr>
        <a:xfrm>
          <a:off x="77760" y="34110720"/>
          <a:ext cx="519120" cy="331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95400</xdr:colOff>
      <xdr:row>196</xdr:row>
      <xdr:rowOff>189360</xdr:rowOff>
    </xdr:from>
    <xdr:to>
      <xdr:col>0</xdr:col>
      <xdr:colOff>565920</xdr:colOff>
      <xdr:row>200</xdr:row>
      <xdr:rowOff>9720</xdr:rowOff>
    </xdr:to>
    <xdr:pic>
      <xdr:nvPicPr>
        <xdr:cNvPr id="25" name="Picture 7" descr=""/>
        <xdr:cNvPicPr/>
      </xdr:nvPicPr>
      <xdr:blipFill>
        <a:blip r:embed="rId26"/>
        <a:stretch/>
      </xdr:blipFill>
      <xdr:spPr>
        <a:xfrm>
          <a:off x="95400" y="35541000"/>
          <a:ext cx="470520" cy="421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567720</xdr:colOff>
      <xdr:row>3</xdr:row>
      <xdr:rowOff>1080</xdr:rowOff>
    </xdr:from>
    <xdr:to>
      <xdr:col>9</xdr:col>
      <xdr:colOff>1058040</xdr:colOff>
      <xdr:row>4</xdr:row>
      <xdr:rowOff>198000</xdr:rowOff>
    </xdr:to>
    <xdr:pic>
      <xdr:nvPicPr>
        <xdr:cNvPr id="26" name="Picture 2" descr=""/>
        <xdr:cNvPicPr/>
      </xdr:nvPicPr>
      <xdr:blipFill>
        <a:blip r:embed="rId1"/>
        <a:stretch/>
      </xdr:blipFill>
      <xdr:spPr>
        <a:xfrm rot="10800000">
          <a:off x="14022000" y="550440"/>
          <a:ext cx="1204560" cy="477000"/>
        </a:xfrm>
        <a:prstGeom prst="rect">
          <a:avLst/>
        </a:prstGeom>
        <a:ln w="9360">
          <a:noFill/>
        </a:ln>
      </xdr:spPr>
    </xdr:pic>
    <xdr:clientData/>
  </xdr:twoCellAnchor>
  <xdr:twoCellAnchor editAs="twoCell">
    <xdr:from>
      <xdr:col>5</xdr:col>
      <xdr:colOff>247680</xdr:colOff>
      <xdr:row>1</xdr:row>
      <xdr:rowOff>47520</xdr:rowOff>
    </xdr:from>
    <xdr:to>
      <xdr:col>6</xdr:col>
      <xdr:colOff>124560</xdr:colOff>
      <xdr:row>3</xdr:row>
      <xdr:rowOff>73440</xdr:rowOff>
    </xdr:to>
    <xdr:pic>
      <xdr:nvPicPr>
        <xdr:cNvPr id="27" name="Рисунок 3" descr="logo_itog.png"/>
        <xdr:cNvPicPr/>
      </xdr:nvPicPr>
      <xdr:blipFill>
        <a:blip r:embed="rId2"/>
        <a:stretch/>
      </xdr:blipFill>
      <xdr:spPr>
        <a:xfrm>
          <a:off x="12763440" y="514080"/>
          <a:ext cx="591120" cy="58608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wnloads/&#1055;&#1088;&#1072;&#1081;&#1089;%20&#1083;&#1080;&#1089;&#1090;%20&#1082;&#1086;&#1084;&#1087;&#1083;&#1077;&#1082;&#1090;&#1072;&#1094;&#1080;&#1103;%20&#1086;&#1073;&#1097;&#1080;&#1081;%2028.12.2020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ПЛАСТИК АЛЮМИНИЙ"/>
    </sheetNames>
    <sheetDataSet>
      <sheetData sheetId="0">
        <row r="2">
          <cell r="A2" t="str">
            <v>ООО "Компания Феникс"</v>
          </cell>
        </row>
        <row r="3">
          <cell r="A3" t="str">
            <v>Санкт-Петербург , ул. Цветочная 19</v>
          </cell>
        </row>
        <row r="4">
          <cell r="A4" t="str">
            <v>Тел./факс (812)327-97-81,327-97-82, 327-66-17,371-88-50.</v>
          </cell>
        </row>
        <row r="5">
          <cell r="A5" t="str">
            <v>E-mail: Ухаров Олег ukharov@fenixspb.com, Чапаева Елена chapaeva@fenixspb.com, Голосун Татьяна golosun@fenixspb.com, Рубиш Ольга rubish@fenixspb.com</v>
          </cell>
        </row>
      </sheetData>
    </sheetDataSet>
  </externalBook>
</externalLink>
</file>

<file path=xl/tables/table1.xml><?xml version="1.0" encoding="utf-8"?>
<table xmlns="http://schemas.openxmlformats.org/spreadsheetml/2006/main" id="1" name="ГЖ_алюм_16_25_50" displayName="ГЖ_алюм_16_25_50" ref="A334:K342" headerRowCount="1" totalsRowCount="0" totalsRowShown="0">
  <tableColumns count="11">
    <tableColumn id="1" name="Столбец1"/>
    <tableColumn id="2" name="Горизонтальные жалюзи алюминий (16/25/50 мм)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</tableColumns>
</table>
</file>

<file path=xl/tables/table2.xml><?xml version="1.0" encoding="utf-8"?>
<table xmlns="http://schemas.openxmlformats.org/spreadsheetml/2006/main" id="2" name="ГЖ_дерево_25_50" displayName="ГЖ_дерево_25_50" ref="A236:K258" headerRowCount="1" totalsRowCount="0" totalsRowShown="0">
  <tableColumns count="11">
    <tableColumn id="1" name="Столбец1"/>
    <tableColumn id="2" name="Горизонтальные жалюзи дерево / пластик (25/50 мм)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</tableColumns>
</table>
</file>

<file path=xl/tables/table3.xml><?xml version="1.0" encoding="utf-8"?>
<table xmlns="http://schemas.openxmlformats.org/spreadsheetml/2006/main" id="3" name="Пульты" displayName="Пульты" ref="A222:G233" headerRowCount="1" totalsRowCount="0" totalsRowShown="0">
  <tableColumns count="7">
    <tableColumn id="1" name="Столбец1"/>
    <tableColumn id="2" name="Пульты АККО и SOMFY"/>
    <tableColumn id="3" name="Столбец3"/>
    <tableColumn id="4" name="Столбец4"/>
    <tableColumn id="5" name="Столбец5"/>
    <tableColumn id="6" name="Столбец6"/>
    <tableColumn id="7" name="Столбец7"/>
  </tableColumns>
</table>
</file>

<file path=xl/tables/table4.xml><?xml version="1.0" encoding="utf-8"?>
<table xmlns="http://schemas.openxmlformats.org/spreadsheetml/2006/main" id="4" name="Раздвижные" displayName="Раздвижные" ref="A146:K157" headerRowCount="1" totalsRowCount="0" totalsRowShown="0">
  <tableColumns count="11">
    <tableColumn id="1" name="Столбец1"/>
    <tableColumn id="2" name="Раздвижные электрокарнизы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</tableColumns>
</table>
</file>

<file path=xl/tables/table5.xml><?xml version="1.0" encoding="utf-8"?>
<table xmlns="http://schemas.openxmlformats.org/spreadsheetml/2006/main" id="5" name="Римские_50" displayName="Римские_50" ref="A300:K308" headerRowCount="1" totalsRowCount="0" totalsRowShown="0">
  <tableColumns count="11">
    <tableColumn id="1" name="Столбец1"/>
    <tableColumn id="2" name="Римские электрокарнизы HS (50 мм)"/>
    <tableColumn id="3" name="Столбец3"/>
    <tableColumn id="4" name="Столбец4"/>
    <tableColumn id="5" name="Столбец5"/>
    <tableColumn id="6" name="Столбец6"/>
    <tableColumn id="7" name="Столбец7"/>
    <tableColumn id="8" name="Столбец8"/>
    <tableColumn id="9" name="Столбец9"/>
    <tableColumn id="10" name="Столбец10"/>
    <tableColumn id="11" name="Столбец11"/>
  </tableColumns>
</table>
</file>

<file path=xl/tables/table6.xml><?xml version="1.0" encoding="utf-8"?>
<table xmlns="http://schemas.openxmlformats.org/spreadsheetml/2006/main" id="6" name="Рулонки_мотор" displayName="Рулонки_мотор" ref="A4:C9" headerRowCount="1" totalsRowCount="0" totalsRowShown="0">
  <tableColumns count="3">
    <tableColumn id="1" name="Столбец1"/>
    <tableColumn id="2" name="Столбец2"/>
    <tableColumn id="3" name="Рулонные шторы с эл/приводом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73;&#1077;&#1079; &#1091;&#1089;&#1083;&#1091;&#1075;.ots" TargetMode="External"/><Relationship Id="rId3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89; &#1091;&#1089;&#1083;&#1091;&#1075;&#1072;&#1084;&#1080;.ots" TargetMode="External"/><Relationship Id="rId4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73;&#1077;&#1079; &#1091;&#1089;&#1083;&#1091;&#1075;.ots" TargetMode="External"/><Relationship Id="rId5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89; &#1091;&#1089;&#1083;&#1091;&#1075;&#1072;&#1084;&#1080;.ots" TargetMode="External"/><Relationship Id="rId6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73;&#1077;&#1079; &#1091;&#1089;&#1083;&#1091;&#1075;.ots" TargetMode="External"/><Relationship Id="rId7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89; &#1091;&#1089;&#1083;&#1091;&#1075;&#1072;&#1084;&#1080;.ots" TargetMode="External"/><Relationship Id="rId8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73;&#1077;&#1079; &#1091;&#1089;&#1083;&#1091;&#1075;.ots" TargetMode="External"/><Relationship Id="rId9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89; &#1091;&#1089;&#1083;&#1091;&#1075;&#1072;&#1084;&#1080;.ots" TargetMode="External"/><Relationship Id="rId10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73;&#1077;&#1079; &#1091;&#1089;&#1083;&#1091;&#1075;.ots" TargetMode="External"/><Relationship Id="rId11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89; &#1091;&#1089;&#1083;&#1091;&#1075;&#1072;&#1084;&#1080;.ots" TargetMode="External"/><Relationship Id="rId12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73;&#1077;&#1079; &#1091;&#1089;&#1083;&#1091;&#1075;.ots" TargetMode="External"/><Relationship Id="rId13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89; &#1091;&#1089;&#1083;&#1091;&#1075;&#1072;&#1084;&#1080;.ots" TargetMode="External"/><Relationship Id="rId14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73;&#1077;&#1079; &#1091;&#1089;&#1083;&#1091;&#1075;.ots" TargetMode="External"/><Relationship Id="rId15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8;&#1072;&#1079;&#1086;&#1074;&#1099;&#1093; &#1082;&#1083;&#1080;&#1077;&#1085;&#1090;&#1086;&#1074; &#1089; &#1091;&#1089;&#1083;&#1091;&#1075;&#1072;&#1084;&#1080;.ots" TargetMode="External"/><Relationship Id="rId16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73;&#1077;&#1079; &#1091;&#1089;&#1083;&#1091;&#1075;.ots" TargetMode="External"/><Relationship Id="rId17" Type="http://schemas.openxmlformats.org/officeDocument/2006/relationships/hyperlink" Target="file:///G:\.shortcut-targets-by-id\0ByXqN4mMeB9DUmExMVliQUJBYWM\SmartTone\&#1044;&#1086;&#1082;&#1091;&#1084;&#1077;&#1085;&#1090;&#1099; &#1054;&#1054;&#1054;\&#1047;&#1072;&#1082;&#1072;&#1079;&#1099;\!! &#1048;&#1053;&#1060;&#1054;&#1056;&#1052;&#1040;&#1062;&#1048;&#1071;\&#1050;&#1055; &#1073;&#1083;&#1072;&#1085;&#1082;&#1080;\&#1050;&#1055; &#1064;&#1040;&#1041;&#1051;&#1054;&#1053; &#1076;&#1083;&#1103; &#1087;&#1072;&#1088;&#1090;&#1085;&#1105;&#1088;&#1086;&#1074; &#1089; &#1091;&#1089;&#1083;&#1091;&#1075;&#1072;&#1084;&#1080;.ots" TargetMode="External"/><Relationship Id="rId18" Type="http://schemas.openxmlformats.org/officeDocument/2006/relationships/vmlDrawing" Target="../drawings/vmlDrawing1.vml"/><Relationship Id="rId19" Type="http://schemas.openxmlformats.org/officeDocument/2006/relationships/table" Target="../tables/table1.xml"/><Relationship Id="rId20" Type="http://schemas.openxmlformats.org/officeDocument/2006/relationships/table" Target="../tables/table2.xml"/><Relationship Id="rId21" Type="http://schemas.openxmlformats.org/officeDocument/2006/relationships/table" Target="../tables/table3.xml"/><Relationship Id="rId22" Type="http://schemas.openxmlformats.org/officeDocument/2006/relationships/table" Target="../tables/table4.xml"/><Relationship Id="rId23" Type="http://schemas.openxmlformats.org/officeDocument/2006/relationships/table" Target="../tables/table5.xml"/><Relationship Id="rId24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somfypro.ru/" TargetMode="External"/><Relationship Id="rId2" Type="http://schemas.openxmlformats.org/officeDocument/2006/relationships/drawing" Target="../drawings/drawing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B6" activeCellId="0" sqref="B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28.25"/>
    <col collapsed="false" customWidth="true" hidden="false" outlineLevel="0" max="2" min="2" style="2" width="17.06"/>
    <col collapsed="false" customWidth="true" hidden="false" outlineLevel="0" max="11" min="3" style="1" width="16.6"/>
    <col collapsed="false" customWidth="true" hidden="false" outlineLevel="0" max="12" min="12" style="1" width="4.51"/>
    <col collapsed="false" customWidth="true" hidden="false" outlineLevel="0" max="13" min="13" style="1" width="10.07"/>
    <col collapsed="false" customWidth="true" hidden="false" outlineLevel="0" max="64" min="14" style="1" width="11.48"/>
  </cols>
  <sheetData>
    <row r="1" s="8" customFormat="true" ht="8" hidden="false" customHeight="true" outlineLevel="0" collapsed="false">
      <c r="A1" s="3"/>
      <c r="B1" s="4" t="s">
        <v>0</v>
      </c>
      <c r="C1" s="5" t="s">
        <v>1</v>
      </c>
      <c r="D1" s="6" t="s">
        <v>2</v>
      </c>
      <c r="E1" s="1"/>
      <c r="F1" s="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AMI1" s="0"/>
      <c r="AMJ1" s="0"/>
    </row>
    <row r="2" customFormat="false" ht="10.9" hidden="false" customHeight="true" outlineLevel="0" collapsed="false">
      <c r="A2" s="3" t="s">
        <v>3</v>
      </c>
      <c r="B2" s="9" t="n">
        <v>85</v>
      </c>
      <c r="C2" s="9" t="n">
        <v>120</v>
      </c>
      <c r="D2" s="9" t="n">
        <v>12.54</v>
      </c>
      <c r="E2" s="10" t="s">
        <v>4</v>
      </c>
      <c r="F2" s="11" t="s">
        <v>5</v>
      </c>
      <c r="G2" s="10"/>
      <c r="H2" s="10" t="s">
        <v>6</v>
      </c>
      <c r="I2" s="10" t="s">
        <v>7</v>
      </c>
      <c r="J2" s="10" t="s">
        <v>8</v>
      </c>
      <c r="K2" s="10" t="s">
        <v>9</v>
      </c>
    </row>
    <row r="4" customFormat="false" ht="16.35" hidden="false" customHeight="true" outlineLevel="0" collapsed="false">
      <c r="B4" s="0"/>
      <c r="C4" s="12" t="s">
        <v>10</v>
      </c>
      <c r="D4" s="12"/>
      <c r="E4" s="12"/>
      <c r="F4" s="12"/>
      <c r="G4" s="12"/>
      <c r="H4" s="12"/>
    </row>
    <row r="5" customFormat="false" ht="8.5" hidden="false" customHeight="true" outlineLevel="0" collapsed="false">
      <c r="A5" s="13"/>
      <c r="B5" s="13" t="s">
        <v>11</v>
      </c>
    </row>
    <row r="6" customFormat="false" ht="9.9" hidden="false" customHeight="true" outlineLevel="0" collapsed="false">
      <c r="A6" s="14" t="s">
        <v>12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7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</row>
    <row r="7" customFormat="false" ht="9.9" hidden="false" customHeight="true" outlineLevel="0" collapsed="false">
      <c r="A7" s="14" t="s">
        <v>13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6"/>
      <c r="M7" s="17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</row>
    <row r="8" customFormat="false" ht="9.9" hidden="false" customHeight="true" outlineLevel="0" collapsed="false">
      <c r="A8" s="18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6"/>
      <c r="M8" s="17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</row>
    <row r="9" customFormat="false" ht="9.9" hidden="false" customHeight="true" outlineLevel="0" collapsed="false">
      <c r="A9" s="18" t="s">
        <v>15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6"/>
      <c r="M9" s="17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</row>
    <row r="10" customFormat="false" ht="9.9" hidden="false" customHeight="true" outlineLevel="0" collapsed="false">
      <c r="A10" s="16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16"/>
      <c r="M10" s="17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</row>
    <row r="11" customFormat="false" ht="9.9" hidden="false" customHeight="true" outlineLevel="0" collapsed="false">
      <c r="A11" s="21" t="s">
        <v>16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</row>
    <row r="12" customFormat="false" ht="9.9" hidden="true" customHeight="true" outlineLevel="0" collapsed="false">
      <c r="A12" s="22" t="s">
        <v>17</v>
      </c>
      <c r="B12" s="23" t="e">
        <f aca="false">VLOOKUP(B11,'данные по моторизации'!$A$5:$G$31,7,0)</f>
        <v>#N/A</v>
      </c>
      <c r="C12" s="23" t="e">
        <f aca="false">VLOOKUP(C11,'данные по моторизации'!$A$5:$G$31,7,0)</f>
        <v>#N/A</v>
      </c>
      <c r="D12" s="23" t="e">
        <f aca="false">VLOOKUP(D11,'данные по моторизации'!$A$5:$G$31,7,0)</f>
        <v>#N/A</v>
      </c>
      <c r="E12" s="23" t="e">
        <f aca="false">VLOOKUP(E11,'данные по моторизации'!$A$5:$G$31,7,0)</f>
        <v>#N/A</v>
      </c>
      <c r="F12" s="23" t="e">
        <f aca="false">VLOOKUP(F11,'данные по моторизации'!$A$5:$G$31,7,0)</f>
        <v>#N/A</v>
      </c>
      <c r="G12" s="23" t="e">
        <f aca="false">VLOOKUP(G11,'данные по моторизации'!$A$5:$G$31,7,0)</f>
        <v>#N/A</v>
      </c>
      <c r="H12" s="23" t="e">
        <f aca="false">VLOOKUP(H11,'данные по моторизации'!$A$5:$G$31,7,0)</f>
        <v>#N/A</v>
      </c>
      <c r="I12" s="23" t="e">
        <f aca="false">VLOOKUP(I11,'данные по моторизации'!$A$5:$G$31,7,0)</f>
        <v>#N/A</v>
      </c>
      <c r="J12" s="23" t="e">
        <f aca="false">VLOOKUP(J11,'данные по моторизации'!$A$5:$G$31,7,0)</f>
        <v>#N/A</v>
      </c>
      <c r="K12" s="23" t="e">
        <f aca="false">VLOOKUP(K11,'данные по моторизации'!$A$5:$G$31,7,0)</f>
        <v>#N/A</v>
      </c>
      <c r="L12" s="16"/>
      <c r="M12" s="17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</row>
    <row r="13" customFormat="false" ht="9.9" hidden="true" customHeight="true" outlineLevel="0" collapsed="false">
      <c r="A13" s="22" t="s">
        <v>18</v>
      </c>
      <c r="B13" s="24" t="e">
        <f aca="false">VLOOKUP(B11,'данные по моторизации'!$A$5:$F$30,6,0)</f>
        <v>#N/A</v>
      </c>
      <c r="C13" s="24" t="e">
        <f aca="false">VLOOKUP(C11,'данные по моторизации'!$A$5:$F$30,6,0)</f>
        <v>#N/A</v>
      </c>
      <c r="D13" s="24" t="e">
        <f aca="false">VLOOKUP(D11,'данные по моторизации'!$A$5:$F$30,6,0)</f>
        <v>#N/A</v>
      </c>
      <c r="E13" s="24" t="e">
        <f aca="false">VLOOKUP(E11,'данные по моторизации'!$A$5:$F$30,6,0)</f>
        <v>#N/A</v>
      </c>
      <c r="F13" s="24" t="e">
        <f aca="false">VLOOKUP(F11,'данные по моторизации'!$A$5:$F$30,6,0)</f>
        <v>#N/A</v>
      </c>
      <c r="G13" s="24" t="e">
        <f aca="false">VLOOKUP(G11,'данные по моторизации'!$A$5:$F$30,6,0)</f>
        <v>#N/A</v>
      </c>
      <c r="H13" s="24" t="e">
        <f aca="false">VLOOKUP(H11,'данные по моторизации'!$A$5:$F$30,6,0)</f>
        <v>#N/A</v>
      </c>
      <c r="I13" s="24" t="e">
        <f aca="false">VLOOKUP(I11,'данные по моторизации'!$A$5:$F$30,6,0)</f>
        <v>#N/A</v>
      </c>
      <c r="J13" s="24" t="e">
        <f aca="false">VLOOKUP(J11,'данные по моторизации'!$A$5:$F$30,6,0)</f>
        <v>#N/A</v>
      </c>
      <c r="K13" s="24" t="e">
        <f aca="false">VLOOKUP(K11,'данные по моторизации'!$A$5:$F$30,6,0)</f>
        <v>#N/A</v>
      </c>
      <c r="L13" s="16"/>
      <c r="M13" s="25" t="s">
        <v>4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customFormat="false" ht="9.9" hidden="false" customHeight="true" outlineLevel="0" collapsed="false">
      <c r="A14" s="14" t="s">
        <v>19</v>
      </c>
      <c r="B14" s="26" t="e">
        <f aca="false">VLOOKUP(B11,'данные по моторизации'!$A$5:$B$30,2,0)</f>
        <v>#N/A</v>
      </c>
      <c r="C14" s="26" t="e">
        <f aca="false">VLOOKUP(C11,'данные по моторизации'!$A$5:$B$30,2,0)</f>
        <v>#N/A</v>
      </c>
      <c r="D14" s="26" t="e">
        <f aca="false">VLOOKUP(D11,'данные по моторизации'!$A$5:$B$30,2,0)</f>
        <v>#N/A</v>
      </c>
      <c r="E14" s="26" t="e">
        <f aca="false">VLOOKUP(E11,'данные по моторизации'!$A$5:$B$30,2,0)</f>
        <v>#N/A</v>
      </c>
      <c r="F14" s="26" t="e">
        <f aca="false">VLOOKUP(F11,'данные по моторизации'!$A$5:$B$30,2,0)</f>
        <v>#N/A</v>
      </c>
      <c r="G14" s="26" t="e">
        <f aca="false">VLOOKUP(G11,'данные по моторизации'!$A$5:$B$30,2,0)</f>
        <v>#N/A</v>
      </c>
      <c r="H14" s="26" t="e">
        <f aca="false">VLOOKUP(H11,'данные по моторизации'!$A$5:$B$30,2,0)</f>
        <v>#N/A</v>
      </c>
      <c r="I14" s="26" t="e">
        <f aca="false">VLOOKUP(I11,'данные по моторизации'!$A$5:$B$30,2,0)</f>
        <v>#N/A</v>
      </c>
      <c r="J14" s="26" t="e">
        <f aca="false">VLOOKUP(J11,'данные по моторизации'!$A$5:$B$30,2,0)</f>
        <v>#N/A</v>
      </c>
      <c r="K14" s="26" t="e">
        <f aca="false">VLOOKUP(K11,'данные по моторизации'!$A$5:$B$30,2,0)</f>
        <v>#N/A</v>
      </c>
      <c r="L14" s="16"/>
      <c r="M14" s="1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</row>
    <row r="15" customFormat="false" ht="9.9" hidden="false" customHeight="true" outlineLevel="0" collapsed="false">
      <c r="A15" s="14" t="s">
        <v>20</v>
      </c>
      <c r="B15" s="26" t="e">
        <f aca="false">VLOOKUP(B17,'Рулонки с ЭП расчёт систем и оп'!$F$7:$S$1075,14,0)</f>
        <v>#N/A</v>
      </c>
      <c r="C15" s="26" t="e">
        <f aca="false">VLOOKUP(C17,'Рулонки с ЭП расчёт систем и оп'!$F$7:$S$1075,14,0)</f>
        <v>#N/A</v>
      </c>
      <c r="D15" s="26" t="e">
        <f aca="false">VLOOKUP(D17,'Рулонки с ЭП расчёт систем и оп'!$F$7:$S$1075,14,0)</f>
        <v>#N/A</v>
      </c>
      <c r="E15" s="26" t="e">
        <f aca="false">VLOOKUP(E17,'Рулонки с ЭП расчёт систем и оп'!$F$7:$S$1075,14,0)</f>
        <v>#N/A</v>
      </c>
      <c r="F15" s="26" t="e">
        <f aca="false">VLOOKUP(F17,'Рулонки с ЭП расчёт систем и оп'!$F$7:$S$1075,14,0)</f>
        <v>#N/A</v>
      </c>
      <c r="G15" s="26" t="e">
        <f aca="false">VLOOKUP(G17,'Рулонки с ЭП расчёт систем и оп'!$F$7:$S$1075,14,0)</f>
        <v>#N/A</v>
      </c>
      <c r="H15" s="26" t="e">
        <f aca="false">VLOOKUP(H17,'Рулонки с ЭП расчёт систем и оп'!$F$7:$S$1075,14,0)</f>
        <v>#N/A</v>
      </c>
      <c r="I15" s="26" t="e">
        <f aca="false">VLOOKUP(I17,'Рулонки с ЭП расчёт систем и оп'!$F$7:$S$1075,14,0)</f>
        <v>#N/A</v>
      </c>
      <c r="J15" s="26" t="e">
        <f aca="false">VLOOKUP(J17,'Рулонки с ЭП расчёт систем и оп'!$F$7:$S$1075,14,0)</f>
        <v>#N/A</v>
      </c>
      <c r="K15" s="26" t="e">
        <f aca="false">VLOOKUP(K17,'Рулонки с ЭП расчёт систем и оп'!$F$7:$S$1075,14,0)</f>
        <v>#N/A</v>
      </c>
      <c r="L15" s="16"/>
      <c r="M15" s="1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customFormat="false" ht="9.9" hidden="false" customHeight="true" outlineLevel="0" collapsed="false">
      <c r="A16" s="14" t="s">
        <v>21</v>
      </c>
      <c r="B16" s="26" t="e">
        <f aca="false">B14*B15</f>
        <v>#N/A</v>
      </c>
      <c r="C16" s="26" t="e">
        <f aca="false">C14*C15</f>
        <v>#N/A</v>
      </c>
      <c r="D16" s="26" t="e">
        <f aca="false">D14*D15</f>
        <v>#N/A</v>
      </c>
      <c r="E16" s="26" t="e">
        <f aca="false">E14*E15</f>
        <v>#N/A</v>
      </c>
      <c r="F16" s="26" t="e">
        <f aca="false">F14*F15</f>
        <v>#N/A</v>
      </c>
      <c r="G16" s="26" t="e">
        <f aca="false">G14*G15</f>
        <v>#N/A</v>
      </c>
      <c r="H16" s="26" t="e">
        <f aca="false">H14*H15</f>
        <v>#N/A</v>
      </c>
      <c r="I16" s="26" t="e">
        <f aca="false">I14*I15</f>
        <v>#N/A</v>
      </c>
      <c r="J16" s="26" t="e">
        <f aca="false">J14*J15</f>
        <v>#N/A</v>
      </c>
      <c r="K16" s="26" t="e">
        <f aca="false">K14*K15</f>
        <v>#N/A</v>
      </c>
      <c r="L16" s="16"/>
      <c r="M16" s="1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customFormat="false" ht="9.9" hidden="false" customHeight="true" outlineLevel="0" collapsed="false">
      <c r="A17" s="21" t="s">
        <v>22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customFormat="false" ht="9.9" hidden="true" customHeight="true" outlineLevel="0" collapsed="false">
      <c r="A18" s="28" t="s">
        <v>23</v>
      </c>
      <c r="B18" s="29" t="e">
        <f aca="false">VLOOKUP(B17,'Рулонки с ЭП расчёт систем и оп'!$C$7:$D$1090,2,0)</f>
        <v>#N/A</v>
      </c>
      <c r="C18" s="29" t="e">
        <f aca="false">VLOOKUP(C17,'Рулонки с ЭП расчёт систем и оп'!$C$7:$D$1090,2,0)</f>
        <v>#N/A</v>
      </c>
      <c r="D18" s="29" t="e">
        <f aca="false">VLOOKUP(D17,'Рулонки с ЭП расчёт систем и оп'!$C$7:$D$1090,2,0)</f>
        <v>#N/A</v>
      </c>
      <c r="E18" s="29" t="e">
        <f aca="false">VLOOKUP(E17,'Рулонки с ЭП расчёт систем и оп'!$C$7:$D$1090,2,0)</f>
        <v>#N/A</v>
      </c>
      <c r="F18" s="29" t="e">
        <f aca="false">VLOOKUP(F17,'Рулонки с ЭП расчёт систем и оп'!$C$7:$D$1090,2,0)</f>
        <v>#N/A</v>
      </c>
      <c r="G18" s="29" t="e">
        <f aca="false">VLOOKUP(G17,'Рулонки с ЭП расчёт систем и оп'!$C$7:$D$1090,2,0)</f>
        <v>#N/A</v>
      </c>
      <c r="H18" s="29" t="e">
        <f aca="false">VLOOKUP(H17,'Рулонки с ЭП расчёт систем и оп'!$C$7:$D$1090,2,0)</f>
        <v>#N/A</v>
      </c>
      <c r="I18" s="29" t="e">
        <f aca="false">VLOOKUP(I17,'Рулонки с ЭП расчёт систем и оп'!$C$7:$D$1090,2,0)</f>
        <v>#N/A</v>
      </c>
      <c r="J18" s="29" t="e">
        <f aca="false">VLOOKUP(J17,'Рулонки с ЭП расчёт систем и оп'!$C$7:$D$1090,2,0)</f>
        <v>#N/A</v>
      </c>
      <c r="K18" s="29" t="e">
        <f aca="false">VLOOKUP(K17,'Рулонки с ЭП расчёт систем и оп'!$C$7:$D$1090,2,0)</f>
        <v>#N/A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customFormat="false" ht="9.9" hidden="true" customHeight="true" outlineLevel="0" collapsed="false">
      <c r="A19" s="14" t="s">
        <v>24</v>
      </c>
      <c r="B19" s="30" t="e">
        <f aca="false">VLOOKUP(B17,'Рулонки с ЭП расчёт систем и оп'!$F$7:$N$605,7,0)</f>
        <v>#N/A</v>
      </c>
      <c r="C19" s="30" t="e">
        <f aca="false">VLOOKUP(C17,'Рулонки с ЭП расчёт систем и оп'!$F$7:$N$605,7,0)</f>
        <v>#N/A</v>
      </c>
      <c r="D19" s="30" t="e">
        <f aca="false">VLOOKUP(D17,'Рулонки с ЭП расчёт систем и оп'!$F$7:$N$605,7,0)</f>
        <v>#N/A</v>
      </c>
      <c r="E19" s="30" t="e">
        <f aca="false">VLOOKUP(E17,'Рулонки с ЭП расчёт систем и оп'!$F$7:$N$605,7,0)</f>
        <v>#N/A</v>
      </c>
      <c r="F19" s="30" t="e">
        <f aca="false">VLOOKUP(F17,'Рулонки с ЭП расчёт систем и оп'!$F$7:$N$605,7,0)</f>
        <v>#N/A</v>
      </c>
      <c r="G19" s="30" t="e">
        <f aca="false">VLOOKUP(G17,'Рулонки с ЭП расчёт систем и оп'!$F$7:$N$605,7,0)</f>
        <v>#N/A</v>
      </c>
      <c r="H19" s="30" t="e">
        <f aca="false">VLOOKUP(H17,'Рулонки с ЭП расчёт систем и оп'!$F$7:$N$605,7,0)</f>
        <v>#N/A</v>
      </c>
      <c r="I19" s="30" t="e">
        <f aca="false">VLOOKUP(I17,'Рулонки с ЭП расчёт систем и оп'!$F$7:$N$605,7,0)</f>
        <v>#N/A</v>
      </c>
      <c r="J19" s="30" t="e">
        <f aca="false">VLOOKUP(J17,'Рулонки с ЭП расчёт систем и оп'!$F$7:$N$605,7,0)</f>
        <v>#N/A</v>
      </c>
      <c r="K19" s="30" t="e">
        <f aca="false">VLOOKUP(K17,'Рулонки с ЭП расчёт систем и оп'!$F$7:$N$605,7,0)</f>
        <v>#N/A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customFormat="false" ht="9.9" hidden="true" customHeight="true" outlineLevel="0" collapsed="false">
      <c r="A20" s="14" t="s">
        <v>25</v>
      </c>
      <c r="B20" s="30" t="e">
        <f aca="false">(VLOOKUP(B17,'Рулонки с ЭП расчёт систем и оп'!$F$7:$N$605,8,0)*B6)+(B22*(VLOOKUP(B17,'Рулонки с ЭП расчёт систем и оп'!$F$7:$N$605,8,0)*B8))</f>
        <v>#N/A</v>
      </c>
      <c r="C20" s="30" t="e">
        <f aca="false">(VLOOKUP(C17,'Рулонки с ЭП расчёт систем и оп'!$F$7:$N$605,8,0)*C6)+(C22*(VLOOKUP(C17,'Рулонки с ЭП расчёт систем и оп'!$F$7:$N$605,8,0)*C8))</f>
        <v>#N/A</v>
      </c>
      <c r="D20" s="30" t="e">
        <f aca="false">(VLOOKUP(D17,'Рулонки с ЭП расчёт систем и оп'!$F$7:$N$605,8,0)*D6)+(D22*(VLOOKUP(D17,'Рулонки с ЭП расчёт систем и оп'!$F$7:$N$605,8,0)*D8))</f>
        <v>#N/A</v>
      </c>
      <c r="E20" s="30" t="e">
        <f aca="false">(VLOOKUP(E17,'Рулонки с ЭП расчёт систем и оп'!$F$7:$N$605,8,0)*E6)+(E22*(VLOOKUP(E17,'Рулонки с ЭП расчёт систем и оп'!$F$7:$N$605,8,0)*E8))</f>
        <v>#N/A</v>
      </c>
      <c r="F20" s="30" t="e">
        <f aca="false">(VLOOKUP(F17,'Рулонки с ЭП расчёт систем и оп'!$F$7:$N$605,8,0)*F6)+(F22*(VLOOKUP(F17,'Рулонки с ЭП расчёт систем и оп'!$F$7:$N$605,8,0)*F8))</f>
        <v>#N/A</v>
      </c>
      <c r="G20" s="30" t="e">
        <f aca="false">(VLOOKUP(G17,'Рулонки с ЭП расчёт систем и оп'!$F$7:$N$605,8,0)*G6)+(G22*(VLOOKUP(G17,'Рулонки с ЭП расчёт систем и оп'!$F$7:$N$605,8,0)*G8))</f>
        <v>#N/A</v>
      </c>
      <c r="H20" s="30" t="e">
        <f aca="false">(VLOOKUP(H17,'Рулонки с ЭП расчёт систем и оп'!$F$7:$N$605,8,0)*H6)+(H22*(VLOOKUP(H17,'Рулонки с ЭП расчёт систем и оп'!$F$7:$N$605,8,0)*H8))</f>
        <v>#N/A</v>
      </c>
      <c r="I20" s="30" t="e">
        <f aca="false">(VLOOKUP(I17,'Рулонки с ЭП расчёт систем и оп'!$F$7:$N$605,8,0)*I6)+(I22*(VLOOKUP(I17,'Рулонки с ЭП расчёт систем и оп'!$F$7:$N$605,8,0)*I8))</f>
        <v>#N/A</v>
      </c>
      <c r="J20" s="30" t="e">
        <f aca="false">(VLOOKUP(J17,'Рулонки с ЭП расчёт систем и оп'!$F$7:$N$605,8,0)*J6)+(J22*(VLOOKUP(J17,'Рулонки с ЭП расчёт систем и оп'!$F$7:$N$605,8,0)*J8))</f>
        <v>#N/A</v>
      </c>
      <c r="K20" s="30" t="e">
        <f aca="false">(VLOOKUP(K17,'Рулонки с ЭП расчёт систем и оп'!$F$7:$N$605,8,0)*K6)+(K22*(VLOOKUP(K17,'Рулонки с ЭП расчёт систем и оп'!$F$7:$N$605,8,0)*K8))</f>
        <v>#N/A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customFormat="false" ht="9.9" hidden="true" customHeight="true" outlineLevel="0" collapsed="false">
      <c r="A21" s="14" t="s">
        <v>26</v>
      </c>
      <c r="B21" s="30" t="e">
        <f aca="false">VLOOKUP(B17,'Рулонки с ЭП расчёт систем и оп'!$F$7:$N$605,9,0)*B7</f>
        <v>#N/A</v>
      </c>
      <c r="C21" s="30" t="e">
        <f aca="false">VLOOKUP(C17,'Рулонки с ЭП расчёт систем и оп'!$F$7:$N$605,9,0)*C7</f>
        <v>#N/A</v>
      </c>
      <c r="D21" s="30" t="e">
        <f aca="false">VLOOKUP(D17,'Рулонки с ЭП расчёт систем и оп'!$F$7:$N$605,9,0)*D7</f>
        <v>#N/A</v>
      </c>
      <c r="E21" s="30" t="e">
        <f aca="false">VLOOKUP(E17,'Рулонки с ЭП расчёт систем и оп'!$F$7:$N$605,9,0)*E7</f>
        <v>#N/A</v>
      </c>
      <c r="F21" s="30" t="e">
        <f aca="false">VLOOKUP(F17,'Рулонки с ЭП расчёт систем и оп'!$F$7:$N$605,9,0)*F7</f>
        <v>#N/A</v>
      </c>
      <c r="G21" s="30" t="e">
        <f aca="false">VLOOKUP(G17,'Рулонки с ЭП расчёт систем и оп'!$F$7:$N$605,9,0)*G7</f>
        <v>#N/A</v>
      </c>
      <c r="H21" s="30" t="e">
        <f aca="false">VLOOKUP(H17,'Рулонки с ЭП расчёт систем и оп'!$F$7:$N$605,9,0)*H7</f>
        <v>#N/A</v>
      </c>
      <c r="I21" s="30" t="e">
        <f aca="false">VLOOKUP(I17,'Рулонки с ЭП расчёт систем и оп'!$F$7:$N$605,9,0)*I7</f>
        <v>#N/A</v>
      </c>
      <c r="J21" s="30" t="e">
        <f aca="false">VLOOKUP(J17,'Рулонки с ЭП расчёт систем и оп'!$F$7:$N$605,9,0)*J7</f>
        <v>#N/A</v>
      </c>
      <c r="K21" s="30" t="e">
        <f aca="false">VLOOKUP(K17,'Рулонки с ЭП расчёт систем и оп'!$F$7:$N$605,9,0)*K7</f>
        <v>#N/A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customFormat="false" ht="9.9" hidden="true" customHeight="true" outlineLevel="0" collapsed="false">
      <c r="A22" s="14" t="s">
        <v>27</v>
      </c>
      <c r="B22" s="31" t="e">
        <f aca="false">VLOOKUP(B17,'Рулонки с ЭП расчёт систем и оп'!$F$7:$O$605,10,0)</f>
        <v>#N/A</v>
      </c>
      <c r="C22" s="31" t="e">
        <f aca="false">VLOOKUP(C17,'Рулонки с ЭП расчёт систем и оп'!$F$7:$O$605,10,0)</f>
        <v>#N/A</v>
      </c>
      <c r="D22" s="31" t="e">
        <f aca="false">VLOOKUP(D17,'Рулонки с ЭП расчёт систем и оп'!$F$7:$O$605,10,0)</f>
        <v>#N/A</v>
      </c>
      <c r="E22" s="31" t="e">
        <f aca="false">VLOOKUP(E17,'Рулонки с ЭП расчёт систем и оп'!$F$7:$O$605,10,0)</f>
        <v>#N/A</v>
      </c>
      <c r="F22" s="31" t="e">
        <f aca="false">VLOOKUP(F17,'Рулонки с ЭП расчёт систем и оп'!$F$7:$O$605,10,0)</f>
        <v>#N/A</v>
      </c>
      <c r="G22" s="31" t="e">
        <f aca="false">VLOOKUP(G17,'Рулонки с ЭП расчёт систем и оп'!$F$7:$O$605,10,0)</f>
        <v>#N/A</v>
      </c>
      <c r="H22" s="31" t="e">
        <f aca="false">VLOOKUP(H17,'Рулонки с ЭП расчёт систем и оп'!$F$7:$O$605,10,0)</f>
        <v>#N/A</v>
      </c>
      <c r="I22" s="31" t="e">
        <f aca="false">VLOOKUP(I17,'Рулонки с ЭП расчёт систем и оп'!$F$7:$O$605,10,0)</f>
        <v>#N/A</v>
      </c>
      <c r="J22" s="31" t="e">
        <f aca="false">VLOOKUP(J17,'Рулонки с ЭП расчёт систем и оп'!$F$7:$O$605,10,0)</f>
        <v>#N/A</v>
      </c>
      <c r="K22" s="31" t="e">
        <f aca="false">VLOOKUP(K17,'Рулонки с ЭП расчёт систем и оп'!$F$7:$O$605,10,0)</f>
        <v>#N/A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customFormat="false" ht="9.9" hidden="false" customHeight="true" outlineLevel="0" collapsed="false">
      <c r="A23" s="32" t="s">
        <v>28</v>
      </c>
      <c r="B23" s="33" t="s">
        <v>29</v>
      </c>
      <c r="C23" s="33" t="s">
        <v>29</v>
      </c>
      <c r="D23" s="33" t="s">
        <v>29</v>
      </c>
      <c r="E23" s="33" t="s">
        <v>29</v>
      </c>
      <c r="F23" s="33" t="s">
        <v>29</v>
      </c>
      <c r="G23" s="33" t="s">
        <v>29</v>
      </c>
      <c r="H23" s="33" t="s">
        <v>29</v>
      </c>
      <c r="I23" s="33" t="s">
        <v>29</v>
      </c>
      <c r="J23" s="33" t="s">
        <v>29</v>
      </c>
      <c r="K23" s="33" t="s">
        <v>29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customFormat="false" ht="9.9" hidden="true" customHeight="true" outlineLevel="0" collapsed="false">
      <c r="A24" s="34" t="s">
        <v>30</v>
      </c>
      <c r="B24" s="31" t="n">
        <f aca="false">IF(B23="да",1,0)</f>
        <v>0</v>
      </c>
      <c r="C24" s="31" t="n">
        <f aca="false">IF(C23="да",1,0)</f>
        <v>0</v>
      </c>
      <c r="D24" s="31" t="n">
        <f aca="false">IF(D23="да",1,0)</f>
        <v>0</v>
      </c>
      <c r="E24" s="31" t="n">
        <f aca="false">IF(E23="да",1,0)</f>
        <v>0</v>
      </c>
      <c r="F24" s="31" t="n">
        <f aca="false">IF(F23="да",1,0)</f>
        <v>0</v>
      </c>
      <c r="G24" s="31" t="n">
        <f aca="false">IF(G23="да",1,0)</f>
        <v>0</v>
      </c>
      <c r="H24" s="31" t="n">
        <f aca="false">IF(H23="да",1,0)</f>
        <v>0</v>
      </c>
      <c r="I24" s="31" t="n">
        <f aca="false">IF(I23="да",1,0)</f>
        <v>0</v>
      </c>
      <c r="J24" s="31" t="n">
        <f aca="false">IF(J23="да",1,0)</f>
        <v>0</v>
      </c>
      <c r="K24" s="31" t="n">
        <f aca="false">IF(K23="да",1,0)</f>
        <v>0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customFormat="false" ht="9.9" hidden="true" customHeight="true" outlineLevel="0" collapsed="false">
      <c r="A25" s="34" t="s">
        <v>31</v>
      </c>
      <c r="B25" s="31" t="e">
        <f aca="false">IF(VLOOKUP(B17,'Рулонки с ЭП расчёт систем и оп'!$C$7:$Q$1090,15,0)&lt;&gt;1,0,1)</f>
        <v>#N/A</v>
      </c>
      <c r="C25" s="31" t="e">
        <f aca="false">IF(VLOOKUP(C17,'Рулонки с ЭП расчёт систем и оп'!$C$7:$Q$1090,15,0)&lt;&gt;1,0,1)</f>
        <v>#N/A</v>
      </c>
      <c r="D25" s="31" t="e">
        <f aca="false">IF(VLOOKUP(D17,'Рулонки с ЭП расчёт систем и оп'!$C$7:$Q$1090,15,0)&lt;&gt;1,0,1)</f>
        <v>#N/A</v>
      </c>
      <c r="E25" s="31" t="e">
        <f aca="false">IF(VLOOKUP(E17,'Рулонки с ЭП расчёт систем и оп'!$C$7:$Q$1090,15,0)&lt;&gt;1,0,1)</f>
        <v>#N/A</v>
      </c>
      <c r="F25" s="31" t="e">
        <f aca="false">IF(VLOOKUP(F17,'Рулонки с ЭП расчёт систем и оп'!$C$7:$Q$1090,15,0)&lt;&gt;1,0,1)</f>
        <v>#N/A</v>
      </c>
      <c r="G25" s="31" t="e">
        <f aca="false">IF(VLOOKUP(G17,'Рулонки с ЭП расчёт систем и оп'!$C$7:$Q$1090,15,0)&lt;&gt;1,0,1)</f>
        <v>#N/A</v>
      </c>
      <c r="H25" s="31" t="e">
        <f aca="false">IF(VLOOKUP(H17,'Рулонки с ЭП расчёт систем и оп'!$C$7:$Q$1090,15,0)&lt;&gt;1,0,1)</f>
        <v>#N/A</v>
      </c>
      <c r="I25" s="31" t="e">
        <f aca="false">IF(VLOOKUP(I17,'Рулонки с ЭП расчёт систем и оп'!$C$7:$Q$1090,15,0)&lt;&gt;1,0,1)</f>
        <v>#N/A</v>
      </c>
      <c r="J25" s="31" t="e">
        <f aca="false">IF(VLOOKUP(J17,'Рулонки с ЭП расчёт систем и оп'!$C$7:$Q$1090,15,0)&lt;&gt;1,0,1)</f>
        <v>#N/A</v>
      </c>
      <c r="K25" s="31" t="e">
        <f aca="false">IF(VLOOKUP(K17,'Рулонки с ЭП расчёт систем и оп'!$C$7:$Q$1090,15,0)&lt;&gt;1,0,1)</f>
        <v>#N/A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customFormat="false" ht="9.9" hidden="true" customHeight="true" outlineLevel="0" collapsed="false">
      <c r="A26" s="34" t="s">
        <v>32</v>
      </c>
      <c r="B26" s="29" t="n">
        <v>0.7</v>
      </c>
      <c r="C26" s="29" t="n">
        <v>0.7</v>
      </c>
      <c r="D26" s="29" t="n">
        <v>0.7</v>
      </c>
      <c r="E26" s="29" t="n">
        <v>0.7</v>
      </c>
      <c r="F26" s="29" t="n">
        <v>0.7</v>
      </c>
      <c r="G26" s="29" t="n">
        <v>0.7</v>
      </c>
      <c r="H26" s="29" t="n">
        <v>0.7</v>
      </c>
      <c r="I26" s="29" t="n">
        <v>0.7</v>
      </c>
      <c r="J26" s="29" t="n">
        <v>0.7</v>
      </c>
      <c r="K26" s="29" t="n">
        <v>0.7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customFormat="false" ht="9.9" hidden="false" customHeight="true" outlineLevel="0" collapsed="false">
      <c r="A27" s="35" t="s">
        <v>33</v>
      </c>
      <c r="B27" s="36" t="str">
        <f aca="false">IF(B24=0,"",IF(B25&lt;&gt;1,"неприменимо",ROUNDDOWN((B6+(B22*B8))/B26,0)+1))</f>
        <v/>
      </c>
      <c r="C27" s="36" t="str">
        <f aca="false">IF(C24=0,"",IF(C25&lt;&gt;1,"неприменимо",ROUNDDOWN((C6+(C22*C8))/C26,0)+1))</f>
        <v/>
      </c>
      <c r="D27" s="36" t="str">
        <f aca="false">IF(D24=0,"",IF(D25&lt;&gt;1,"неприменимо",ROUNDDOWN((D6+(D22*D8))/D26,0)+1))</f>
        <v/>
      </c>
      <c r="E27" s="36" t="str">
        <f aca="false">IF(E24=0,"",IF(E25&lt;&gt;1,"неприменимо",ROUNDDOWN((E6+(E22*E8))/E26,0)+1))</f>
        <v/>
      </c>
      <c r="F27" s="36" t="str">
        <f aca="false">IF(F24=0,"",IF(F25&lt;&gt;1,"неприменимо",ROUNDDOWN((F6+(F22*F8))/F26,0)+1))</f>
        <v/>
      </c>
      <c r="G27" s="36" t="str">
        <f aca="false">IF(G24=0,"",IF(G25&lt;&gt;1,"неприменимо",ROUNDDOWN((G6+(G22*G8))/G26,0)+1))</f>
        <v/>
      </c>
      <c r="H27" s="36" t="str">
        <f aca="false">IF(H24=0,"",IF(H25&lt;&gt;1,"неприменимо",ROUNDDOWN((H6+(H22*H8))/H26,0)+1))</f>
        <v/>
      </c>
      <c r="I27" s="36" t="str">
        <f aca="false">IF(I24=0,"",IF(I25&lt;&gt;1,"неприменимо",ROUNDDOWN((I6+(I22*I8))/I26,0)+1))</f>
        <v/>
      </c>
      <c r="J27" s="36" t="str">
        <f aca="false">IF(J24=0,"",IF(J25&lt;&gt;1,"неприменимо",ROUNDDOWN((J6+(J22*J8))/J26,0)+1))</f>
        <v/>
      </c>
      <c r="K27" s="36" t="str">
        <f aca="false">IF(K24=0,"",IF(K25&lt;&gt;1,"неприменимо",ROUNDDOWN((K6+(K22*K8))/K26,0)+1))</f>
        <v/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="40" customFormat="true" ht="9.9" hidden="false" customHeight="true" outlineLevel="0" collapsed="false">
      <c r="A28" s="37" t="s">
        <v>34</v>
      </c>
      <c r="B28" s="38" t="e">
        <f aca="false">VLOOKUP(B17,'Рулонки с ЭП расчёт систем и оп'!$C$7:$R$1090,16,0)</f>
        <v>#N/A</v>
      </c>
      <c r="C28" s="38" t="e">
        <f aca="false">VLOOKUP(C17,'Рулонки с ЭП расчёт систем и оп'!$C$7:$R$1090,16,0)</f>
        <v>#N/A</v>
      </c>
      <c r="D28" s="38" t="e">
        <f aca="false">VLOOKUP(D17,'Рулонки с ЭП расчёт систем и оп'!$C$7:$R$1090,16,0)</f>
        <v>#N/A</v>
      </c>
      <c r="E28" s="38" t="e">
        <f aca="false">VLOOKUP(E17,'Рулонки с ЭП расчёт систем и оп'!$C$7:$R$1090,16,0)</f>
        <v>#N/A</v>
      </c>
      <c r="F28" s="38" t="e">
        <f aca="false">VLOOKUP(F17,'Рулонки с ЭП расчёт систем и оп'!$C$7:$R$1090,16,0)</f>
        <v>#N/A</v>
      </c>
      <c r="G28" s="38" t="e">
        <f aca="false">VLOOKUP(G17,'Рулонки с ЭП расчёт систем и оп'!$C$7:$R$1090,16,0)</f>
        <v>#N/A</v>
      </c>
      <c r="H28" s="38" t="e">
        <f aca="false">VLOOKUP(H17,'Рулонки с ЭП расчёт систем и оп'!$C$7:$R$1090,16,0)</f>
        <v>#N/A</v>
      </c>
      <c r="I28" s="38" t="e">
        <f aca="false">VLOOKUP(I17,'Рулонки с ЭП расчёт систем и оп'!$C$7:$R$1090,16,0)</f>
        <v>#N/A</v>
      </c>
      <c r="J28" s="38" t="e">
        <f aca="false">VLOOKUP(J17,'Рулонки с ЭП расчёт систем и оп'!$C$7:$R$1090,16,0)</f>
        <v>#N/A</v>
      </c>
      <c r="K28" s="38" t="e">
        <f aca="false">VLOOKUP(K17,'Рулонки с ЭП расчёт систем и оп'!$C$7:$R$1090,16,0)</f>
        <v>#N/A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</row>
    <row r="29" customFormat="false" ht="9.9" hidden="false" customHeight="true" outlineLevel="0" collapsed="false">
      <c r="A29" s="35" t="s">
        <v>35</v>
      </c>
      <c r="B29" s="36" t="e">
        <f aca="false">VLOOKUP(B28,'Рулонки компл. Амиго '!$B$7:$D$1000,3,0)*'Рулонки с ЭП расчёт систем и оп'!$K$4</f>
        <v>#N/A</v>
      </c>
      <c r="C29" s="36" t="e">
        <f aca="false">VLOOKUP(C28,'Рулонки компл. Амиго '!$B$7:$D$1000,3,0)*'Рулонки с ЭП расчёт систем и оп'!$K$4</f>
        <v>#N/A</v>
      </c>
      <c r="D29" s="36" t="e">
        <f aca="false">VLOOKUP(D28,'Рулонки компл. Амиго '!$B$7:$D$1000,3,0)*'Рулонки с ЭП расчёт систем и оп'!$K$4</f>
        <v>#N/A</v>
      </c>
      <c r="E29" s="36" t="e">
        <f aca="false">VLOOKUP(E28,'Рулонки компл. Амиго '!$B$7:$D$1000,3,0)*'Рулонки с ЭП расчёт систем и оп'!$K$4</f>
        <v>#N/A</v>
      </c>
      <c r="F29" s="36" t="e">
        <f aca="false">VLOOKUP(F28,'Рулонки компл. Амиго '!$B$7:$D$1000,3,0)*'Рулонки с ЭП расчёт систем и оп'!$K$4</f>
        <v>#N/A</v>
      </c>
      <c r="G29" s="36" t="e">
        <f aca="false">VLOOKUP(G28,'Рулонки компл. Амиго '!$B$7:$D$1000,3,0)*'Рулонки с ЭП расчёт систем и оп'!$K$4</f>
        <v>#N/A</v>
      </c>
      <c r="H29" s="36" t="e">
        <f aca="false">VLOOKUP(H28,'Рулонки компл. Амиго '!$B$7:$D$1000,3,0)*'Рулонки с ЭП расчёт систем и оп'!$K$4</f>
        <v>#N/A</v>
      </c>
      <c r="I29" s="36" t="e">
        <f aca="false">VLOOKUP(I28,'Рулонки компл. Амиго '!$B$7:$D$1000,3,0)*'Рулонки с ЭП расчёт систем и оп'!$K$4</f>
        <v>#N/A</v>
      </c>
      <c r="J29" s="36" t="e">
        <f aca="false">VLOOKUP(J28,'Рулонки компл. Амиго '!$B$7:$D$1000,3,0)*'Рулонки с ЭП расчёт систем и оп'!$K$4</f>
        <v>#N/A</v>
      </c>
      <c r="K29" s="36" t="e">
        <f aca="false">VLOOKUP(K28,'Рулонки компл. Амиго '!$B$7:$D$1000,3,0)*'Рулонки с ЭП расчёт систем и оп'!$K$4</f>
        <v>#N/A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customFormat="false" ht="9.9" hidden="true" customHeight="true" outlineLevel="0" collapsed="false">
      <c r="A30" s="34" t="s">
        <v>36</v>
      </c>
      <c r="B30" s="31" t="n">
        <f aca="false">IF(B27="",0,B29*B27)</f>
        <v>0</v>
      </c>
      <c r="C30" s="31" t="n">
        <f aca="false">IF(C27="",0,C29*C27)</f>
        <v>0</v>
      </c>
      <c r="D30" s="31" t="n">
        <f aca="false">IF(D27="",0,D29*D27)</f>
        <v>0</v>
      </c>
      <c r="E30" s="31" t="n">
        <f aca="false">IF(E27="",0,E29*E27)</f>
        <v>0</v>
      </c>
      <c r="F30" s="31" t="n">
        <f aca="false">IF(F27="",0,F29*F27)</f>
        <v>0</v>
      </c>
      <c r="G30" s="31" t="n">
        <f aca="false">IF(G27="",0,G29*G27)</f>
        <v>0</v>
      </c>
      <c r="H30" s="31" t="n">
        <f aca="false">IF(H27="",0,H29*H27)</f>
        <v>0</v>
      </c>
      <c r="I30" s="31" t="n">
        <f aca="false">IF(I27="",0,I29*I27)</f>
        <v>0</v>
      </c>
      <c r="J30" s="31" t="n">
        <f aca="false">IF(J27="",0,J29*J27)</f>
        <v>0</v>
      </c>
      <c r="K30" s="31" t="n">
        <f aca="false">IF(K27="",0,K29*K27)</f>
        <v>0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customFormat="false" ht="9.9" hidden="false" customHeight="true" outlineLevel="0" collapsed="false">
      <c r="A31" s="41" t="s">
        <v>37</v>
      </c>
      <c r="B31" s="42" t="s">
        <v>38</v>
      </c>
      <c r="C31" s="42" t="s">
        <v>38</v>
      </c>
      <c r="D31" s="42" t="s">
        <v>38</v>
      </c>
      <c r="E31" s="42" t="s">
        <v>38</v>
      </c>
      <c r="F31" s="42" t="s">
        <v>38</v>
      </c>
      <c r="G31" s="42" t="s">
        <v>38</v>
      </c>
      <c r="H31" s="42" t="s">
        <v>38</v>
      </c>
      <c r="I31" s="42" t="s">
        <v>38</v>
      </c>
      <c r="J31" s="42" t="s">
        <v>38</v>
      </c>
      <c r="K31" s="42" t="s">
        <v>38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customFormat="false" ht="9.9" hidden="true" customHeight="true" outlineLevel="0" collapsed="false">
      <c r="A32" s="14" t="s">
        <v>39</v>
      </c>
      <c r="B32" s="43" t="n">
        <f aca="false">IF(B31="Да",VLOOKUP($A$31,'Доп данные по компл рулонки'!$D$33:$E$39,2,0),0)</f>
        <v>0</v>
      </c>
      <c r="C32" s="43" t="n">
        <f aca="false">IF(C31="Да",VLOOKUP($A$31,'Доп данные по компл рулонки'!$D$33:$E$39,2,0),0)</f>
        <v>0</v>
      </c>
      <c r="D32" s="43" t="n">
        <f aca="false">IF(D31="Да",VLOOKUP($A$31,'Доп данные по компл рулонки'!$D$33:$E$39,2,0),0)</f>
        <v>0</v>
      </c>
      <c r="E32" s="43" t="n">
        <f aca="false">IF(E31="Да",VLOOKUP($A$31,'Доп данные по компл рулонки'!$D$33:$E$39,2,0),0)</f>
        <v>0</v>
      </c>
      <c r="F32" s="43" t="n">
        <f aca="false">IF(F31="Да",VLOOKUP($A$31,'Доп данные по компл рулонки'!$D$33:$E$39,2,0),0)</f>
        <v>0</v>
      </c>
      <c r="G32" s="43" t="n">
        <f aca="false">IF(G31="Да",VLOOKUP($A$31,'Доп данные по компл рулонки'!$D$33:$E$39,2,0),0)</f>
        <v>0</v>
      </c>
      <c r="H32" s="43" t="n">
        <f aca="false">IF(H31="Да",VLOOKUP($A$31,'Доп данные по компл рулонки'!$D$33:$E$39,2,0),0)</f>
        <v>0</v>
      </c>
      <c r="I32" s="43" t="n">
        <f aca="false">IF(I31="Да",VLOOKUP($A$31,'Доп данные по компл рулонки'!$D$33:$E$39,2,0),0)</f>
        <v>0</v>
      </c>
      <c r="J32" s="43" t="n">
        <f aca="false">IF(J31="Да",VLOOKUP($A$31,'Доп данные по компл рулонки'!$D$33:$E$39,2,0),0)</f>
        <v>0</v>
      </c>
      <c r="K32" s="43" t="n">
        <f aca="false">IF(K31="Да",VLOOKUP($A$31,'Доп данные по компл рулонки'!$D$33:$E$39,2,0),0)</f>
        <v>0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customFormat="false" ht="9.9" hidden="false" customHeight="true" outlineLevel="0" collapsed="false">
      <c r="A33" s="14" t="s">
        <v>40</v>
      </c>
      <c r="B33" s="44" t="e">
        <f aca="false">B19+B20+B21+B30+B32</f>
        <v>#N/A</v>
      </c>
      <c r="C33" s="44" t="e">
        <f aca="false">C19+C20+C21+C30+C32</f>
        <v>#N/A</v>
      </c>
      <c r="D33" s="44" t="e">
        <f aca="false">D19+D20+D21+D30+D32</f>
        <v>#N/A</v>
      </c>
      <c r="E33" s="44" t="e">
        <f aca="false">E19+E20+E21+E30+E32</f>
        <v>#N/A</v>
      </c>
      <c r="F33" s="44" t="e">
        <f aca="false">F19+F20+F21+F30+F32</f>
        <v>#N/A</v>
      </c>
      <c r="G33" s="44" t="e">
        <f aca="false">G19+G20+G21+G30+G32</f>
        <v>#N/A</v>
      </c>
      <c r="H33" s="44" t="e">
        <f aca="false">H19+H20+H21+H30+H32</f>
        <v>#N/A</v>
      </c>
      <c r="I33" s="44" t="e">
        <f aca="false">I19+I20+I21+I30+I32</f>
        <v>#N/A</v>
      </c>
      <c r="J33" s="44" t="e">
        <f aca="false">J19+J20+J21+J30+J32</f>
        <v>#N/A</v>
      </c>
      <c r="K33" s="44" t="e">
        <f aca="false">K19+K20+K21+K30+K32</f>
        <v>#N/A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customFormat="false" ht="9.9" hidden="false" customHeight="true" outlineLevel="0" collapsed="false">
      <c r="A34" s="32" t="s">
        <v>41</v>
      </c>
      <c r="B34" s="45" t="str">
        <f aca="false">IF(B17="","",VLOOKUP(B17,'Рулонки с ЭП расчёт систем и оп'!$C$7:$P$1090,14,0))</f>
        <v/>
      </c>
      <c r="C34" s="45" t="str">
        <f aca="false">IF(C17="","",VLOOKUP(C17,'Рулонки с ЭП расчёт систем и оп'!$C$7:$P$1090,14,0))</f>
        <v/>
      </c>
      <c r="D34" s="45" t="str">
        <f aca="false">IF(D17="","",VLOOKUP(D17,'Рулонки с ЭП расчёт систем и оп'!$C$7:$P$1090,14,0))</f>
        <v/>
      </c>
      <c r="E34" s="45" t="str">
        <f aca="false">IF(E17="","",VLOOKUP(E17,'Рулонки с ЭП расчёт систем и оп'!$C$7:$P$1090,14,0))</f>
        <v/>
      </c>
      <c r="F34" s="45" t="str">
        <f aca="false">IF(F17="","",VLOOKUP(F17,'Рулонки с ЭП расчёт систем и оп'!$C$7:$P$1090,14,0))</f>
        <v/>
      </c>
      <c r="G34" s="45" t="str">
        <f aca="false">IF(G17="","",VLOOKUP(G17,'Рулонки с ЭП расчёт систем и оп'!$C$7:$P$1090,14,0))</f>
        <v/>
      </c>
      <c r="H34" s="45" t="str">
        <f aca="false">IF(H17="","",VLOOKUP(H17,'Рулонки с ЭП расчёт систем и оп'!$C$7:$P$1090,14,0))</f>
        <v/>
      </c>
      <c r="I34" s="45" t="str">
        <f aca="false">IF(I17="","",VLOOKUP(I17,'Рулонки с ЭП расчёт систем и оп'!$C$7:$P$1090,14,0))</f>
        <v/>
      </c>
      <c r="J34" s="45" t="str">
        <f aca="false">IF(J17="","",VLOOKUP(J17,'Рулонки с ЭП расчёт систем и оп'!$C$7:$P$1090,14,0))</f>
        <v/>
      </c>
      <c r="K34" s="45" t="str">
        <f aca="false">IF(K17="","",VLOOKUP(K17,'Рулонки с ЭП расчёт систем и оп'!$C$7:$P$1090,14,0))</f>
        <v/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customFormat="false" ht="9.9" hidden="false" customHeight="true" outlineLevel="0" collapsed="false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customFormat="false" ht="9.9" hidden="true" customHeight="true" outlineLevel="0" collapsed="false">
      <c r="A36" s="14" t="s">
        <v>42</v>
      </c>
      <c r="B36" s="48" t="n">
        <v>1.2</v>
      </c>
      <c r="C36" s="48" t="n">
        <v>1.2</v>
      </c>
      <c r="D36" s="48" t="n">
        <v>1.2</v>
      </c>
      <c r="E36" s="48" t="n">
        <v>1.2</v>
      </c>
      <c r="F36" s="48" t="n">
        <v>1.2</v>
      </c>
      <c r="G36" s="48" t="n">
        <v>1.2</v>
      </c>
      <c r="H36" s="48" t="n">
        <v>1.2</v>
      </c>
      <c r="I36" s="48" t="n">
        <v>1.2</v>
      </c>
      <c r="J36" s="48" t="n">
        <v>1.2</v>
      </c>
      <c r="K36" s="48" t="n">
        <v>1.2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customFormat="false" ht="9.9" hidden="false" customHeight="true" outlineLevel="0" collapsed="false">
      <c r="A37" s="21" t="s">
        <v>43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customFormat="false" ht="9.9" hidden="true" customHeight="true" outlineLevel="0" collapsed="false">
      <c r="A38" s="28" t="s">
        <v>44</v>
      </c>
      <c r="B38" s="29" t="e">
        <f aca="false">VLOOKUP(B37,'цены ткани Amigo'!$A$5:$F$204,6,0)</f>
        <v>#N/A</v>
      </c>
      <c r="C38" s="29" t="e">
        <f aca="false">VLOOKUP(C37,'цены ткани Amigo'!$A$5:$F$204,6,0)</f>
        <v>#N/A</v>
      </c>
      <c r="D38" s="29" t="e">
        <f aca="false">VLOOKUP(D37,'цены ткани Amigo'!$A$5:$F$204,6,0)</f>
        <v>#N/A</v>
      </c>
      <c r="E38" s="29" t="e">
        <f aca="false">VLOOKUP(E37,'цены ткани Amigo'!$A$5:$F$204,6,0)</f>
        <v>#N/A</v>
      </c>
      <c r="F38" s="29" t="e">
        <f aca="false">VLOOKUP(F37,'цены ткани Amigo'!$A$5:$F$204,6,0)</f>
        <v>#N/A</v>
      </c>
      <c r="G38" s="29" t="e">
        <f aca="false">VLOOKUP(G37,'цены ткани Amigo'!$A$5:$F$204,6,0)</f>
        <v>#N/A</v>
      </c>
      <c r="H38" s="29" t="e">
        <f aca="false">VLOOKUP(H37,'цены ткани Amigo'!$A$5:$F$204,6,0)</f>
        <v>#N/A</v>
      </c>
      <c r="I38" s="29" t="e">
        <f aca="false">VLOOKUP(I37,'цены ткани Amigo'!$A$5:$F$204,6,0)</f>
        <v>#N/A</v>
      </c>
      <c r="J38" s="29" t="e">
        <f aca="false">VLOOKUP(J37,'цены ткани Amigo'!$A$5:$F$204,6,0)</f>
        <v>#N/A</v>
      </c>
      <c r="K38" s="29" t="e">
        <f aca="false">VLOOKUP(K37,'цены ткани Amigo'!$A$5:$F$204,6,0)</f>
        <v>#N/A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customFormat="false" ht="9.9" hidden="false" customHeight="true" outlineLevel="0" collapsed="false">
      <c r="A39" s="21" t="s">
        <v>45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="40" customFormat="true" ht="9.9" hidden="false" customHeight="true" outlineLevel="0" collapsed="false">
      <c r="A40" s="37" t="s">
        <v>46</v>
      </c>
      <c r="B40" s="50" t="str">
        <f aca="false">IF(B47="","",IF(B48&gt;3.5,"ВЫСОТА БОЛЬШЕ 3,5 М",""))</f>
        <v/>
      </c>
      <c r="C40" s="50" t="str">
        <f aca="false">IF(C47="","",IF(C48&gt;3.5,"ВЫСОТА БОЛЬШЕ 3,5 М",""))</f>
        <v/>
      </c>
      <c r="D40" s="50" t="str">
        <f aca="false">IF(D47="","",IF(D48&gt;3.5,"ВЫСОТА БОЛЬШЕ 3,5 М",""))</f>
        <v/>
      </c>
      <c r="E40" s="50" t="str">
        <f aca="false">IF(E47="","",IF(E48&gt;3.5,"ВЫСОТА БОЛЬШЕ 3,5 М",""))</f>
        <v/>
      </c>
      <c r="F40" s="50" t="str">
        <f aca="false">IF(F47="","",IF(F48&gt;3.5,"ВЫСОТА БОЛЬШЕ 3,5 М",""))</f>
        <v/>
      </c>
      <c r="G40" s="50" t="str">
        <f aca="false">IF(G47="","",IF(G48&gt;3.5,"ВЫСОТА БОЛЬШЕ 3,5 М",""))</f>
        <v/>
      </c>
      <c r="H40" s="50" t="str">
        <f aca="false">IF(H47="","",IF(H48&gt;3.5,"ВЫСОТА БОЛЬШЕ 3,5 М",""))</f>
        <v/>
      </c>
      <c r="I40" s="50" t="str">
        <f aca="false">IF(I47="","",IF(I48&gt;3.5,"ВЫСОТА БОЛЬШЕ 3,5 М",""))</f>
        <v/>
      </c>
      <c r="J40" s="50" t="str">
        <f aca="false">IF(J47="","",IF(J48&gt;3.5,"ВЫСОТА БОЛЬШЕ 3,5 М",""))</f>
        <v/>
      </c>
      <c r="K40" s="50" t="str">
        <f aca="false">IF(K47="","",IF(K48&gt;3.5,"ВЫСОТА БОЛЬШЕ 3,5 М",""))</f>
        <v/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</row>
    <row r="41" customFormat="false" ht="9.9" hidden="false" customHeight="true" outlineLevel="0" collapsed="false">
      <c r="A41" s="14" t="s">
        <v>47</v>
      </c>
      <c r="B41" s="51" t="e">
        <f aca="false">VLOOKUP(B37,'цены ткани Amigo'!$A$5:$B$204,2,0)*$B$2*2</f>
        <v>#N/A</v>
      </c>
      <c r="C41" s="51" t="e">
        <f aca="false">VLOOKUP(C37,'цены ткани Amigo'!$A$5:$B$204,2,0)*$B$2*2</f>
        <v>#N/A</v>
      </c>
      <c r="D41" s="51" t="e">
        <f aca="false">VLOOKUP(D37,'цены ткани Amigo'!$A$5:$B$204,2,0)*$B$2*2</f>
        <v>#N/A</v>
      </c>
      <c r="E41" s="51" t="e">
        <f aca="false">VLOOKUP(E37,'цены ткани Amigo'!$A$5:$B$204,2,0)*$B$2*2</f>
        <v>#N/A</v>
      </c>
      <c r="F41" s="51" t="e">
        <f aca="false">VLOOKUP(F37,'цены ткани Amigo'!$A$5:$B$204,2,0)*$B$2*2</f>
        <v>#N/A</v>
      </c>
      <c r="G41" s="51" t="e">
        <f aca="false">VLOOKUP(G37,'цены ткани Amigo'!$A$5:$B$204,2,0)*$B$2*2</f>
        <v>#N/A</v>
      </c>
      <c r="H41" s="51" t="e">
        <f aca="false">VLOOKUP(H37,'цены ткани Amigo'!$A$5:$B$204,2,0)*$B$2*2</f>
        <v>#N/A</v>
      </c>
      <c r="I41" s="51" t="e">
        <f aca="false">VLOOKUP(I37,'цены ткани Amigo'!$A$5:$B$204,2,0)*$B$2*2</f>
        <v>#N/A</v>
      </c>
      <c r="J41" s="51" t="e">
        <f aca="false">VLOOKUP(J37,'цены ткани Amigo'!$A$5:$B$204,2,0)*$B$2*2</f>
        <v>#N/A</v>
      </c>
      <c r="K41" s="51" t="e">
        <f aca="false">VLOOKUP(K37,'цены ткани Amigo'!$A$5:$B$204,2,0)*$B$2*2</f>
        <v>#N/A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customFormat="false" ht="9.9" hidden="false" customHeight="true" outlineLevel="0" collapsed="false">
      <c r="A42" s="14" t="s">
        <v>48</v>
      </c>
      <c r="B42" s="52" t="e">
        <f aca="false">VLOOKUP(B37,'цены ткани Amigo'!$A$5:$D$204,4,0)</f>
        <v>#N/A</v>
      </c>
      <c r="C42" s="52" t="e">
        <f aca="false">VLOOKUP(C37,'цены ткани Amigo'!$A$5:$D$204,4,0)</f>
        <v>#N/A</v>
      </c>
      <c r="D42" s="52" t="e">
        <f aca="false">VLOOKUP(D37,'цены ткани Amigo'!$A$5:$D$204,4,0)</f>
        <v>#N/A</v>
      </c>
      <c r="E42" s="52" t="e">
        <f aca="false">VLOOKUP(E37,'цены ткани Amigo'!$A$5:$D$204,4,0)</f>
        <v>#N/A</v>
      </c>
      <c r="F42" s="52" t="e">
        <f aca="false">VLOOKUP(F37,'цены ткани Amigo'!$A$5:$D$204,4,0)</f>
        <v>#N/A</v>
      </c>
      <c r="G42" s="52" t="e">
        <f aca="false">VLOOKUP(G37,'цены ткани Amigo'!$A$5:$D$204,4,0)</f>
        <v>#N/A</v>
      </c>
      <c r="H42" s="52" t="e">
        <f aca="false">VLOOKUP(H37,'цены ткани Amigo'!$A$5:$D$204,4,0)</f>
        <v>#N/A</v>
      </c>
      <c r="I42" s="52" t="e">
        <f aca="false">VLOOKUP(I37,'цены ткани Amigo'!$A$5:$D$204,4,0)</f>
        <v>#N/A</v>
      </c>
      <c r="J42" s="52" t="e">
        <f aca="false">VLOOKUP(J37,'цены ткани Amigo'!$A$5:$D$204,4,0)</f>
        <v>#N/A</v>
      </c>
      <c r="K42" s="52" t="e">
        <f aca="false">VLOOKUP(K37,'цены ткани Amigo'!$A$5:$D$204,4,0)</f>
        <v>#N/A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customFormat="false" ht="9.9" hidden="false" customHeight="true" outlineLevel="0" collapsed="false">
      <c r="A43" s="53" t="s">
        <v>49</v>
      </c>
      <c r="B43" s="54" t="str">
        <f aca="false">IF(B49="По ширине",B49,"")</f>
        <v/>
      </c>
      <c r="C43" s="54" t="str">
        <f aca="false">IF(C49="По ширине",C49,"")</f>
        <v/>
      </c>
      <c r="D43" s="54" t="str">
        <f aca="false">IF(D49="По ширине",D49,"")</f>
        <v/>
      </c>
      <c r="E43" s="54" t="str">
        <f aca="false">IF(E49="По ширине",E49,"")</f>
        <v/>
      </c>
      <c r="F43" s="54" t="str">
        <f aca="false">IF(F49="По ширине",F49,"")</f>
        <v/>
      </c>
      <c r="G43" s="54" t="str">
        <f aca="false">IF(G49="По ширине",G49,"")</f>
        <v/>
      </c>
      <c r="H43" s="54" t="str">
        <f aca="false">IF(H49="По ширине",H49,"")</f>
        <v/>
      </c>
      <c r="I43" s="54" t="str">
        <f aca="false">IF(I49="По ширине",I49,"")</f>
        <v/>
      </c>
      <c r="J43" s="54" t="str">
        <f aca="false">IF(J49="По ширине",J49,"")</f>
        <v/>
      </c>
      <c r="K43" s="54" t="str">
        <f aca="false">IF(K49="По ширине",K49,"")</f>
        <v/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customFormat="false" ht="9.9" hidden="false" customHeight="true" outlineLevel="0" collapsed="false">
      <c r="A44" s="53" t="s">
        <v>50</v>
      </c>
      <c r="B44" s="55" t="str">
        <f aca="false">IF(B50&lt;&gt;"По высоте","",IF(B6=B46,"По высоте, НО","По высоте"))</f>
        <v/>
      </c>
      <c r="C44" s="55" t="str">
        <f aca="false">IF(C50&lt;&gt;"По высоте","",IF(C6=C46,"По высоте, НО","По высоте"))</f>
        <v/>
      </c>
      <c r="D44" s="55" t="str">
        <f aca="false">IF(D50&lt;&gt;"По высоте","",IF(D6=D46,"По высоте, НО","По высоте"))</f>
        <v/>
      </c>
      <c r="E44" s="55" t="str">
        <f aca="false">IF(E50&lt;&gt;"По высоте","",IF(E6=E46,"По высоте, НО","По высоте"))</f>
        <v/>
      </c>
      <c r="F44" s="55" t="str">
        <f aca="false">IF(F50&lt;&gt;"По высоте","",IF(F6=F46,"По высоте, НО","По высоте"))</f>
        <v/>
      </c>
      <c r="G44" s="55" t="str">
        <f aca="false">IF(G50&lt;&gt;"По высоте","",IF(G6=G46,"По высоте, НО","По высоте"))</f>
        <v/>
      </c>
      <c r="H44" s="55" t="str">
        <f aca="false">IF(H50&lt;&gt;"По высоте","",IF(H6=H46,"По высоте, НО","По высоте"))</f>
        <v/>
      </c>
      <c r="I44" s="55" t="str">
        <f aca="false">IF(I50&lt;&gt;"По высоте","",IF(I6=I46,"По высоте, НО","По высоте"))</f>
        <v/>
      </c>
      <c r="J44" s="55" t="str">
        <f aca="false">IF(J50&lt;&gt;"По высоте","",IF(J6=J46,"По высоте, НО","По высоте"))</f>
        <v/>
      </c>
      <c r="K44" s="55" t="str">
        <f aca="false">IF(K50&lt;&gt;"По высоте","",IF(K6=K46,"По высоте, НО","По высоте"))</f>
        <v/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customFormat="false" ht="9.9" hidden="false" customHeight="true" outlineLevel="0" collapsed="false">
      <c r="A45" s="53"/>
      <c r="B45" s="56" t="str">
        <f aca="false">IF(AND(B43="",B44=""),"нет вариантов",IF(B44="по высоте, но","~от факт.шир.рулона",""))</f>
        <v>нет вариантов</v>
      </c>
      <c r="C45" s="56" t="str">
        <f aca="false">IF(AND(C43="",C44=""),"нет вариантов",IF(C44="по высоте, но","~от факт.шир.рулона",""))</f>
        <v>нет вариантов</v>
      </c>
      <c r="D45" s="56" t="str">
        <f aca="false">IF(AND(D43="",D44=""),"нет вариантов",IF(D44="по высоте, но","~от факт.шир.рулона",""))</f>
        <v>нет вариантов</v>
      </c>
      <c r="E45" s="56" t="str">
        <f aca="false">IF(AND(E43="",E44=""),"нет вариантов",IF(E44="по высоте, но","~от факт.шир.рулона",""))</f>
        <v>нет вариантов</v>
      </c>
      <c r="F45" s="56" t="str">
        <f aca="false">IF(AND(F43="",F44=""),"нет вариантов",IF(F44="по высоте, но","~от факт.шир.рулона",""))</f>
        <v>нет вариантов</v>
      </c>
      <c r="G45" s="56" t="str">
        <f aca="false">IF(AND(G43="",G44=""),"нет вариантов",IF(G44="по высоте, но","~от факт.шир.рулона",""))</f>
        <v>нет вариантов</v>
      </c>
      <c r="H45" s="56" t="str">
        <f aca="false">IF(AND(H43="",H44=""),"нет вариантов",IF(H44="по высоте, но","~от факт.шир.рулона",""))</f>
        <v>нет вариантов</v>
      </c>
      <c r="I45" s="56" t="str">
        <f aca="false">IF(AND(I43="",I44=""),"нет вариантов",IF(I44="по высоте, но","~от факт.шир.рулона",""))</f>
        <v>нет вариантов</v>
      </c>
      <c r="J45" s="56" t="str">
        <f aca="false">IF(AND(J43="",J44=""),"нет вариантов",IF(J44="по высоте, но","~от факт.шир.рулона",""))</f>
        <v>нет вариантов</v>
      </c>
      <c r="K45" s="56" t="str">
        <f aca="false">IF(AND(K43="",K44=""),"нет вариантов",IF(K44="по высоте, но","~от факт.шир.рулона",""))</f>
        <v>нет вариантов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customFormat="false" ht="9.9" hidden="false" customHeight="true" outlineLevel="0" collapsed="false">
      <c r="A46" s="14" t="s">
        <v>51</v>
      </c>
      <c r="B46" s="52" t="e">
        <f aca="false">VLOOKUP(B37,'цены ткани Amigo'!$A$5:$C$204,3,0)</f>
        <v>#N/A</v>
      </c>
      <c r="C46" s="52" t="e">
        <f aca="false">VLOOKUP(C37,'цены ткани Amigo'!$A$5:$C$204,3,0)</f>
        <v>#N/A</v>
      </c>
      <c r="D46" s="52" t="e">
        <f aca="false">VLOOKUP(D37,'цены ткани Amigo'!$A$5:$C$204,3,0)</f>
        <v>#N/A</v>
      </c>
      <c r="E46" s="52" t="e">
        <f aca="false">VLOOKUP(E37,'цены ткани Amigo'!$A$5:$C$204,3,0)</f>
        <v>#N/A</v>
      </c>
      <c r="F46" s="52" t="e">
        <f aca="false">VLOOKUP(F37,'цены ткани Amigo'!$A$5:$C$204,3,0)</f>
        <v>#N/A</v>
      </c>
      <c r="G46" s="52" t="e">
        <f aca="false">VLOOKUP(G37,'цены ткани Amigo'!$A$5:$C$204,3,0)</f>
        <v>#N/A</v>
      </c>
      <c r="H46" s="52" t="e">
        <f aca="false">VLOOKUP(H37,'цены ткани Amigo'!$A$5:$C$204,3,0)</f>
        <v>#N/A</v>
      </c>
      <c r="I46" s="52" t="e">
        <f aca="false">VLOOKUP(I37,'цены ткани Amigo'!$A$5:$C$204,3,0)</f>
        <v>#N/A</v>
      </c>
      <c r="J46" s="52" t="e">
        <f aca="false">VLOOKUP(J37,'цены ткани Amigo'!$A$5:$C$204,3,0)</f>
        <v>#N/A</v>
      </c>
      <c r="K46" s="52" t="e">
        <f aca="false">VLOOKUP(K37,'цены ткани Amigo'!$A$5:$C$204,3,0)</f>
        <v>#N/A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customFormat="false" ht="9.9" hidden="true" customHeight="true" outlineLevel="0" collapsed="false">
      <c r="A47" s="14" t="s">
        <v>52</v>
      </c>
      <c r="B47" s="57" t="str">
        <f aca="false">IF(B34="","",VLOOKUP(B34,'Доп данные по компл рулонки'!$D$4:$E$12,2,0))</f>
        <v/>
      </c>
      <c r="C47" s="57" t="str">
        <f aca="false">IF(C34="","",VLOOKUP(C34,'Доп данные по компл рулонки'!$D$4:$E$12,2,0))</f>
        <v/>
      </c>
      <c r="D47" s="57" t="str">
        <f aca="false">IF(D34="","",VLOOKUP(D34,'Доп данные по компл рулонки'!$D$4:$E$12,2,0))</f>
        <v/>
      </c>
      <c r="E47" s="57" t="str">
        <f aca="false">IF(E34="","",VLOOKUP(E34,'Доп данные по компл рулонки'!$D$4:$E$12,2,0))</f>
        <v/>
      </c>
      <c r="F47" s="57" t="str">
        <f aca="false">IF(F34="","",VLOOKUP(F34,'Доп данные по компл рулонки'!$D$4:$E$12,2,0))</f>
        <v/>
      </c>
      <c r="G47" s="57" t="str">
        <f aca="false">IF(G34="","",VLOOKUP(G34,'Доп данные по компл рулонки'!$D$4:$E$12,2,0))</f>
        <v/>
      </c>
      <c r="H47" s="57" t="str">
        <f aca="false">IF(H34="","",VLOOKUP(H34,'Доп данные по компл рулонки'!$D$4:$E$12,2,0))</f>
        <v/>
      </c>
      <c r="I47" s="57" t="str">
        <f aca="false">IF(I34="","",VLOOKUP(I34,'Доп данные по компл рулонки'!$D$4:$E$12,2,0))</f>
        <v/>
      </c>
      <c r="J47" s="57" t="str">
        <f aca="false">IF(J34="","",VLOOKUP(J34,'Доп данные по компл рулонки'!$D$4:$E$12,2,0))</f>
        <v/>
      </c>
      <c r="K47" s="57" t="str">
        <f aca="false">IF(K34="","",VLOOKUP(K34,'Доп данные по компл рулонки'!$D$4:$E$12,2,0))</f>
        <v/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customFormat="false" ht="10.2" hidden="true" customHeight="true" outlineLevel="0" collapsed="false">
      <c r="A48" s="14" t="s">
        <v>53</v>
      </c>
      <c r="B48" s="20" t="e">
        <f aca="false">B47+B7</f>
        <v>#VALUE!</v>
      </c>
      <c r="C48" s="20" t="e">
        <f aca="false">C47+C7</f>
        <v>#VALUE!</v>
      </c>
      <c r="D48" s="20" t="e">
        <f aca="false">D47+D7</f>
        <v>#VALUE!</v>
      </c>
      <c r="E48" s="20" t="e">
        <f aca="false">E47+E7</f>
        <v>#VALUE!</v>
      </c>
      <c r="F48" s="20" t="e">
        <f aca="false">F47+F7</f>
        <v>#VALUE!</v>
      </c>
      <c r="G48" s="20" t="e">
        <f aca="false">G47+G7</f>
        <v>#VALUE!</v>
      </c>
      <c r="H48" s="20" t="e">
        <f aca="false">H47+H7</f>
        <v>#VALUE!</v>
      </c>
      <c r="I48" s="20" t="e">
        <f aca="false">I47+I7</f>
        <v>#VALUE!</v>
      </c>
      <c r="J48" s="20" t="e">
        <f aca="false">J47+J7</f>
        <v>#VALUE!</v>
      </c>
      <c r="K48" s="20" t="e">
        <f aca="false">K47+K7</f>
        <v>#VALUE!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customFormat="false" ht="10.2" hidden="true" customHeight="true" outlineLevel="0" collapsed="false">
      <c r="A49" s="14" t="s">
        <v>54</v>
      </c>
      <c r="B49" s="58" t="str">
        <f aca="false">IF(B6*B7&lt;=0,"указать размер",IF(B42="направленный","направл рис",IF((B7+B47)&gt;B46,"шир рул","По ширине")))</f>
        <v>указать размер</v>
      </c>
      <c r="C49" s="58" t="str">
        <f aca="false">IF(C6*C7&lt;=0,"указать размер",IF(C42="направленный","направл рис",IF((C7+C47)&gt;C46,"шир рул","По ширине")))</f>
        <v>указать размер</v>
      </c>
      <c r="D49" s="58" t="str">
        <f aca="false">IF(D6*D7&lt;=0,"указать размер",IF(D42="направленный","направл рис",IF((D7+D47)&gt;D46,"шир рул","По ширине")))</f>
        <v>указать размер</v>
      </c>
      <c r="E49" s="58" t="str">
        <f aca="false">IF(E6*E7&lt;=0,"указать размер",IF(E42="направленный","направл рис",IF((E7+E47)&gt;E46,"шир рул","По ширине")))</f>
        <v>указать размер</v>
      </c>
      <c r="F49" s="58" t="str">
        <f aca="false">IF(F6*F7&lt;=0,"указать размер",IF(F42="направленный","направл рис",IF((F7+F47)&gt;F46,"шир рул","По ширине")))</f>
        <v>указать размер</v>
      </c>
      <c r="G49" s="58" t="str">
        <f aca="false">IF(G6*G7&lt;=0,"указать размер",IF(G42="направленный","направл рис",IF((G7+G47)&gt;G46,"шир рул","По ширине")))</f>
        <v>указать размер</v>
      </c>
      <c r="H49" s="58" t="str">
        <f aca="false">IF(H6*H7&lt;=0,"указать размер",IF(H42="направленный","направл рис",IF((H7+H47)&gt;H46,"шир рул","По ширине")))</f>
        <v>указать размер</v>
      </c>
      <c r="I49" s="58" t="str">
        <f aca="false">IF(I6*I7&lt;=0,"указать размер",IF(I42="направленный","направл рис",IF((I7+I47)&gt;I46,"шир рул","По ширине")))</f>
        <v>указать размер</v>
      </c>
      <c r="J49" s="58" t="str">
        <f aca="false">IF(J6*J7&lt;=0,"указать размер",IF(J42="направленный","направл рис",IF((J7+J47)&gt;J46,"шир рул","По ширине")))</f>
        <v>указать размер</v>
      </c>
      <c r="K49" s="58" t="str">
        <f aca="false">IF(K6*K7&lt;=0,"указать размер",IF(K42="направленный","направл рис",IF((K7+K47)&gt;K46,"шир рул","По ширине")))</f>
        <v>указать размер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customFormat="false" ht="9.9" hidden="true" customHeight="true" outlineLevel="0" collapsed="false">
      <c r="A50" s="14" t="s">
        <v>55</v>
      </c>
      <c r="B50" s="59" t="str">
        <f aca="false">IF(B6*B7&lt;=0,"указать размер",IF(B6&gt;B46,"ширина рулона","По высоте"))</f>
        <v>указать размер</v>
      </c>
      <c r="C50" s="59" t="str">
        <f aca="false">IF(C6*C7&lt;=0,"указать размер",IF(C6&gt;C46,"ширина рулона","По высоте"))</f>
        <v>указать размер</v>
      </c>
      <c r="D50" s="59" t="str">
        <f aca="false">IF(D6*D7&lt;=0,"указать размер",IF(D6&gt;D46,"ширина рулона","По высоте"))</f>
        <v>указать размер</v>
      </c>
      <c r="E50" s="59" t="str">
        <f aca="false">IF(E6*E7&lt;=0,"указать размер",IF(E6&gt;E46,"ширина рулона","По высоте"))</f>
        <v>указать размер</v>
      </c>
      <c r="F50" s="59" t="str">
        <f aca="false">IF(F6*F7&lt;=0,"указать размер",IF(F6&gt;F46,"ширина рулона","По высоте"))</f>
        <v>указать размер</v>
      </c>
      <c r="G50" s="59" t="str">
        <f aca="false">IF(G6*G7&lt;=0,"указать размер",IF(G6&gt;G46,"ширина рулона","По высоте"))</f>
        <v>указать размер</v>
      </c>
      <c r="H50" s="59" t="str">
        <f aca="false">IF(H6*H7&lt;=0,"указать размер",IF(H6&gt;H46,"ширина рулона","По высоте"))</f>
        <v>указать размер</v>
      </c>
      <c r="I50" s="59" t="str">
        <f aca="false">IF(I6*I7&lt;=0,"указать размер",IF(I6&gt;I46,"ширина рулона","По высоте"))</f>
        <v>указать размер</v>
      </c>
      <c r="J50" s="59" t="str">
        <f aca="false">IF(J6*J7&lt;=0,"указать размер",IF(J6&gt;J46,"ширина рулона","По высоте"))</f>
        <v>указать размер</v>
      </c>
      <c r="K50" s="59" t="str">
        <f aca="false">IF(K6*K7&lt;=0,"указать размер",IF(K6&gt;K46,"ширина рулона","По высоте"))</f>
        <v>указать размер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customFormat="false" ht="9.9" hidden="true" customHeight="true" outlineLevel="0" collapsed="false">
      <c r="A51" s="60" t="s">
        <v>56</v>
      </c>
      <c r="B51" s="59" t="str">
        <f aca="false">IF(B43="По ширине",B41*B6,"невозможно")</f>
        <v>невозможно</v>
      </c>
      <c r="C51" s="59" t="str">
        <f aca="false">IF(C43="По ширине",C41*C6,"невозможно")</f>
        <v>невозможно</v>
      </c>
      <c r="D51" s="59" t="str">
        <f aca="false">IF(D43="По ширине",D41*D6,"невозможно")</f>
        <v>невозможно</v>
      </c>
      <c r="E51" s="59" t="str">
        <f aca="false">IF(E43="По ширине",E41*E6,"невозможно")</f>
        <v>невозможно</v>
      </c>
      <c r="F51" s="59" t="str">
        <f aca="false">IF(F43="По ширине",F41*F6,"невозможно")</f>
        <v>невозможно</v>
      </c>
      <c r="G51" s="59" t="str">
        <f aca="false">IF(G43="По ширине",G41*G6,"невозможно")</f>
        <v>невозможно</v>
      </c>
      <c r="H51" s="59" t="str">
        <f aca="false">IF(H43="По ширине",H41*H6,"невозможно")</f>
        <v>невозможно</v>
      </c>
      <c r="I51" s="59" t="str">
        <f aca="false">IF(I43="По ширине",I41*I6,"невозможно")</f>
        <v>невозможно</v>
      </c>
      <c r="J51" s="59" t="str">
        <f aca="false">IF(J43="По ширине",J41*J6,"невозможно")</f>
        <v>невозможно</v>
      </c>
      <c r="K51" s="59" t="str">
        <f aca="false">IF(K43="По ширине",K41*K6,"невозможно")</f>
        <v>невозможно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customFormat="false" ht="9.9" hidden="true" customHeight="true" outlineLevel="0" collapsed="false">
      <c r="A52" s="60" t="s">
        <v>57</v>
      </c>
      <c r="B52" s="59" t="str">
        <f aca="false">IF(B50="По высоте",(B7+B47)*B41,"невозможно")</f>
        <v>невозможно</v>
      </c>
      <c r="C52" s="59" t="str">
        <f aca="false">IF(C50="По высоте",(C7+C47)*C41,"невозможно")</f>
        <v>невозможно</v>
      </c>
      <c r="D52" s="59" t="str">
        <f aca="false">IF(D50="По высоте",(D7+D47)*D41,"невозможно")</f>
        <v>невозможно</v>
      </c>
      <c r="E52" s="59" t="str">
        <f aca="false">IF(E50="По высоте",(E7+E47)*E41,"невозможно")</f>
        <v>невозможно</v>
      </c>
      <c r="F52" s="59" t="str">
        <f aca="false">IF(F50="По высоте",(F7+F47)*F41,"невозможно")</f>
        <v>невозможно</v>
      </c>
      <c r="G52" s="59" t="str">
        <f aca="false">IF(G50="По высоте",(G7+G47)*G41,"невозможно")</f>
        <v>невозможно</v>
      </c>
      <c r="H52" s="59" t="str">
        <f aca="false">IF(H50="По высоте",(H7+H47)*H41,"невозможно")</f>
        <v>невозможно</v>
      </c>
      <c r="I52" s="59" t="str">
        <f aca="false">IF(I50="По высоте",(I7+I47)*I41,"невозможно")</f>
        <v>невозможно</v>
      </c>
      <c r="J52" s="59" t="str">
        <f aca="false">IF(J50="По высоте",(J7+J47)*J41,"невозможно")</f>
        <v>невозможно</v>
      </c>
      <c r="K52" s="59" t="str">
        <f aca="false">IF(K50="По высоте",(K7+K47)*K41,"невозможно")</f>
        <v>невозможно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customFormat="false" ht="9.9" hidden="true" customHeight="true" outlineLevel="0" collapsed="false">
      <c r="A53" s="60" t="s">
        <v>58</v>
      </c>
      <c r="B53" s="59" t="str">
        <f aca="false">IF(B43="По ширине",B51,"невозможно")</f>
        <v>невозможно</v>
      </c>
      <c r="C53" s="59" t="str">
        <f aca="false">IF(C43="По ширине",C51,"невозможно")</f>
        <v>невозможно</v>
      </c>
      <c r="D53" s="59" t="str">
        <f aca="false">IF(D43="По ширине",D51,"невозможно")</f>
        <v>невозможно</v>
      </c>
      <c r="E53" s="59" t="str">
        <f aca="false">IF(E43="По ширине",E51,"невозможно")</f>
        <v>невозможно</v>
      </c>
      <c r="F53" s="59" t="str">
        <f aca="false">IF(F43="По ширине",F51,"невозможно")</f>
        <v>невозможно</v>
      </c>
      <c r="G53" s="59" t="str">
        <f aca="false">IF(G43="По ширине",G51,"невозможно")</f>
        <v>невозможно</v>
      </c>
      <c r="H53" s="59" t="str">
        <f aca="false">IF(H43="По ширине",H51,"невозможно")</f>
        <v>невозможно</v>
      </c>
      <c r="I53" s="59" t="str">
        <f aca="false">IF(I43="По ширине",I51,"невозможно")</f>
        <v>невозможно</v>
      </c>
      <c r="J53" s="59" t="str">
        <f aca="false">IF(J43="По ширине",J51,"невозможно")</f>
        <v>невозможно</v>
      </c>
      <c r="K53" s="59" t="str">
        <f aca="false">IF(K43="По ширине",K51,"невозможно")</f>
        <v>невозможно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customFormat="false" ht="9.9" hidden="true" customHeight="true" outlineLevel="0" collapsed="false">
      <c r="A54" s="60" t="s">
        <v>59</v>
      </c>
      <c r="B54" s="61" t="str">
        <f aca="false">IF(B44="","невозможно",B52)</f>
        <v>невозможно</v>
      </c>
      <c r="C54" s="61" t="str">
        <f aca="false">IF(C44="","невозможно",C52)</f>
        <v>невозможно</v>
      </c>
      <c r="D54" s="61" t="str">
        <f aca="false">IF(D44="","невозможно",D52)</f>
        <v>невозможно</v>
      </c>
      <c r="E54" s="61" t="str">
        <f aca="false">IF(E44="","невозможно",E52)</f>
        <v>невозможно</v>
      </c>
      <c r="F54" s="61" t="str">
        <f aca="false">IF(F44="","невозможно",F52)</f>
        <v>невозможно</v>
      </c>
      <c r="G54" s="61" t="str">
        <f aca="false">IF(G44="","невозможно",G52)</f>
        <v>невозможно</v>
      </c>
      <c r="H54" s="61" t="str">
        <f aca="false">IF(H44="","невозможно",H52)</f>
        <v>невозможно</v>
      </c>
      <c r="I54" s="61" t="str">
        <f aca="false">IF(I44="","невозможно",I52)</f>
        <v>невозможно</v>
      </c>
      <c r="J54" s="61" t="str">
        <f aca="false">IF(J44="","невозможно",J52)</f>
        <v>невозможно</v>
      </c>
      <c r="K54" s="61" t="str">
        <f aca="false">IF(K44="","невозможно",K52)</f>
        <v>невозможно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customFormat="false" ht="9.9" hidden="false" customHeight="true" outlineLevel="0" collapsed="false">
      <c r="A55" s="60"/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customFormat="false" ht="9.9" hidden="false" customHeight="true" outlineLevel="0" collapsed="false">
      <c r="A56" s="62" t="s">
        <v>60</v>
      </c>
      <c r="B56" s="63" t="s">
        <v>61</v>
      </c>
      <c r="C56" s="63" t="s">
        <v>61</v>
      </c>
      <c r="D56" s="63" t="s">
        <v>61</v>
      </c>
      <c r="E56" s="63" t="s">
        <v>61</v>
      </c>
      <c r="F56" s="63" t="s">
        <v>61</v>
      </c>
      <c r="G56" s="63" t="s">
        <v>61</v>
      </c>
      <c r="H56" s="63" t="s">
        <v>61</v>
      </c>
      <c r="I56" s="63" t="s">
        <v>61</v>
      </c>
      <c r="J56" s="63" t="s">
        <v>61</v>
      </c>
      <c r="K56" s="63" t="s">
        <v>61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customFormat="false" ht="9.9" hidden="false" customHeight="true" outlineLevel="0" collapsed="false">
      <c r="A57" s="62"/>
      <c r="B57" s="47" t="str">
        <f aca="false">IF(B6*B7=0,"указать размеры",IF(B56="по высоте",B52,B51))</f>
        <v>указать размеры</v>
      </c>
      <c r="C57" s="47" t="str">
        <f aca="false">IF(C6*C7=0,"указать размеры",IF(C56="по высоте",C52,C51))</f>
        <v>указать размеры</v>
      </c>
      <c r="D57" s="47" t="str">
        <f aca="false">IF(D6*D7=0,"указать размеры",IF(D56="по высоте",D52,D51))</f>
        <v>указать размеры</v>
      </c>
      <c r="E57" s="47" t="str">
        <f aca="false">IF(E6*E7=0,"указать размеры",IF(E56="по высоте",E52,E51))</f>
        <v>указать размеры</v>
      </c>
      <c r="F57" s="47" t="str">
        <f aca="false">IF(F6*F7=0,"указать размеры",IF(F56="по высоте",F52,F51))</f>
        <v>указать размеры</v>
      </c>
      <c r="G57" s="47" t="str">
        <f aca="false">IF(G6*G7=0,"указать размеры",IF(G56="по высоте",G52,G51))</f>
        <v>указать размеры</v>
      </c>
      <c r="H57" s="47" t="str">
        <f aca="false">IF(H6*H7=0,"указать размеры",IF(H56="по высоте",H52,H51))</f>
        <v>указать размеры</v>
      </c>
      <c r="I57" s="47" t="str">
        <f aca="false">IF(I6*I7=0,"указать размеры",IF(I56="по высоте",I52,I51))</f>
        <v>указать размеры</v>
      </c>
      <c r="J57" s="47" t="str">
        <f aca="false">IF(J6*J7=0,"указать размеры",IF(J56="по высоте",J52,J51))</f>
        <v>указать размеры</v>
      </c>
      <c r="K57" s="47" t="str">
        <f aca="false">IF(K6*K7=0,"указать размеры",IF(K56="по высоте",K52,K51))</f>
        <v>указать размеры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customFormat="false" ht="9.9" hidden="true" customHeight="true" outlineLevel="0" collapsed="false">
      <c r="A58" s="64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</row>
    <row r="59" customFormat="false" ht="9.9" hidden="false" customHeight="true" outlineLevel="0" collapsed="false">
      <c r="A59" s="37" t="s">
        <v>46</v>
      </c>
      <c r="B59" s="67" t="str">
        <f aca="false">IF(B37=0,"",IF(B56="по высоте",ROUNDDOWN(B46/B6,0)&amp;" кусков",""))</f>
        <v/>
      </c>
      <c r="C59" s="67" t="str">
        <f aca="false">IF(C37=0,"",IF(C56="по высоте",ROUNDDOWN(C46/C6,0)&amp;" кусков",""))</f>
        <v/>
      </c>
      <c r="D59" s="67" t="str">
        <f aca="false">IF(D37=0,"",IF(D56="по высоте",ROUNDDOWN(D46/D6,0)&amp;" кусков",""))</f>
        <v/>
      </c>
      <c r="E59" s="67" t="str">
        <f aca="false">IF(E37=0,"",IF(E56="по высоте",ROUNDDOWN(E46/E6,0)&amp;" кусков",""))</f>
        <v/>
      </c>
      <c r="F59" s="67" t="str">
        <f aca="false">IF(F37=0,"",IF(F56="по высоте",ROUNDDOWN(F46/F6,0)&amp;" кусков",""))</f>
        <v/>
      </c>
      <c r="G59" s="67" t="str">
        <f aca="false">IF(G37=0,"",IF(G56="по высоте",ROUNDDOWN(G46/G6,0)&amp;" кусков",""))</f>
        <v/>
      </c>
      <c r="H59" s="67" t="str">
        <f aca="false">IF(H37=0,"",IF(H56="по высоте",ROUNDDOWN(H46/H6,0)&amp;" кусков",""))</f>
        <v/>
      </c>
      <c r="I59" s="67" t="str">
        <f aca="false">IF(I37=0,"",IF(I56="по высоте",ROUNDDOWN(I46/I6,0)&amp;" кусков",""))</f>
        <v/>
      </c>
      <c r="J59" s="67" t="str">
        <f aca="false">IF(J37=0,"",IF(J56="по высоте",ROUNDDOWN(J46/J6,0)&amp;" кусков",""))</f>
        <v/>
      </c>
      <c r="K59" s="67" t="str">
        <f aca="false">IF(K37=0,"",IF(K56="по высоте",ROUNDDOWN(K46/K6,0)&amp;" кусков",""))</f>
        <v/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customFormat="false" ht="9.9" hidden="false" customHeight="true" outlineLevel="0" collapsed="false">
      <c r="A60" s="18" t="s">
        <v>62</v>
      </c>
      <c r="B60" s="19"/>
      <c r="C60" s="19"/>
      <c r="D60" s="19"/>
      <c r="E60" s="19"/>
      <c r="F60" s="19"/>
      <c r="G60" s="19"/>
      <c r="H60" s="19"/>
      <c r="I60" s="19"/>
      <c r="J60" s="19"/>
      <c r="K60" s="68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customFormat="false" ht="9.9" hidden="true" customHeight="true" outlineLevel="0" collapsed="false">
      <c r="A61" s="14" t="s">
        <v>63</v>
      </c>
      <c r="B61" s="29" t="e">
        <f aca="false">IF(B22&lt;1,"НЕПРИМЕНИМО","")</f>
        <v>#N/A</v>
      </c>
      <c r="C61" s="29" t="e">
        <f aca="false">IF(C22&lt;1,"НЕПРИМЕНИМО","")</f>
        <v>#N/A</v>
      </c>
      <c r="D61" s="29" t="e">
        <f aca="false">IF(D22&lt;1,"НЕПРИМЕНИМО","")</f>
        <v>#N/A</v>
      </c>
      <c r="E61" s="29" t="e">
        <f aca="false">IF(E22&lt;1,"НЕПРИМЕНИМО","")</f>
        <v>#N/A</v>
      </c>
      <c r="F61" s="29" t="e">
        <f aca="false">IF(F22&lt;1,"НЕПРИМЕНИМО","")</f>
        <v>#N/A</v>
      </c>
      <c r="G61" s="29" t="e">
        <f aca="false">IF(G22&lt;1,"НЕПРИМЕНИМО","")</f>
        <v>#N/A</v>
      </c>
      <c r="H61" s="29" t="e">
        <f aca="false">IF(H22&lt;1,"НЕПРИМЕНИМО","")</f>
        <v>#N/A</v>
      </c>
      <c r="I61" s="29" t="e">
        <f aca="false">IF(I22&lt;1,"НЕПРИМЕНИМО","")</f>
        <v>#N/A</v>
      </c>
      <c r="J61" s="29" t="e">
        <f aca="false">IF(J22&lt;1,"НЕПРИМЕНИМО","")</f>
        <v>#N/A</v>
      </c>
      <c r="K61" s="29" t="e">
        <f aca="false">IF(K22&lt;1,"НЕПРИМЕНИМО","")</f>
        <v>#N/A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customFormat="false" ht="9.9" hidden="false" customHeight="true" outlineLevel="0" collapsed="false">
      <c r="A62" s="18" t="s">
        <v>47</v>
      </c>
      <c r="B62" s="69" t="e">
        <f aca="false">IF(B22=1,VLOOKUP(B60,'цены ткани Amigo'!$A$5:$B$204,2,0)*$B$2*2,"")</f>
        <v>#N/A</v>
      </c>
      <c r="C62" s="69" t="e">
        <f aca="false">IF(C22=1,VLOOKUP(C60,'цены ткани Amigo'!$A$5:$B$204,2,0)*$B$2*2,"")</f>
        <v>#N/A</v>
      </c>
      <c r="D62" s="69" t="e">
        <f aca="false">IF(D22=1,VLOOKUP(D60,'цены ткани Amigo'!$A$5:$B$204,2,0)*$B$2*2,"")</f>
        <v>#N/A</v>
      </c>
      <c r="E62" s="69" t="e">
        <f aca="false">IF(E22=1,VLOOKUP(E60,'цены ткани Amigo'!$A$5:$B$204,2,0)*$B$2*2,"")</f>
        <v>#N/A</v>
      </c>
      <c r="F62" s="69" t="e">
        <f aca="false">IF(F22=1,VLOOKUP(F60,'цены ткани Amigo'!$A$5:$B$204,2,0)*$B$2*2,"")</f>
        <v>#N/A</v>
      </c>
      <c r="G62" s="69" t="e">
        <f aca="false">IF(G22=1,VLOOKUP(G60,'цены ткани Amigo'!$A$5:$B$204,2,0)*$B$2*2,"")</f>
        <v>#N/A</v>
      </c>
      <c r="H62" s="69" t="e">
        <f aca="false">IF(H22=1,VLOOKUP(H60,'цены ткани Amigo'!$A$5:$B$204,2,0)*$B$2*2,"")</f>
        <v>#N/A</v>
      </c>
      <c r="I62" s="69" t="e">
        <f aca="false">IF(I22=1,VLOOKUP(I60,'цены ткани Amigo'!$A$5:$B$204,2,0)*$B$2*2,"")</f>
        <v>#N/A</v>
      </c>
      <c r="J62" s="69" t="e">
        <f aca="false">IF(J22=1,VLOOKUP(J60,'цены ткани Amigo'!$A$5:$B$204,2,0)*$B$2*2,"")</f>
        <v>#N/A</v>
      </c>
      <c r="K62" s="69" t="e">
        <f aca="false">IF(K22=1,VLOOKUP(K60,'цены ткани Amigo'!$A$5:$B$204,2,0)*$B$2*2,"")</f>
        <v>#N/A</v>
      </c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customFormat="false" ht="9.9" hidden="false" customHeight="true" outlineLevel="0" collapsed="false">
      <c r="A63" s="18" t="s">
        <v>46</v>
      </c>
      <c r="B63" s="70" t="str">
        <f aca="false">IF(B69="","",IF(B70&gt;3.5,"ВЫСОТА БОЛЬШЕ 3,5 М",""))</f>
        <v/>
      </c>
      <c r="C63" s="70" t="str">
        <f aca="false">IF(C69="","",IF(C70&gt;3.5,"ВЫСОТА БОЛЬШЕ 3,5 М",""))</f>
        <v/>
      </c>
      <c r="D63" s="70" t="str">
        <f aca="false">IF(D69="","",IF(D70&gt;3.5,"ВЫСОТА БОЛЬШЕ 3,5 М",""))</f>
        <v/>
      </c>
      <c r="E63" s="70" t="str">
        <f aca="false">IF(E69="","",IF(E70&gt;3.5,"ВЫСОТА БОЛЬШЕ 3,5 М",""))</f>
        <v/>
      </c>
      <c r="F63" s="70" t="str">
        <f aca="false">IF(F69="","",IF(F70&gt;3.5,"ВЫСОТА БОЛЬШЕ 3,5 М",""))</f>
        <v/>
      </c>
      <c r="G63" s="70" t="str">
        <f aca="false">IF(G69="","",IF(G70&gt;3.5,"ВЫСОТА БОЛЬШЕ 3,5 М",""))</f>
        <v/>
      </c>
      <c r="H63" s="70" t="str">
        <f aca="false">IF(H69="","",IF(H70&gt;3.5,"ВЫСОТА БОЛЬШЕ 3,5 М",""))</f>
        <v/>
      </c>
      <c r="I63" s="70" t="str">
        <f aca="false">IF(I69="","",IF(I70&gt;3.5,"ВЫСОТА БОЛЬШЕ 3,5 М",""))</f>
        <v/>
      </c>
      <c r="J63" s="70" t="str">
        <f aca="false">IF(J69="","",IF(J70&gt;3.5,"ВЫСОТА БОЛЬШЕ 3,5 М",""))</f>
        <v/>
      </c>
      <c r="K63" s="70" t="str">
        <f aca="false">IF(K69="","",IF(K70&gt;3.5,"ВЫСОТА БОЛЬШЕ 3,5 М",""))</f>
        <v/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customFormat="false" ht="9.9" hidden="false" customHeight="true" outlineLevel="0" collapsed="false">
      <c r="A64" s="18" t="s">
        <v>48</v>
      </c>
      <c r="B64" s="71" t="e">
        <f aca="false">VLOOKUP(B60,'цены ткани Amigo'!$A$5:$D$204,4,0)</f>
        <v>#N/A</v>
      </c>
      <c r="C64" s="71" t="e">
        <f aca="false">VLOOKUP(C60,'цены ткани Amigo'!$A$5:$D$204,4,0)</f>
        <v>#N/A</v>
      </c>
      <c r="D64" s="71" t="e">
        <f aca="false">VLOOKUP(D60,'цены ткани Amigo'!$A$5:$D$204,4,0)</f>
        <v>#N/A</v>
      </c>
      <c r="E64" s="71" t="e">
        <f aca="false">VLOOKUP(E60,'цены ткани Amigo'!$A$5:$D$204,4,0)</f>
        <v>#N/A</v>
      </c>
      <c r="F64" s="71" t="e">
        <f aca="false">VLOOKUP(F60,'цены ткани Amigo'!$A$5:$D$204,4,0)</f>
        <v>#N/A</v>
      </c>
      <c r="G64" s="71" t="e">
        <f aca="false">VLOOKUP(G60,'цены ткани Amigo'!$A$5:$D$204,4,0)</f>
        <v>#N/A</v>
      </c>
      <c r="H64" s="71" t="e">
        <f aca="false">VLOOKUP(H60,'цены ткани Amigo'!$A$5:$D$204,4,0)</f>
        <v>#N/A</v>
      </c>
      <c r="I64" s="71" t="e">
        <f aca="false">VLOOKUP(I60,'цены ткани Amigo'!$A$5:$D$204,4,0)</f>
        <v>#N/A</v>
      </c>
      <c r="J64" s="71" t="e">
        <f aca="false">VLOOKUP(J60,'цены ткани Amigo'!$A$5:$D$204,4,0)</f>
        <v>#N/A</v>
      </c>
      <c r="K64" s="71" t="e">
        <f aca="false">VLOOKUP(K60,'цены ткани Amigo'!$A$5:$D$204,4,0)</f>
        <v>#N/A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customFormat="false" ht="9.9" hidden="false" customHeight="true" outlineLevel="0" collapsed="false">
      <c r="A65" s="72" t="s">
        <v>49</v>
      </c>
      <c r="B65" s="73" t="str">
        <f aca="false">IF(B49="По ширине",B71,"")</f>
        <v/>
      </c>
      <c r="C65" s="73" t="str">
        <f aca="false">IF(C49="По ширине",C71,"")</f>
        <v/>
      </c>
      <c r="D65" s="73" t="str">
        <f aca="false">IF(D49="По ширине",D71,"")</f>
        <v/>
      </c>
      <c r="E65" s="73" t="str">
        <f aca="false">IF(E49="По ширине",E71,"")</f>
        <v/>
      </c>
      <c r="F65" s="73" t="str">
        <f aca="false">IF(F49="По ширине",F71,"")</f>
        <v/>
      </c>
      <c r="G65" s="73" t="str">
        <f aca="false">IF(G49="По ширине",G71,"")</f>
        <v/>
      </c>
      <c r="H65" s="73" t="str">
        <f aca="false">IF(H49="По ширине",H71,"")</f>
        <v/>
      </c>
      <c r="I65" s="73" t="str">
        <f aca="false">IF(I49="По ширине",I71,"")</f>
        <v/>
      </c>
      <c r="J65" s="73" t="str">
        <f aca="false">IF(J49="По ширине",J71,"")</f>
        <v/>
      </c>
      <c r="K65" s="73" t="str">
        <f aca="false">IF(K49="По ширине",K71,"")</f>
        <v/>
      </c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customFormat="false" ht="9.9" hidden="false" customHeight="true" outlineLevel="0" collapsed="false">
      <c r="A66" s="72" t="s">
        <v>50</v>
      </c>
      <c r="B66" s="74" t="str">
        <f aca="false">IF(B72&lt;&gt;"По высоте","",IF(B8=B68,"По высоте, НО","По высоте"))</f>
        <v/>
      </c>
      <c r="C66" s="74" t="str">
        <f aca="false">IF(C72&lt;&gt;"По высоте","",IF(C8=C68,"По высоте, НО","По высоте"))</f>
        <v/>
      </c>
      <c r="D66" s="74" t="str">
        <f aca="false">IF(D72&lt;&gt;"По высоте","",IF(D8=D68,"По высоте, НО","По высоте"))</f>
        <v/>
      </c>
      <c r="E66" s="74" t="str">
        <f aca="false">IF(E72&lt;&gt;"По высоте","",IF(E8=E68,"По высоте, НО","По высоте"))</f>
        <v/>
      </c>
      <c r="F66" s="74" t="str">
        <f aca="false">IF(F72&lt;&gt;"По высоте","",IF(F8=F68,"По высоте, НО","По высоте"))</f>
        <v/>
      </c>
      <c r="G66" s="74" t="str">
        <f aca="false">IF(G72&lt;&gt;"По высоте","",IF(G8=G68,"По высоте, НО","По высоте"))</f>
        <v/>
      </c>
      <c r="H66" s="74" t="str">
        <f aca="false">IF(H72&lt;&gt;"По высоте","",IF(H8=H68,"По высоте, НО","По высоте"))</f>
        <v/>
      </c>
      <c r="I66" s="74" t="str">
        <f aca="false">IF(I72&lt;&gt;"По высоте","",IF(I8=I68,"По высоте, НО","По высоте"))</f>
        <v/>
      </c>
      <c r="J66" s="74" t="str">
        <f aca="false">IF(J72&lt;&gt;"По высоте","",IF(J8=J68,"По высоте, НО","По высоте"))</f>
        <v/>
      </c>
      <c r="K66" s="74" t="str">
        <f aca="false">IF(K72&lt;&gt;"По высоте","",IF(K8=K68,"По высоте, НО","По высоте"))</f>
        <v/>
      </c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customFormat="false" ht="9.9" hidden="false" customHeight="true" outlineLevel="0" collapsed="false">
      <c r="A67" s="72"/>
      <c r="B67" s="56" t="str">
        <f aca="false">IF(AND(B65="",B66=""),"нет вариантов",IF(B66="по высоте, но","~от факт.шир.рулона",""))</f>
        <v>нет вариантов</v>
      </c>
      <c r="C67" s="56" t="str">
        <f aca="false">IF(AND(C65="",C66=""),"нет вариантов",IF(C66="по высоте, но","~от факт.шир.рулона",""))</f>
        <v>нет вариантов</v>
      </c>
      <c r="D67" s="56" t="str">
        <f aca="false">IF(AND(D65="",D66=""),"нет вариантов",IF(D66="по высоте, но","~от факт.шир.рулона",""))</f>
        <v>нет вариантов</v>
      </c>
      <c r="E67" s="56" t="str">
        <f aca="false">IF(AND(E65="",E66=""),"нет вариантов",IF(E66="по высоте, но","~от факт.шир.рулона",""))</f>
        <v>нет вариантов</v>
      </c>
      <c r="F67" s="56" t="str">
        <f aca="false">IF(AND(F65="",F66=""),"нет вариантов",IF(F66="по высоте, но","~от факт.шир.рулона",""))</f>
        <v>нет вариантов</v>
      </c>
      <c r="G67" s="56" t="str">
        <f aca="false">IF(AND(G65="",G66=""),"нет вариантов",IF(G66="по высоте, но","~от факт.шир.рулона",""))</f>
        <v>нет вариантов</v>
      </c>
      <c r="H67" s="56" t="str">
        <f aca="false">IF(AND(H65="",H66=""),"нет вариантов",IF(H66="по высоте, но","~от факт.шир.рулона",""))</f>
        <v>нет вариантов</v>
      </c>
      <c r="I67" s="56" t="str">
        <f aca="false">IF(AND(I65="",I66=""),"нет вариантов",IF(I66="по высоте, но","~от факт.шир.рулона",""))</f>
        <v>нет вариантов</v>
      </c>
      <c r="J67" s="56" t="str">
        <f aca="false">IF(AND(J65="",J66=""),"нет вариантов",IF(J66="по высоте, но","~от факт.шир.рулона",""))</f>
        <v>нет вариантов</v>
      </c>
      <c r="K67" s="56" t="str">
        <f aca="false">IF(AND(K65="",K66=""),"нет вариантов",IF(K66="по высоте, но","~от факт.шир.рулона",""))</f>
        <v>нет вариантов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customFormat="false" ht="9.9" hidden="false" customHeight="true" outlineLevel="0" collapsed="false">
      <c r="A68" s="18" t="s">
        <v>51</v>
      </c>
      <c r="B68" s="52" t="e">
        <f aca="false">VLOOKUP(B60,'цены ткани Amigo'!$A$5:$C$204,3,0)</f>
        <v>#N/A</v>
      </c>
      <c r="C68" s="52" t="e">
        <f aca="false">VLOOKUP(C60,'цены ткани Amigo'!$A$5:$C$204,3,0)</f>
        <v>#N/A</v>
      </c>
      <c r="D68" s="52" t="e">
        <f aca="false">VLOOKUP(D60,'цены ткани Amigo'!$A$5:$C$204,3,0)</f>
        <v>#N/A</v>
      </c>
      <c r="E68" s="52" t="e">
        <f aca="false">VLOOKUP(E60,'цены ткани Amigo'!$A$5:$C$204,3,0)</f>
        <v>#N/A</v>
      </c>
      <c r="F68" s="52" t="e">
        <f aca="false">VLOOKUP(F60,'цены ткани Amigo'!$A$5:$C$204,3,0)</f>
        <v>#N/A</v>
      </c>
      <c r="G68" s="52" t="e">
        <f aca="false">VLOOKUP(G60,'цены ткани Amigo'!$A$5:$C$204,3,0)</f>
        <v>#N/A</v>
      </c>
      <c r="H68" s="52" t="e">
        <f aca="false">VLOOKUP(H60,'цены ткани Amigo'!$A$5:$C$204,3,0)</f>
        <v>#N/A</v>
      </c>
      <c r="I68" s="52" t="e">
        <f aca="false">VLOOKUP(I60,'цены ткани Amigo'!$A$5:$C$204,3,0)</f>
        <v>#N/A</v>
      </c>
      <c r="J68" s="52" t="e">
        <f aca="false">VLOOKUP(J60,'цены ткани Amigo'!$A$5:$C$204,3,0)</f>
        <v>#N/A</v>
      </c>
      <c r="K68" s="52" t="e">
        <f aca="false">VLOOKUP(K60,'цены ткани Amigo'!$A$5:$C$204,3,0)</f>
        <v>#N/A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customFormat="false" ht="9.9" hidden="true" customHeight="true" outlineLevel="0" collapsed="false">
      <c r="A69" s="14" t="s">
        <v>52</v>
      </c>
      <c r="B69" s="71" t="str">
        <f aca="false">B47</f>
        <v/>
      </c>
      <c r="C69" s="71" t="str">
        <f aca="false">C47</f>
        <v/>
      </c>
      <c r="D69" s="71" t="str">
        <f aca="false">D47</f>
        <v/>
      </c>
      <c r="E69" s="71" t="str">
        <f aca="false">E47</f>
        <v/>
      </c>
      <c r="F69" s="71" t="str">
        <f aca="false">F47</f>
        <v/>
      </c>
      <c r="G69" s="71" t="str">
        <f aca="false">G47</f>
        <v/>
      </c>
      <c r="H69" s="71" t="str">
        <f aca="false">H47</f>
        <v/>
      </c>
      <c r="I69" s="71" t="str">
        <f aca="false">I47</f>
        <v/>
      </c>
      <c r="J69" s="71" t="str">
        <f aca="false">J47</f>
        <v/>
      </c>
      <c r="K69" s="71" t="str">
        <f aca="false">K47</f>
        <v/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customFormat="false" ht="9.9" hidden="true" customHeight="true" outlineLevel="0" collapsed="false">
      <c r="A70" s="18" t="s">
        <v>53</v>
      </c>
      <c r="B70" s="75" t="e">
        <f aca="false">B69+B7</f>
        <v>#VALUE!</v>
      </c>
      <c r="C70" s="75" t="e">
        <f aca="false">C69+C7</f>
        <v>#VALUE!</v>
      </c>
      <c r="D70" s="75" t="e">
        <f aca="false">D69+D7</f>
        <v>#VALUE!</v>
      </c>
      <c r="E70" s="75" t="e">
        <f aca="false">E69+E7</f>
        <v>#VALUE!</v>
      </c>
      <c r="F70" s="75" t="e">
        <f aca="false">F69+F7</f>
        <v>#VALUE!</v>
      </c>
      <c r="G70" s="75" t="e">
        <f aca="false">G69+G7</f>
        <v>#VALUE!</v>
      </c>
      <c r="H70" s="75" t="e">
        <f aca="false">H69+H7</f>
        <v>#VALUE!</v>
      </c>
      <c r="I70" s="75" t="e">
        <f aca="false">I69+I7</f>
        <v>#VALUE!</v>
      </c>
      <c r="J70" s="75" t="e">
        <f aca="false">J69+J7</f>
        <v>#VALUE!</v>
      </c>
      <c r="K70" s="75" t="e">
        <f aca="false">K69+K7</f>
        <v>#VALUE!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customFormat="false" ht="9.9" hidden="true" customHeight="true" outlineLevel="0" collapsed="false">
      <c r="A71" s="76" t="s">
        <v>54</v>
      </c>
      <c r="B71" s="59" t="str">
        <f aca="false">IF(B8*B9&lt;=0,"указать размер",IF(B64="направленный","направл рис",IF((B9+B47)&gt;B68,"шир рул","По ширине")))</f>
        <v>указать размер</v>
      </c>
      <c r="C71" s="59" t="str">
        <f aca="false">IF(C8*C9&lt;=0,"указать размер",IF(C64="направленный","направл рис",IF((C9+C47)&gt;C68,"шир рул","По ширине")))</f>
        <v>указать размер</v>
      </c>
      <c r="D71" s="59" t="str">
        <f aca="false">IF(D8*D9&lt;=0,"указать размер",IF(D64="направленный","направл рис",IF((D9+D47)&gt;D68,"шир рул","По ширине")))</f>
        <v>указать размер</v>
      </c>
      <c r="E71" s="59" t="str">
        <f aca="false">IF(E8*E9&lt;=0,"указать размер",IF(E64="направленный","направл рис",IF((E9+E47)&gt;E68,"шир рул","По ширине")))</f>
        <v>указать размер</v>
      </c>
      <c r="F71" s="59" t="str">
        <f aca="false">IF(F8*F9&lt;=0,"указать размер",IF(F64="направленный","направл рис",IF((F9+F47)&gt;F68,"шир рул","По ширине")))</f>
        <v>указать размер</v>
      </c>
      <c r="G71" s="59" t="str">
        <f aca="false">IF(G8*G9&lt;=0,"указать размер",IF(G64="направленный","направл рис",IF((G9+G47)&gt;G68,"шир рул","По ширине")))</f>
        <v>указать размер</v>
      </c>
      <c r="H71" s="59" t="str">
        <f aca="false">IF(H8*H9&lt;=0,"указать размер",IF(H64="направленный","направл рис",IF((H9+H47)&gt;H68,"шир рул","По ширине")))</f>
        <v>указать размер</v>
      </c>
      <c r="I71" s="59" t="str">
        <f aca="false">IF(I8*I9&lt;=0,"указать размер",IF(I64="направленный","направл рис",IF((I9+I47)&gt;I68,"шир рул","По ширине")))</f>
        <v>указать размер</v>
      </c>
      <c r="J71" s="59" t="str">
        <f aca="false">IF(J8*J9&lt;=0,"указать размер",IF(J64="направленный","направл рис",IF((J9+J47)&gt;J68,"шир рул","По ширине")))</f>
        <v>указать размер</v>
      </c>
      <c r="K71" s="59" t="str">
        <f aca="false">IF(K8*K9&lt;=0,"указать размер",IF(K64="направленный","направл рис",IF((K9+K47)&gt;K68,"шир рул","По ширине")))</f>
        <v>указать размер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customFormat="false" ht="9.9" hidden="true" customHeight="true" outlineLevel="0" collapsed="false">
      <c r="A72" s="76" t="s">
        <v>55</v>
      </c>
      <c r="B72" s="59" t="str">
        <f aca="false">IF(B8*B9&lt;=0,"указать размер",IF(B8&gt;B68,"ширина рулона","По высоте"))</f>
        <v>указать размер</v>
      </c>
      <c r="C72" s="59" t="str">
        <f aca="false">IF(C8*C9&lt;=0,"указать размер",IF(C8&gt;C68,"ширина рулона","По высоте"))</f>
        <v>указать размер</v>
      </c>
      <c r="D72" s="59" t="str">
        <f aca="false">IF(D8*D9&lt;=0,"указать размер",IF(D8&gt;D68,"ширина рулона","По высоте"))</f>
        <v>указать размер</v>
      </c>
      <c r="E72" s="59" t="str">
        <f aca="false">IF(E8*E9&lt;=0,"указать размер",IF(E8&gt;E68,"ширина рулона","По высоте"))</f>
        <v>указать размер</v>
      </c>
      <c r="F72" s="59" t="str">
        <f aca="false">IF(F8*F9&lt;=0,"указать размер",IF(F8&gt;F68,"ширина рулона","По высоте"))</f>
        <v>указать размер</v>
      </c>
      <c r="G72" s="59" t="str">
        <f aca="false">IF(G8*G9&lt;=0,"указать размер",IF(G8&gt;G68,"ширина рулона","По высоте"))</f>
        <v>указать размер</v>
      </c>
      <c r="H72" s="59" t="str">
        <f aca="false">IF(H8*H9&lt;=0,"указать размер",IF(H8&gt;H68,"ширина рулона","По высоте"))</f>
        <v>указать размер</v>
      </c>
      <c r="I72" s="59" t="str">
        <f aca="false">IF(I8*I9&lt;=0,"указать размер",IF(I8&gt;I68,"ширина рулона","По высоте"))</f>
        <v>указать размер</v>
      </c>
      <c r="J72" s="59" t="str">
        <f aca="false">IF(J8*J9&lt;=0,"указать размер",IF(J8&gt;J68,"ширина рулона","По высоте"))</f>
        <v>указать размер</v>
      </c>
      <c r="K72" s="59" t="str">
        <f aca="false">IF(K8*K9&lt;=0,"указать размер",IF(K8&gt;K68,"ширина рулона","По высоте"))</f>
        <v>указать размер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customFormat="false" ht="9.9" hidden="true" customHeight="true" outlineLevel="0" collapsed="false">
      <c r="A73" s="76" t="s">
        <v>64</v>
      </c>
      <c r="B73" s="59" t="str">
        <f aca="false">IF(B65="По ширине",B62*B8,"невозможно")</f>
        <v>невозможно</v>
      </c>
      <c r="C73" s="59" t="str">
        <f aca="false">IF(C65="По ширине",C62*C8,"невозможно")</f>
        <v>невозможно</v>
      </c>
      <c r="D73" s="59" t="str">
        <f aca="false">IF(D65="По ширине",D62*D8,"невозможно")</f>
        <v>невозможно</v>
      </c>
      <c r="E73" s="59" t="str">
        <f aca="false">IF(E65="По ширине",E62*E8,"невозможно")</f>
        <v>невозможно</v>
      </c>
      <c r="F73" s="59" t="str">
        <f aca="false">IF(F65="По ширине",F62*F8,"невозможно")</f>
        <v>невозможно</v>
      </c>
      <c r="G73" s="59" t="str">
        <f aca="false">IF(G65="По ширине",G62*G8,"невозможно")</f>
        <v>невозможно</v>
      </c>
      <c r="H73" s="59" t="str">
        <f aca="false">IF(H65="По ширине",H62*H8,"невозможно")</f>
        <v>невозможно</v>
      </c>
      <c r="I73" s="59" t="str">
        <f aca="false">IF(I65="По ширине",I62*I8,"невозможно")</f>
        <v>невозможно</v>
      </c>
      <c r="J73" s="59" t="str">
        <f aca="false">IF(J65="По ширине",J62*J8,"невозможно")</f>
        <v>невозможно</v>
      </c>
      <c r="K73" s="59" t="str">
        <f aca="false">IF(K65="По ширине",K62*K8,"невозможно")</f>
        <v>невозможно</v>
      </c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customFormat="false" ht="9.9" hidden="true" customHeight="true" outlineLevel="0" collapsed="false">
      <c r="A74" s="76" t="s">
        <v>65</v>
      </c>
      <c r="B74" s="59" t="str">
        <f aca="false">IF(B72="По высоте",(B9+B69)*B62,"невозможно")</f>
        <v>невозможно</v>
      </c>
      <c r="C74" s="59" t="str">
        <f aca="false">IF(C72="По высоте",(C9+C69)*C62,"невозможно")</f>
        <v>невозможно</v>
      </c>
      <c r="D74" s="59" t="str">
        <f aca="false">IF(D72="По высоте",(D9+D69)*D62,"невозможно")</f>
        <v>невозможно</v>
      </c>
      <c r="E74" s="59" t="str">
        <f aca="false">IF(E72="По высоте",(E9+E69)*E62,"невозможно")</f>
        <v>невозможно</v>
      </c>
      <c r="F74" s="59" t="str">
        <f aca="false">IF(F72="По высоте",(F9+F69)*F62,"невозможно")</f>
        <v>невозможно</v>
      </c>
      <c r="G74" s="59" t="str">
        <f aca="false">IF(G72="По высоте",(G9+G69)*G62,"невозможно")</f>
        <v>невозможно</v>
      </c>
      <c r="H74" s="59" t="str">
        <f aca="false">IF(H72="По высоте",(H9+H69)*H62,"невозможно")</f>
        <v>невозможно</v>
      </c>
      <c r="I74" s="59" t="str">
        <f aca="false">IF(I72="По высоте",(I9+I69)*I62,"невозможно")</f>
        <v>невозможно</v>
      </c>
      <c r="J74" s="59" t="str">
        <f aca="false">IF(J72="По высоте",(J9+J69)*J62,"невозможно")</f>
        <v>невозможно</v>
      </c>
      <c r="K74" s="59" t="str">
        <f aca="false">IF(K72="По высоте",(K9+K69)*K62,"невозможно")</f>
        <v>невозможно</v>
      </c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customFormat="false" ht="9.9" hidden="true" customHeight="true" outlineLevel="0" collapsed="false">
      <c r="A75" s="76" t="s">
        <v>58</v>
      </c>
      <c r="B75" s="59" t="str">
        <f aca="false">IF(B65="По ширине",B73,"невозможно")</f>
        <v>невозможно</v>
      </c>
      <c r="C75" s="59" t="str">
        <f aca="false">IF(C65="По ширине",C73,"невозможно")</f>
        <v>невозможно</v>
      </c>
      <c r="D75" s="59" t="str">
        <f aca="false">IF(D65="По ширине",D73,"невозможно")</f>
        <v>невозможно</v>
      </c>
      <c r="E75" s="59" t="str">
        <f aca="false">IF(E65="По ширине",E73,"невозможно")</f>
        <v>невозможно</v>
      </c>
      <c r="F75" s="59" t="str">
        <f aca="false">IF(F65="По ширине",F73,"невозможно")</f>
        <v>невозможно</v>
      </c>
      <c r="G75" s="59" t="str">
        <f aca="false">IF(G65="По ширине",G73,"невозможно")</f>
        <v>невозможно</v>
      </c>
      <c r="H75" s="59" t="str">
        <f aca="false">IF(H65="По ширине",H73,"невозможно")</f>
        <v>невозможно</v>
      </c>
      <c r="I75" s="59" t="str">
        <f aca="false">IF(I65="По ширине",I73,"невозможно")</f>
        <v>невозможно</v>
      </c>
      <c r="J75" s="59" t="str">
        <f aca="false">IF(J65="По ширине",J73,"невозможно")</f>
        <v>невозможно</v>
      </c>
      <c r="K75" s="59" t="str">
        <f aca="false">IF(K65="По ширине",K73,"невозможно")</f>
        <v>невозможно</v>
      </c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customFormat="false" ht="9.9" hidden="true" customHeight="true" outlineLevel="0" collapsed="false">
      <c r="A76" s="76" t="s">
        <v>59</v>
      </c>
      <c r="B76" s="59" t="str">
        <f aca="false">IF(B66="","невозможно",B74)</f>
        <v>невозможно</v>
      </c>
      <c r="C76" s="59" t="str">
        <f aca="false">IF(C66="","невозможно",C74)</f>
        <v>невозможно</v>
      </c>
      <c r="D76" s="59" t="str">
        <f aca="false">IF(D66="","невозможно",D74)</f>
        <v>невозможно</v>
      </c>
      <c r="E76" s="59" t="str">
        <f aca="false">IF(E66="","невозможно",E74)</f>
        <v>невозможно</v>
      </c>
      <c r="F76" s="59" t="str">
        <f aca="false">IF(F66="","невозможно",F74)</f>
        <v>невозможно</v>
      </c>
      <c r="G76" s="59" t="str">
        <f aca="false">IF(G66="","невозможно",G74)</f>
        <v>невозможно</v>
      </c>
      <c r="H76" s="59" t="str">
        <f aca="false">IF(H66="","невозможно",H74)</f>
        <v>невозможно</v>
      </c>
      <c r="I76" s="59" t="str">
        <f aca="false">IF(I66="","невозможно",I74)</f>
        <v>невозможно</v>
      </c>
      <c r="J76" s="59" t="str">
        <f aca="false">IF(J66="","невозможно",J74)</f>
        <v>невозможно</v>
      </c>
      <c r="K76" s="59" t="str">
        <f aca="false">IF(K66="","невозможно",K74)</f>
        <v>невозможно</v>
      </c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customFormat="false" ht="9.9" hidden="true" customHeight="true" outlineLevel="0" collapsed="false">
      <c r="A77" s="76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customFormat="false" ht="9.9" hidden="false" customHeight="true" outlineLevel="0" collapsed="false">
      <c r="A78" s="77" t="s">
        <v>60</v>
      </c>
      <c r="B78" s="78" t="s">
        <v>61</v>
      </c>
      <c r="C78" s="78" t="s">
        <v>61</v>
      </c>
      <c r="D78" s="78" t="s">
        <v>61</v>
      </c>
      <c r="E78" s="78" t="s">
        <v>61</v>
      </c>
      <c r="F78" s="78" t="s">
        <v>61</v>
      </c>
      <c r="G78" s="78" t="s">
        <v>61</v>
      </c>
      <c r="H78" s="78" t="s">
        <v>61</v>
      </c>
      <c r="I78" s="78" t="s">
        <v>61</v>
      </c>
      <c r="J78" s="78" t="s">
        <v>61</v>
      </c>
      <c r="K78" s="78" t="s">
        <v>61</v>
      </c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customFormat="false" ht="9.9" hidden="false" customHeight="true" outlineLevel="0" collapsed="false">
      <c r="A79" s="77"/>
      <c r="B79" s="51" t="e">
        <f aca="false">IF(B22&lt;1,0,IF(B8*B9=0,"указать размеры",IF(B78="по высоте",B74,B73)))</f>
        <v>#N/A</v>
      </c>
      <c r="C79" s="51" t="e">
        <f aca="false">IF(C22&lt;1,0,IF(C8*C9=0,"указать размеры",IF(C78="по высоте",C74,C73)))</f>
        <v>#N/A</v>
      </c>
      <c r="D79" s="51" t="e">
        <f aca="false">IF(D22&lt;1,0,IF(D8*D9=0,"указать размеры",IF(D78="по высоте",D74,D73)))</f>
        <v>#N/A</v>
      </c>
      <c r="E79" s="51" t="e">
        <f aca="false">IF(E22&lt;1,0,IF(E8*E9=0,"указать размеры",IF(E78="по высоте",E74,E73)))</f>
        <v>#N/A</v>
      </c>
      <c r="F79" s="51" t="e">
        <f aca="false">IF(F22&lt;1,0,IF(F8*F9=0,"указать размеры",IF(F78="по высоте",F74,F73)))</f>
        <v>#N/A</v>
      </c>
      <c r="G79" s="51" t="e">
        <f aca="false">IF(G22&lt;1,0,IF(G8*G9=0,"указать размеры",IF(G78="по высоте",G74,G73)))</f>
        <v>#N/A</v>
      </c>
      <c r="H79" s="51" t="e">
        <f aca="false">IF(H22&lt;1,0,IF(H8*H9=0,"указать размеры",IF(H78="по высоте",H74,H73)))</f>
        <v>#N/A</v>
      </c>
      <c r="I79" s="51" t="e">
        <f aca="false">IF(I22&lt;1,0,IF(I8*I9=0,"указать размеры",IF(I78="по высоте",I74,I73)))</f>
        <v>#N/A</v>
      </c>
      <c r="J79" s="51" t="e">
        <f aca="false">IF(J22&lt;1,0,IF(J8*J9=0,"указать размеры",IF(J78="по высоте",J74,J73)))</f>
        <v>#N/A</v>
      </c>
      <c r="K79" s="51" t="e">
        <f aca="false">IF(K22&lt;1,0,IF(K8*K9=0,"указать размеры",IF(K78="по высоте",K74,K73)))</f>
        <v>#N/A</v>
      </c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customFormat="false" ht="9.9" hidden="true" customHeight="true" outlineLevel="0" collapsed="false">
      <c r="A80" s="7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customFormat="false" ht="9.9" hidden="false" customHeight="true" outlineLevel="0" collapsed="false">
      <c r="A81" s="21" t="s">
        <v>66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customFormat="false" ht="9.9" hidden="true" customHeight="true" outlineLevel="0" collapsed="false">
      <c r="A82" s="14" t="s">
        <v>67</v>
      </c>
      <c r="B82" s="30" t="e">
        <f aca="false">VLOOKUP(B81,'Доп данные по компл рулонки'!$D$42:$J$120,6,0)+(B22*VLOOKUP(B81,'Доп данные по компл рулонки'!$D$42:$J$120,6,0))</f>
        <v>#N/A</v>
      </c>
      <c r="C82" s="30" t="e">
        <f aca="false">VLOOKUP(C81,'Доп данные по компл рулонки'!$D$42:$J$120,6,0)+(C22*VLOOKUP(C81,'Доп данные по компл рулонки'!$D$42:$J$120,6,0))</f>
        <v>#N/A</v>
      </c>
      <c r="D82" s="30" t="e">
        <f aca="false">VLOOKUP(D81,'Доп данные по компл рулонки'!$D$42:$J$120,6,0)+(D22*VLOOKUP(D81,'Доп данные по компл рулонки'!$D$42:$J$120,6,0))</f>
        <v>#N/A</v>
      </c>
      <c r="E82" s="30" t="e">
        <f aca="false">VLOOKUP(E81,'Доп данные по компл рулонки'!$D$42:$J$120,6,0)+(E22*VLOOKUP(E81,'Доп данные по компл рулонки'!$D$42:$J$120,6,0))</f>
        <v>#N/A</v>
      </c>
      <c r="F82" s="30" t="e">
        <f aca="false">VLOOKUP(F81,'Доп данные по компл рулонки'!$D$42:$J$120,6,0)+(F22*VLOOKUP(F81,'Доп данные по компл рулонки'!$D$42:$J$120,6,0))</f>
        <v>#N/A</v>
      </c>
      <c r="G82" s="30" t="e">
        <f aca="false">VLOOKUP(G81,'Доп данные по компл рулонки'!$D$42:$J$120,6,0)+(G22*VLOOKUP(G81,'Доп данные по компл рулонки'!$D$42:$J$120,6,0))</f>
        <v>#N/A</v>
      </c>
      <c r="H82" s="30" t="e">
        <f aca="false">VLOOKUP(H81,'Доп данные по компл рулонки'!$D$42:$J$120,6,0)+(H22*VLOOKUP(H81,'Доп данные по компл рулонки'!$D$42:$J$120,6,0))</f>
        <v>#N/A</v>
      </c>
      <c r="I82" s="30" t="e">
        <f aca="false">VLOOKUP(I81,'Доп данные по компл рулонки'!$D$42:$J$120,6,0)+(I22*VLOOKUP(I81,'Доп данные по компл рулонки'!$D$42:$J$120,6,0))</f>
        <v>#N/A</v>
      </c>
      <c r="J82" s="30" t="e">
        <f aca="false">VLOOKUP(J81,'Доп данные по компл рулонки'!$D$42:$J$120,6,0)+(J22*VLOOKUP(J81,'Доп данные по компл рулонки'!$D$42:$J$120,6,0))</f>
        <v>#N/A</v>
      </c>
      <c r="K82" s="30" t="e">
        <f aca="false">VLOOKUP(K81,'Доп данные по компл рулонки'!$D$42:$J$120,6,0)+(K22*VLOOKUP(K81,'Доп данные по компл рулонки'!$D$42:$J$120,6,0))</f>
        <v>#N/A</v>
      </c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customFormat="false" ht="9.9" hidden="true" customHeight="true" outlineLevel="0" collapsed="false">
      <c r="A83" s="14" t="s">
        <v>68</v>
      </c>
      <c r="B83" s="30" t="e">
        <f aca="false">(VLOOKUP(B81,'Доп данные по компл рулонки'!$D$42:$J$120,7,0)*B6)+((B22*VLOOKUP(B81,'Доп данные по компл рулонки'!$D$42:$J$120,7,0)*B8))</f>
        <v>#N/A</v>
      </c>
      <c r="C83" s="30" t="e">
        <f aca="false">(VLOOKUP(C81,'Доп данные по компл рулонки'!$D$42:$J$120,7,0)*C6)+((C22*VLOOKUP(C81,'Доп данные по компл рулонки'!$D$42:$J$120,7,0)*C8))</f>
        <v>#N/A</v>
      </c>
      <c r="D83" s="30" t="e">
        <f aca="false">(VLOOKUP(D81,'Доп данные по компл рулонки'!$D$42:$J$120,7,0)*D6)+((D22*VLOOKUP(D81,'Доп данные по компл рулонки'!$D$42:$J$120,7,0)*D8))</f>
        <v>#N/A</v>
      </c>
      <c r="E83" s="30" t="e">
        <f aca="false">(VLOOKUP(E81,'Доп данные по компл рулонки'!$D$42:$J$120,7,0)*E6)+((E22*VLOOKUP(E81,'Доп данные по компл рулонки'!$D$42:$J$120,7,0)*E8))</f>
        <v>#N/A</v>
      </c>
      <c r="F83" s="30" t="e">
        <f aca="false">(VLOOKUP(F81,'Доп данные по компл рулонки'!$D$42:$J$120,7,0)*F6)+((F22*VLOOKUP(F81,'Доп данные по компл рулонки'!$D$42:$J$120,7,0)*F8))</f>
        <v>#N/A</v>
      </c>
      <c r="G83" s="30" t="e">
        <f aca="false">(VLOOKUP(G81,'Доп данные по компл рулонки'!$D$42:$J$120,7,0)*G6)+((G22*VLOOKUP(G81,'Доп данные по компл рулонки'!$D$42:$J$120,7,0)*G8))</f>
        <v>#N/A</v>
      </c>
      <c r="H83" s="30" t="e">
        <f aca="false">(VLOOKUP(H81,'Доп данные по компл рулонки'!$D$42:$J$120,7,0)*H6)+((H22*VLOOKUP(H81,'Доп данные по компл рулонки'!$D$42:$J$120,7,0)*H8))</f>
        <v>#N/A</v>
      </c>
      <c r="I83" s="30" t="e">
        <f aca="false">(VLOOKUP(I81,'Доп данные по компл рулонки'!$D$42:$J$120,7,0)*I6)+((I22*VLOOKUP(I81,'Доп данные по компл рулонки'!$D$42:$J$120,7,0)*I8))</f>
        <v>#N/A</v>
      </c>
      <c r="J83" s="30" t="e">
        <f aca="false">(VLOOKUP(J81,'Доп данные по компл рулонки'!$D$42:$J$120,7,0)*J6)+((J22*VLOOKUP(J81,'Доп данные по компл рулонки'!$D$42:$J$120,7,0)*J8))</f>
        <v>#N/A</v>
      </c>
      <c r="K83" s="30" t="e">
        <f aca="false">(VLOOKUP(K81,'Доп данные по компл рулонки'!$D$42:$J$120,7,0)*K6)+((K22*VLOOKUP(K81,'Доп данные по компл рулонки'!$D$42:$J$120,7,0)*K8))</f>
        <v>#N/A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="81" customFormat="true" ht="9.9" hidden="false" customHeight="true" outlineLevel="0" collapsed="false">
      <c r="A84" s="32" t="s">
        <v>69</v>
      </c>
      <c r="B84" s="78" t="s">
        <v>38</v>
      </c>
      <c r="C84" s="78" t="s">
        <v>38</v>
      </c>
      <c r="D84" s="78" t="s">
        <v>38</v>
      </c>
      <c r="E84" s="78" t="s">
        <v>38</v>
      </c>
      <c r="F84" s="78" t="s">
        <v>38</v>
      </c>
      <c r="G84" s="78" t="s">
        <v>38</v>
      </c>
      <c r="H84" s="78" t="s">
        <v>38</v>
      </c>
      <c r="I84" s="78" t="s">
        <v>38</v>
      </c>
      <c r="J84" s="78" t="s">
        <v>38</v>
      </c>
      <c r="K84" s="78" t="s">
        <v>38</v>
      </c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AMI84" s="0"/>
      <c r="AMJ84" s="0"/>
    </row>
    <row r="85" s="81" customFormat="true" ht="9.9" hidden="true" customHeight="true" outlineLevel="0" collapsed="false">
      <c r="A85" s="32" t="s">
        <v>70</v>
      </c>
      <c r="B85" s="78" t="n">
        <f aca="false">IF(B84="да",(1000+(1000*B22)),0)</f>
        <v>0</v>
      </c>
      <c r="C85" s="78" t="n">
        <f aca="false">IF(C84="да",(1000+(1000*C22)),0)</f>
        <v>0</v>
      </c>
      <c r="D85" s="78" t="n">
        <f aca="false">IF(D84="да",(1000+(1000*D22)),0)</f>
        <v>0</v>
      </c>
      <c r="E85" s="78" t="n">
        <f aca="false">IF(E84="да",(1000+(1000*E22)),0)</f>
        <v>0</v>
      </c>
      <c r="F85" s="78" t="n">
        <f aca="false">IF(F84="да",(1000+(1000*F22)),0)</f>
        <v>0</v>
      </c>
      <c r="G85" s="78" t="n">
        <f aca="false">IF(G84="да",(1000+(1000*G22)),0)</f>
        <v>0</v>
      </c>
      <c r="H85" s="78" t="n">
        <f aca="false">IF(H84="да",(1000+(1000*H22)),0)</f>
        <v>0</v>
      </c>
      <c r="I85" s="78" t="n">
        <f aca="false">IF(I84="да",(1000+(1000*I22)),0)</f>
        <v>0</v>
      </c>
      <c r="J85" s="78" t="n">
        <f aca="false">IF(J84="да",(1000+(1000*J22)),0)</f>
        <v>0</v>
      </c>
      <c r="K85" s="78" t="n">
        <f aca="false">IF(K84="да",(1000+(1000*K22)),0)</f>
        <v>0</v>
      </c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AMI85" s="0"/>
      <c r="AMJ85" s="0"/>
    </row>
    <row r="86" customFormat="false" ht="9.9" hidden="false" customHeight="true" outlineLevel="0" collapsed="false">
      <c r="A86" s="14" t="s">
        <v>71</v>
      </c>
      <c r="B86" s="82" t="str">
        <f aca="false">IF(B6="","",B82+B83+B85)</f>
        <v/>
      </c>
      <c r="C86" s="82" t="str">
        <f aca="false">IF(C6="","",C82+C83+C85)</f>
        <v/>
      </c>
      <c r="D86" s="82" t="str">
        <f aca="false">IF(D6="","",D82+D83+D85)</f>
        <v/>
      </c>
      <c r="E86" s="82" t="str">
        <f aca="false">IF(E6="","",E82+E83+E85)</f>
        <v/>
      </c>
      <c r="F86" s="82" t="str">
        <f aca="false">IF(F6="","",F82+F83+F85)</f>
        <v/>
      </c>
      <c r="G86" s="82" t="str">
        <f aca="false">IF(G6="","",G82+G83+G85)</f>
        <v/>
      </c>
      <c r="H86" s="82" t="str">
        <f aca="false">IF(H6="","",H82+H83+H85)</f>
        <v/>
      </c>
      <c r="I86" s="82" t="str">
        <f aca="false">IF(I6="","",I82+I83+I85)</f>
        <v/>
      </c>
      <c r="J86" s="82" t="str">
        <f aca="false">IF(J6="","",J82+J83+J85)</f>
        <v/>
      </c>
      <c r="K86" s="82" t="str">
        <f aca="false">IF(K6="","",K82+K83+K85)</f>
        <v/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customFormat="false" ht="9.9" hidden="true" customHeight="true" outlineLevel="0" collapsed="false">
      <c r="A87" s="32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customFormat="false" ht="9.9" hidden="true" customHeight="true" outlineLevel="0" collapsed="false">
      <c r="A88" s="14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customFormat="false" ht="9.9" hidden="true" customHeight="true" outlineLevel="0" collapsed="false">
      <c r="A89" s="84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customFormat="false" ht="9.9" hidden="true" customHeight="true" outlineLevel="0" collapsed="false">
      <c r="A90" s="14" t="s">
        <v>72</v>
      </c>
      <c r="B90" s="47" t="e">
        <f aca="false">VLOOKUP($A$90,'Доп данные по компл рулонки'!$D$33:$E$51,2,0)+(VLOOKUP($A$90,'Доп данные по компл рулонки'!$D$33:$E$51,2,0)*B22)</f>
        <v>#N/A</v>
      </c>
      <c r="C90" s="47" t="e">
        <f aca="false">VLOOKUP($A$90,'Доп данные по компл рулонки'!$D$33:$E$51,2,0)+(VLOOKUP($A$90,'Доп данные по компл рулонки'!$D$33:$E$51,2,0)*C22)</f>
        <v>#N/A</v>
      </c>
      <c r="D90" s="47" t="e">
        <f aca="false">VLOOKUP($A$90,'Доп данные по компл рулонки'!$D$33:$E$51,2,0)+(VLOOKUP($A$90,'Доп данные по компл рулонки'!$D$33:$E$51,2,0)*D22)</f>
        <v>#N/A</v>
      </c>
      <c r="E90" s="47" t="e">
        <f aca="false">VLOOKUP($A$90,'Доп данные по компл рулонки'!$D$33:$E$51,2,0)+(VLOOKUP($A$90,'Доп данные по компл рулонки'!$D$33:$E$51,2,0)*E22)</f>
        <v>#N/A</v>
      </c>
      <c r="F90" s="47" t="e">
        <f aca="false">VLOOKUP($A$90,'Доп данные по компл рулонки'!$D$33:$E$51,2,0)+(VLOOKUP($A$90,'Доп данные по компл рулонки'!$D$33:$E$51,2,0)*F22)</f>
        <v>#N/A</v>
      </c>
      <c r="G90" s="47" t="e">
        <f aca="false">VLOOKUP($A$90,'Доп данные по компл рулонки'!$D$33:$E$51,2,0)+(VLOOKUP($A$90,'Доп данные по компл рулонки'!$D$33:$E$51,2,0)*G22)</f>
        <v>#N/A</v>
      </c>
      <c r="H90" s="47" t="e">
        <f aca="false">VLOOKUP($A$90,'Доп данные по компл рулонки'!$D$33:$E$51,2,0)+(VLOOKUP($A$90,'Доп данные по компл рулонки'!$D$33:$E$51,2,0)*H22)</f>
        <v>#N/A</v>
      </c>
      <c r="I90" s="47" t="e">
        <f aca="false">VLOOKUP($A$90,'Доп данные по компл рулонки'!$D$33:$E$51,2,0)+(VLOOKUP($A$90,'Доп данные по компл рулонки'!$D$33:$E$51,2,0)*I22)</f>
        <v>#N/A</v>
      </c>
      <c r="J90" s="47" t="e">
        <f aca="false">VLOOKUP($A$90,'Доп данные по компл рулонки'!$D$33:$E$51,2,0)+(VLOOKUP($A$90,'Доп данные по компл рулонки'!$D$33:$E$51,2,0)*J22)</f>
        <v>#N/A</v>
      </c>
      <c r="K90" s="47" t="e">
        <f aca="false">VLOOKUP($A$90,'Доп данные по компл рулонки'!$D$33:$E$51,2,0)+(VLOOKUP($A$90,'Доп данные по компл рулонки'!$D$33:$E$51,2,0)*K22)</f>
        <v>#N/A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customFormat="false" ht="9.9" hidden="true" customHeight="true" outlineLevel="0" collapsed="false">
      <c r="A91" s="14" t="s">
        <v>73</v>
      </c>
      <c r="B91" s="47" t="n">
        <f aca="false">VLOOKUP($A$91,'Доп данные по компл рулонки'!$D$33:$E$50,2,0)</f>
        <v>500</v>
      </c>
      <c r="C91" s="47" t="n">
        <f aca="false">VLOOKUP($A$91,'Доп данные по компл рулонки'!$D$33:$E$50,2,0)</f>
        <v>500</v>
      </c>
      <c r="D91" s="47" t="n">
        <f aca="false">VLOOKUP($A$91,'Доп данные по компл рулонки'!$D$33:$E$50,2,0)</f>
        <v>500</v>
      </c>
      <c r="E91" s="47" t="n">
        <f aca="false">VLOOKUP($A$91,'Доп данные по компл рулонки'!$D$33:$E$50,2,0)</f>
        <v>500</v>
      </c>
      <c r="F91" s="47" t="n">
        <f aca="false">VLOOKUP($A$91,'Доп данные по компл рулонки'!$D$33:$E$50,2,0)</f>
        <v>500</v>
      </c>
      <c r="G91" s="47" t="n">
        <f aca="false">VLOOKUP($A$91,'Доп данные по компл рулонки'!$D$33:$E$50,2,0)</f>
        <v>500</v>
      </c>
      <c r="H91" s="47" t="n">
        <f aca="false">VLOOKUP($A$91,'Доп данные по компл рулонки'!$D$33:$E$50,2,0)</f>
        <v>500</v>
      </c>
      <c r="I91" s="47" t="n">
        <f aca="false">VLOOKUP($A$91,'Доп данные по компл рулонки'!$D$33:$E$50,2,0)</f>
        <v>500</v>
      </c>
      <c r="J91" s="47" t="n">
        <f aca="false">VLOOKUP($A$91,'Доп данные по компл рулонки'!$D$33:$E$50,2,0)</f>
        <v>500</v>
      </c>
      <c r="K91" s="47" t="n">
        <f aca="false">VLOOKUP($A$91,'Доп данные по компл рулонки'!$D$33:$E$50,2,0)</f>
        <v>500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customFormat="false" ht="9.9" hidden="true" customHeight="true" outlineLevel="0" collapsed="false">
      <c r="A92" s="14" t="s">
        <v>74</v>
      </c>
      <c r="B92" s="47" t="e">
        <f aca="false">VLOOKUP($A$92,'Доп данные по компл рулонки'!$D$33:$E$51,2,0)+(VLOOKUP($A$92,'Доп данные по компл рулонки'!$D$33:$E$51,2,0)*B22)</f>
        <v>#N/A</v>
      </c>
      <c r="C92" s="47" t="e">
        <f aca="false">VLOOKUP($A$92,'Доп данные по компл рулонки'!$D$33:$E$51,2,0)+(VLOOKUP($A$92,'Доп данные по компл рулонки'!$D$33:$E$51,2,0)*C22)</f>
        <v>#N/A</v>
      </c>
      <c r="D92" s="47" t="e">
        <f aca="false">VLOOKUP($A$92,'Доп данные по компл рулонки'!$D$33:$E$51,2,0)+(VLOOKUP($A$92,'Доп данные по компл рулонки'!$D$33:$E$51,2,0)*D22)</f>
        <v>#N/A</v>
      </c>
      <c r="E92" s="47" t="e">
        <f aca="false">VLOOKUP($A$92,'Доп данные по компл рулонки'!$D$33:$E$51,2,0)+(VLOOKUP($A$92,'Доп данные по компл рулонки'!$D$33:$E$51,2,0)*E22)</f>
        <v>#N/A</v>
      </c>
      <c r="F92" s="47" t="e">
        <f aca="false">VLOOKUP($A$92,'Доп данные по компл рулонки'!$D$33:$E$51,2,0)+(VLOOKUP($A$92,'Доп данные по компл рулонки'!$D$33:$E$51,2,0)*F22)</f>
        <v>#N/A</v>
      </c>
      <c r="G92" s="47" t="e">
        <f aca="false">VLOOKUP($A$92,'Доп данные по компл рулонки'!$D$33:$E$51,2,0)+(VLOOKUP($A$92,'Доп данные по компл рулонки'!$D$33:$E$51,2,0)*G22)</f>
        <v>#N/A</v>
      </c>
      <c r="H92" s="47" t="e">
        <f aca="false">VLOOKUP($A$92,'Доп данные по компл рулонки'!$D$33:$E$51,2,0)+(VLOOKUP($A$92,'Доп данные по компл рулонки'!$D$33:$E$51,2,0)*H22)</f>
        <v>#N/A</v>
      </c>
      <c r="I92" s="47" t="e">
        <f aca="false">VLOOKUP($A$92,'Доп данные по компл рулонки'!$D$33:$E$51,2,0)+(VLOOKUP($A$92,'Доп данные по компл рулонки'!$D$33:$E$51,2,0)*I22)</f>
        <v>#N/A</v>
      </c>
      <c r="J92" s="47" t="e">
        <f aca="false">VLOOKUP($A$92,'Доп данные по компл рулонки'!$D$33:$E$51,2,0)+(VLOOKUP($A$92,'Доп данные по компл рулонки'!$D$33:$E$51,2,0)*J22)</f>
        <v>#N/A</v>
      </c>
      <c r="K92" s="47" t="e">
        <f aca="false">VLOOKUP($A$92,'Доп данные по компл рулонки'!$D$33:$E$51,2,0)+(VLOOKUP($A$92,'Доп данные по компл рулонки'!$D$33:$E$51,2,0)*K22)</f>
        <v>#N/A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customFormat="false" ht="9.9" hidden="true" customHeight="true" outlineLevel="0" collapsed="false">
      <c r="A93" s="14" t="s">
        <v>75</v>
      </c>
      <c r="B93" s="47" t="e">
        <f aca="false">VLOOKUP($A$93,'Доп данные по компл рулонки'!$D$33:$E$51,2,0)+(VLOOKUP($A$93,'Доп данные по компл рулонки'!$D$33:$E$51,2,0)*B22)</f>
        <v>#N/A</v>
      </c>
      <c r="C93" s="47" t="e">
        <f aca="false">VLOOKUP($A$93,'Доп данные по компл рулонки'!$D$33:$E$51,2,0)+(VLOOKUP($A$93,'Доп данные по компл рулонки'!$D$33:$E$51,2,0)*C22)</f>
        <v>#N/A</v>
      </c>
      <c r="D93" s="47" t="e">
        <f aca="false">VLOOKUP($A$93,'Доп данные по компл рулонки'!$D$33:$E$51,2,0)+(VLOOKUP($A$93,'Доп данные по компл рулонки'!$D$33:$E$51,2,0)*D22)</f>
        <v>#N/A</v>
      </c>
      <c r="E93" s="47" t="e">
        <f aca="false">VLOOKUP($A$93,'Доп данные по компл рулонки'!$D$33:$E$51,2,0)+(VLOOKUP($A$93,'Доп данные по компл рулонки'!$D$33:$E$51,2,0)*E22)</f>
        <v>#N/A</v>
      </c>
      <c r="F93" s="47" t="e">
        <f aca="false">VLOOKUP($A$93,'Доп данные по компл рулонки'!$D$33:$E$51,2,0)+(VLOOKUP($A$93,'Доп данные по компл рулонки'!$D$33:$E$51,2,0)*F22)</f>
        <v>#N/A</v>
      </c>
      <c r="G93" s="47" t="e">
        <f aca="false">VLOOKUP($A$93,'Доп данные по компл рулонки'!$D$33:$E$51,2,0)+(VLOOKUP($A$93,'Доп данные по компл рулонки'!$D$33:$E$51,2,0)*G22)</f>
        <v>#N/A</v>
      </c>
      <c r="H93" s="47" t="e">
        <f aca="false">VLOOKUP($A$93,'Доп данные по компл рулонки'!$D$33:$E$51,2,0)+(VLOOKUP($A$93,'Доп данные по компл рулонки'!$D$33:$E$51,2,0)*H22)</f>
        <v>#N/A</v>
      </c>
      <c r="I93" s="47" t="e">
        <f aca="false">VLOOKUP($A$93,'Доп данные по компл рулонки'!$D$33:$E$51,2,0)+(VLOOKUP($A$93,'Доп данные по компл рулонки'!$D$33:$E$51,2,0)*I22)</f>
        <v>#N/A</v>
      </c>
      <c r="J93" s="47" t="e">
        <f aca="false">VLOOKUP($A$93,'Доп данные по компл рулонки'!$D$33:$E$51,2,0)+(VLOOKUP($A$93,'Доп данные по компл рулонки'!$D$33:$E$51,2,0)*J22)</f>
        <v>#N/A</v>
      </c>
      <c r="K93" s="47" t="e">
        <f aca="false">VLOOKUP($A$93,'Доп данные по компл рулонки'!$D$33:$E$51,2,0)+(VLOOKUP($A$93,'Доп данные по компл рулонки'!$D$33:$E$51,2,0)*K22)</f>
        <v>#N/A</v>
      </c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customFormat="false" ht="12.8" hidden="true" customHeight="false" outlineLevel="0" collapsed="false">
      <c r="A94" s="85"/>
    </row>
    <row r="95" customFormat="false" ht="9.9" hidden="false" customHeight="true" outlineLevel="0" collapsed="false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customFormat="false" ht="9.9" hidden="false" customHeight="true" outlineLevel="0" collapsed="false">
      <c r="A96" s="86" t="s">
        <v>76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customFormat="false" ht="9.9" hidden="true" customHeight="true" outlineLevel="0" collapsed="false">
      <c r="A97" s="14" t="s">
        <v>77</v>
      </c>
      <c r="B97" s="59" t="str">
        <f aca="false">IF(B96="","",VLOOKUP(B96,'Доп данные по компл рулонки'!$C$124:$K$147,7,0))</f>
        <v/>
      </c>
      <c r="C97" s="59" t="str">
        <f aca="false">IF(C96="","",VLOOKUP(C96,'Доп данные по компл рулонки'!$C$124:$K$147,7,0))</f>
        <v/>
      </c>
      <c r="D97" s="59" t="str">
        <f aca="false">IF(D96="","",VLOOKUP(D96,'Доп данные по компл рулонки'!$C$124:$K$147,7,0))</f>
        <v/>
      </c>
      <c r="E97" s="59" t="str">
        <f aca="false">IF(E96="","",VLOOKUP(E96,'Доп данные по компл рулонки'!$C$124:$K$147,7,0))</f>
        <v/>
      </c>
      <c r="F97" s="59" t="str">
        <f aca="false">IF(F96="","",VLOOKUP(F96,'Доп данные по компл рулонки'!$C$124:$K$147,7,0))</f>
        <v/>
      </c>
      <c r="G97" s="59" t="str">
        <f aca="false">IF(G96="","",VLOOKUP(G96,'Доп данные по компл рулонки'!$C$124:$K$147,7,0))</f>
        <v/>
      </c>
      <c r="H97" s="59" t="str">
        <f aca="false">IF(H96="","",VLOOKUP(H96,'Доп данные по компл рулонки'!$C$124:$K$147,7,0))</f>
        <v/>
      </c>
      <c r="I97" s="59" t="str">
        <f aca="false">IF(I96="","",VLOOKUP(I96,'Доп данные по компл рулонки'!$C$124:$K$147,7,0))</f>
        <v/>
      </c>
      <c r="J97" s="59" t="str">
        <f aca="false">IF(J96="","",VLOOKUP(J96,'Доп данные по компл рулонки'!$C$124:$K$147,7,0))</f>
        <v/>
      </c>
      <c r="K97" s="59" t="str">
        <f aca="false">IF(K96="","",VLOOKUP(K96,'Доп данные по компл рулонки'!$C$124:$K$147,7,0))</f>
        <v/>
      </c>
      <c r="L97" s="16"/>
      <c r="M97" s="87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customFormat="false" ht="9.9" hidden="true" customHeight="true" outlineLevel="0" collapsed="false">
      <c r="A98" s="14" t="s">
        <v>78</v>
      </c>
      <c r="B98" s="59" t="str">
        <f aca="false">IF(B96="","",VLOOKUP(B96,'Доп данные по компл рулонки'!$C$124:$K$147,8,0)*B6)</f>
        <v/>
      </c>
      <c r="C98" s="59" t="str">
        <f aca="false">IF(C96="","",VLOOKUP(C96,'Доп данные по компл рулонки'!$C$124:$K$147,8,0)*C6)</f>
        <v/>
      </c>
      <c r="D98" s="59" t="str">
        <f aca="false">IF(D96="","",VLOOKUP(D96,'Доп данные по компл рулонки'!$C$124:$K$147,8,0)*D6)</f>
        <v/>
      </c>
      <c r="E98" s="59" t="str">
        <f aca="false">IF(E96="","",VLOOKUP(E96,'Доп данные по компл рулонки'!$C$124:$K$147,8,0)*E6)</f>
        <v/>
      </c>
      <c r="F98" s="59" t="str">
        <f aca="false">IF(F96="","",VLOOKUP(F96,'Доп данные по компл рулонки'!$C$124:$K$147,8,0)*F6)</f>
        <v/>
      </c>
      <c r="G98" s="59" t="str">
        <f aca="false">IF(G96="","",VLOOKUP(G96,'Доп данные по компл рулонки'!$C$124:$K$147,8,0)*G6)</f>
        <v/>
      </c>
      <c r="H98" s="59" t="str">
        <f aca="false">IF(H96="","",VLOOKUP(H96,'Доп данные по компл рулонки'!$C$124:$K$147,8,0)*H6)</f>
        <v/>
      </c>
      <c r="I98" s="59" t="str">
        <f aca="false">IF(I96="","",VLOOKUP(I96,'Доп данные по компл рулонки'!$C$124:$K$147,8,0)*I6)</f>
        <v/>
      </c>
      <c r="J98" s="59" t="str">
        <f aca="false">IF(J96="","",VLOOKUP(J96,'Доп данные по компл рулонки'!$C$124:$K$147,8,0)*J6)</f>
        <v/>
      </c>
      <c r="K98" s="59" t="str">
        <f aca="false">IF(K96="","",VLOOKUP(K96,'Доп данные по компл рулонки'!$C$124:$K$147,8,0)*K6)</f>
        <v/>
      </c>
      <c r="L98" s="16"/>
      <c r="M98" s="87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customFormat="false" ht="9.9" hidden="true" customHeight="true" outlineLevel="0" collapsed="false">
      <c r="A99" s="14" t="s">
        <v>79</v>
      </c>
      <c r="B99" s="59" t="str">
        <f aca="false">IF(B96="","",VLOOKUP(B96,'Доп данные по компл рулонки'!$C$124:$K$148,9,0))</f>
        <v/>
      </c>
      <c r="C99" s="59" t="str">
        <f aca="false">IF(C96="","",VLOOKUP(C96,'Доп данные по компл рулонки'!$C$124:$K$148,9,0))</f>
        <v/>
      </c>
      <c r="D99" s="59" t="str">
        <f aca="false">IF(D96="","",VLOOKUP(D96,'Доп данные по компл рулонки'!$C$124:$K$148,9,0))</f>
        <v/>
      </c>
      <c r="E99" s="59" t="str">
        <f aca="false">IF(E96="","",VLOOKUP(E96,'Доп данные по компл рулонки'!$C$124:$K$148,9,0))</f>
        <v/>
      </c>
      <c r="F99" s="59" t="str">
        <f aca="false">IF(F96="","",VLOOKUP(F96,'Доп данные по компл рулонки'!$C$124:$K$148,9,0))</f>
        <v/>
      </c>
      <c r="G99" s="59" t="str">
        <f aca="false">IF(G96="","",VLOOKUP(G96,'Доп данные по компл рулонки'!$C$124:$K$148,9,0))</f>
        <v/>
      </c>
      <c r="H99" s="59" t="str">
        <f aca="false">IF(H96="","",VLOOKUP(H96,'Доп данные по компл рулонки'!$C$124:$K$148,9,0))</f>
        <v/>
      </c>
      <c r="I99" s="59" t="str">
        <f aca="false">IF(I96="","",VLOOKUP(I96,'Доп данные по компл рулонки'!$C$124:$K$148,9,0))</f>
        <v/>
      </c>
      <c r="J99" s="59" t="str">
        <f aca="false">IF(J96="","",VLOOKUP(J96,'Доп данные по компл рулонки'!$C$124:$K$148,9,0))</f>
        <v/>
      </c>
      <c r="K99" s="59" t="str">
        <f aca="false">IF(K96="","",VLOOKUP(K96,'Доп данные по компл рулонки'!$C$124:$K$148,9,0))</f>
        <v/>
      </c>
      <c r="L99" s="16"/>
      <c r="M99" s="8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customFormat="false" ht="9.9" hidden="false" customHeight="true" outlineLevel="0" collapsed="false">
      <c r="A100" s="88" t="s">
        <v>80</v>
      </c>
      <c r="B100" s="89" t="str">
        <f aca="false">IF(B6="","",SUM(B97:B99))</f>
        <v/>
      </c>
      <c r="C100" s="89" t="str">
        <f aca="false">IF(C6="","",SUM(C97:C99))</f>
        <v/>
      </c>
      <c r="D100" s="89" t="str">
        <f aca="false">IF(D6="","",SUM(D97:D99))</f>
        <v/>
      </c>
      <c r="E100" s="89" t="str">
        <f aca="false">IF(E6="","",SUM(E97:E99))</f>
        <v/>
      </c>
      <c r="F100" s="89" t="str">
        <f aca="false">IF(F6="","",SUM(F97:F99))</f>
        <v/>
      </c>
      <c r="G100" s="89" t="str">
        <f aca="false">IF(G6="","",SUM(G97:G99))</f>
        <v/>
      </c>
      <c r="H100" s="89" t="str">
        <f aca="false">IF(H6="","",SUM(H97:H99))</f>
        <v/>
      </c>
      <c r="I100" s="89" t="str">
        <f aca="false">IF(I6="","",SUM(I97:I99))</f>
        <v/>
      </c>
      <c r="J100" s="89" t="str">
        <f aca="false">IF(J6="","",SUM(J97:J99))</f>
        <v/>
      </c>
      <c r="K100" s="89" t="str">
        <f aca="false">IF(K6="","",SUM(K97:K99))</f>
        <v/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customFormat="false" ht="9.9" hidden="false" customHeight="true" outlineLevel="0" collapsed="false">
      <c r="A101" s="17"/>
      <c r="B101" s="90"/>
      <c r="C101" s="91"/>
      <c r="D101" s="16"/>
      <c r="E101" s="16"/>
      <c r="F101" s="16"/>
      <c r="G101" s="16"/>
      <c r="H101" s="16"/>
      <c r="I101" s="16"/>
      <c r="J101" s="16"/>
      <c r="K101" s="1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</row>
    <row r="102" customFormat="false" ht="9.9" hidden="false" customHeight="true" outlineLevel="0" collapsed="false">
      <c r="A102" s="92" t="s">
        <v>81</v>
      </c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</row>
    <row r="103" customFormat="false" ht="9.9" hidden="true" customHeight="true" outlineLevel="0" collapsed="false">
      <c r="A103" s="92" t="s">
        <v>82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</row>
    <row r="104" customFormat="false" ht="9.9" hidden="true" customHeight="true" outlineLevel="0" collapsed="false">
      <c r="A104" s="96" t="s">
        <v>83</v>
      </c>
      <c r="B104" s="97" t="e">
        <f aca="false">HLOOKUP(B103,Услуги!$H$4:$I$6,3,0)</f>
        <v>#N/A</v>
      </c>
      <c r="C104" s="97" t="e">
        <f aca="false">HLOOKUP(C103,Услуги!$H$4:$I$6,3,0)</f>
        <v>#N/A</v>
      </c>
      <c r="D104" s="97" t="e">
        <f aca="false">HLOOKUP(D103,Услуги!$H$4:$I$6,3,0)</f>
        <v>#N/A</v>
      </c>
      <c r="E104" s="97" t="e">
        <f aca="false">HLOOKUP(E103,Услуги!$H$4:$I$6,3,0)</f>
        <v>#N/A</v>
      </c>
      <c r="F104" s="97" t="e">
        <f aca="false">HLOOKUP(F103,Услуги!$H$4:$I$6,3,0)</f>
        <v>#N/A</v>
      </c>
      <c r="G104" s="97" t="e">
        <f aca="false">HLOOKUP(G103,Услуги!$H$4:$I$6,3,0)</f>
        <v>#N/A</v>
      </c>
      <c r="H104" s="97" t="e">
        <f aca="false">HLOOKUP(H103,Услуги!$H$4:$I$6,3,0)</f>
        <v>#N/A</v>
      </c>
      <c r="I104" s="97" t="e">
        <f aca="false">HLOOKUP(I103,Услуги!$H$4:$I$6,3,0)</f>
        <v>#N/A</v>
      </c>
      <c r="J104" s="97" t="e">
        <f aca="false">HLOOKUP(J103,Услуги!$H$4:$I$6,3,0)</f>
        <v>#N/A</v>
      </c>
      <c r="K104" s="97" t="e">
        <f aca="false">HLOOKUP(K103,Услуги!$H$4:$I$6,3,0)</f>
        <v>#N/A</v>
      </c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</row>
    <row r="105" customFormat="false" ht="9.9" hidden="false" customHeight="true" outlineLevel="0" collapsed="false">
      <c r="A105" s="3" t="s">
        <v>84</v>
      </c>
      <c r="B105" s="98" t="str">
        <f aca="false">IF(ISNUMBER(B16+B33+B57+B79+B86+B90+B91+B92+B93+B6+B100),IF(B6*B7=0,0,B16+B33+B57+B79+B86+B90+B91+B92+B93+B100+B102),"НЕ ВСЁ заполнено")</f>
        <v>НЕ ВСЁ заполнено</v>
      </c>
      <c r="C105" s="98" t="str">
        <f aca="false">IF(ISNUMBER(C16+C33+C57+C79+C86+C90+C91+C92+C93+C6+C100),IF(C6*C7=0,0,C16+C33+C57+C79+C86+C90+C91+C92+C93+C100+C102),"НЕ ВСЁ заполнено")</f>
        <v>НЕ ВСЁ заполнено</v>
      </c>
      <c r="D105" s="98" t="str">
        <f aca="false">IF(ISNUMBER(D16+D33+D57+D79+D86+D90+D91+D92+D93+D6+D100),IF(D6*D7=0,0,D16+D33+D57+D79+D86+D90+D91+D92+D93+D100+D102),"НЕ ВСЁ заполнено")</f>
        <v>НЕ ВСЁ заполнено</v>
      </c>
      <c r="E105" s="98" t="str">
        <f aca="false">IF(ISNUMBER(E16+E33+E57+E79+E86+E90+E91+E92+E93+E6+E100),IF(E6*E7=0,0,E16+E33+E57+E79+E86+E90+E91+E92+E93+E100+E102),"НЕ ВСЁ заполнено")</f>
        <v>НЕ ВСЁ заполнено</v>
      </c>
      <c r="F105" s="98" t="str">
        <f aca="false">IF(ISNUMBER(F16+F33+F57+F79+F86+F90+F91+F92+F93+F6+F100),IF(F6*F7=0,0,F16+F33+F57+F79+F86+F90+F91+F92+F93+F100+F102),"НЕ ВСЁ заполнено")</f>
        <v>НЕ ВСЁ заполнено</v>
      </c>
      <c r="G105" s="98" t="str">
        <f aca="false">IF(ISNUMBER(G16+G33+G57+G79+G86+G90+G91+G92+G93+G6+G100),IF(G6*G7=0,0,G16+G33+G57+G79+G86+G90+G91+G92+G93+G100+G102),"НЕ ВСЁ заполнено")</f>
        <v>НЕ ВСЁ заполнено</v>
      </c>
      <c r="H105" s="98" t="str">
        <f aca="false">IF(ISNUMBER(H16+H33+H57+H79+H86+H90+H91+H92+H93+H6+H100),IF(H6*H7=0,0,H16+H33+H57+H79+H86+H90+H91+H92+H93+H100+H102),"НЕ ВСЁ заполнено")</f>
        <v>НЕ ВСЁ заполнено</v>
      </c>
      <c r="I105" s="98" t="str">
        <f aca="false">IF(ISNUMBER(I16+I33+I57+I79+I86+I90+I91+I92+I93+I6+I100),IF(I6*I7=0,0,I16+I33+I57+I79+I86+I90+I91+I92+I93+I100+I102),"НЕ ВСЁ заполнено")</f>
        <v>НЕ ВСЁ заполнено</v>
      </c>
      <c r="J105" s="98" t="str">
        <f aca="false">IF(ISNUMBER(J16+J33+J57+J79+J86+J90+J91+J92+J93+J6+J100),IF(J6*J7=0,0,J16+J33+J57+J79+J86+J90+J91+J92+J93+J100+J102),"НЕ ВСЁ заполнено")</f>
        <v>НЕ ВСЁ заполнено</v>
      </c>
      <c r="K105" s="98" t="str">
        <f aca="false">IF(ISNUMBER(K16+K33+K57+K79+K86+K90+K91+K92+K93+K6+K100),IF(K6*K7=0,0,K16+K33+K57+K79+K86+K90+K91+K92+K93+K100+K102),"НЕ ВСЁ заполнено")</f>
        <v>НЕ ВСЁ заполнено</v>
      </c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</row>
    <row r="106" customFormat="false" ht="9.9" hidden="false" customHeight="true" outlineLevel="0" collapsed="false">
      <c r="A106" s="3"/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customFormat="false" ht="17.7" hidden="false" customHeight="true" outlineLevel="0" collapsed="false">
      <c r="A107" s="100" t="s">
        <v>85</v>
      </c>
      <c r="B107" s="101" t="e">
        <f aca="false">B16+B33+B86-B85+B100</f>
        <v>#N/A</v>
      </c>
      <c r="C107" s="101" t="e">
        <f aca="false">C16+C33+C86-C85+C100</f>
        <v>#N/A</v>
      </c>
      <c r="D107" s="101" t="e">
        <f aca="false">D16+D33+D86-D85+D100</f>
        <v>#N/A</v>
      </c>
      <c r="E107" s="101" t="e">
        <f aca="false">E16+E33+E86-E85+E100</f>
        <v>#N/A</v>
      </c>
      <c r="F107" s="101" t="e">
        <f aca="false">F16+F33+F86-F85+F100</f>
        <v>#N/A</v>
      </c>
      <c r="G107" s="101" t="e">
        <f aca="false">G16+G33+G86-G85+G100</f>
        <v>#N/A</v>
      </c>
      <c r="H107" s="101" t="e">
        <f aca="false">H16+H33+H86-H85+H100</f>
        <v>#N/A</v>
      </c>
      <c r="I107" s="101" t="e">
        <f aca="false">I16+I33+I86-I85+I100</f>
        <v>#N/A</v>
      </c>
      <c r="J107" s="101" t="e">
        <f aca="false">J16+J33+J86-J85+J100</f>
        <v>#N/A</v>
      </c>
      <c r="K107" s="101" t="e">
        <f aca="false">K16+K33+K86-K85+K100</f>
        <v>#N/A</v>
      </c>
    </row>
    <row r="108" customFormat="false" ht="9.9" hidden="false" customHeight="true" outlineLevel="0" collapsed="false">
      <c r="A108" s="102" t="s">
        <v>86</v>
      </c>
      <c r="B108" s="99" t="e">
        <f aca="false">B57+B79+B90+B91+B92+B93</f>
        <v>#VALUE!</v>
      </c>
      <c r="C108" s="99" t="e">
        <f aca="false">C57+C79+C90+C91+C92+C93</f>
        <v>#VALUE!</v>
      </c>
      <c r="D108" s="99" t="e">
        <f aca="false">D57+D79+D90+D91+D92+D93</f>
        <v>#VALUE!</v>
      </c>
      <c r="E108" s="99" t="e">
        <f aca="false">E57+E79+E90+E91+E92+E93</f>
        <v>#VALUE!</v>
      </c>
      <c r="F108" s="99" t="e">
        <f aca="false">F57+F79+F90+F91+F92+F93</f>
        <v>#VALUE!</v>
      </c>
      <c r="G108" s="99" t="e">
        <f aca="false">G57+G79+G90+G91+G92+G93</f>
        <v>#VALUE!</v>
      </c>
      <c r="H108" s="99" t="e">
        <f aca="false">H57+H79+H90+H91+H92+H93</f>
        <v>#VALUE!</v>
      </c>
      <c r="I108" s="99" t="e">
        <f aca="false">I57+I79+I90+I91+I92+I93</f>
        <v>#VALUE!</v>
      </c>
      <c r="J108" s="99" t="e">
        <f aca="false">J57+J79+J90+J91+J92+J93</f>
        <v>#VALUE!</v>
      </c>
      <c r="K108" s="99" t="e">
        <f aca="false">K57+K79+K90+K91+K92+K93</f>
        <v>#VALUE!</v>
      </c>
    </row>
    <row r="109" customFormat="false" ht="8.5" hidden="false" customHeight="true" outlineLevel="0" collapsed="false">
      <c r="A109" s="103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customFormat="false" ht="8.5" hidden="true" customHeight="true" outlineLevel="0" collapsed="false">
      <c r="A110" s="105" t="s">
        <v>87</v>
      </c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</row>
    <row r="111" customFormat="false" ht="8.5" hidden="true" customHeight="true" outlineLevel="0" collapsed="false">
      <c r="A111" s="105" t="s">
        <v>88</v>
      </c>
      <c r="B111" s="106" t="str">
        <f aca="false">IF(B84="да","Оборачивание рейки тканью. ","")</f>
        <v/>
      </c>
      <c r="C111" s="106" t="str">
        <f aca="false">IF(C84="да","Оборачивание рейки тканью. ","")</f>
        <v/>
      </c>
      <c r="D111" s="106" t="str">
        <f aca="false">IF(D84="да","Оборачивание рейки тканью. ","")</f>
        <v/>
      </c>
      <c r="E111" s="106" t="str">
        <f aca="false">IF(E84="да","Оборачивание рейки тканью. ","")</f>
        <v/>
      </c>
      <c r="F111" s="106" t="str">
        <f aca="false">IF(F84="да","Оборачивание рейки тканью. ","")</f>
        <v/>
      </c>
      <c r="G111" s="106" t="str">
        <f aca="false">IF(G84="да","Оборачивание рейки тканью. ","")</f>
        <v/>
      </c>
      <c r="H111" s="106" t="str">
        <f aca="false">IF(H84="да","Оборачивание рейки тканью. ","")</f>
        <v/>
      </c>
      <c r="I111" s="106" t="str">
        <f aca="false">IF(I84="да","Оборачивание рейки тканью. ","")</f>
        <v/>
      </c>
      <c r="J111" s="106" t="str">
        <f aca="false">IF(J84="да","Оборачивание рейки тканью. ","")</f>
        <v/>
      </c>
      <c r="K111" s="106" t="str">
        <f aca="false">IF(K84="да","Оборачивание рейки тканью. ","")</f>
        <v/>
      </c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</row>
    <row r="112" customFormat="false" ht="8.5" hidden="true" customHeight="true" outlineLevel="0" collapsed="false">
      <c r="A112" s="105" t="s">
        <v>28</v>
      </c>
      <c r="B112" s="106" t="str">
        <f aca="false">IF(B23="Да","Настенные крепления кассеты. ","")</f>
        <v/>
      </c>
      <c r="C112" s="106" t="str">
        <f aca="false">IF(C23="Да","Настенные крепления кассеты. ","")</f>
        <v/>
      </c>
      <c r="D112" s="106" t="str">
        <f aca="false">IF(D23="Да","Настенные крепления кассеты. ","")</f>
        <v/>
      </c>
      <c r="E112" s="106" t="str">
        <f aca="false">IF(E23="Да","Настенные крепления кассеты. ","")</f>
        <v/>
      </c>
      <c r="F112" s="106" t="str">
        <f aca="false">IF(F23="Да","Настенные крепления кассеты. ","")</f>
        <v/>
      </c>
      <c r="G112" s="106" t="str">
        <f aca="false">IF(G23="Да","Настенные крепления кассеты. ","")</f>
        <v/>
      </c>
      <c r="H112" s="106" t="str">
        <f aca="false">IF(H23="Да","Настенные крепления кассеты. ","")</f>
        <v/>
      </c>
      <c r="I112" s="106" t="str">
        <f aca="false">IF(I23="Да","Настенные крепления кассеты. ","")</f>
        <v/>
      </c>
      <c r="J112" s="106" t="str">
        <f aca="false">IF(J23="Да","Настенные крепления кассеты. ","")</f>
        <v/>
      </c>
      <c r="K112" s="106" t="str">
        <f aca="false">IF(K23="Да","Настенные крепления кассеты. ","")</f>
        <v/>
      </c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</row>
    <row r="113" customFormat="false" ht="8.5" hidden="true" customHeight="true" outlineLevel="0" collapsed="false">
      <c r="A113" s="105" t="s">
        <v>89</v>
      </c>
      <c r="B113" s="106" t="str">
        <f aca="false">IF(B31="Да","Обтягивание кассеты тканью. ","")</f>
        <v/>
      </c>
      <c r="C113" s="106" t="str">
        <f aca="false">IF(C31="Да","Обтягивание кассеты тканью. ","")</f>
        <v/>
      </c>
      <c r="D113" s="106" t="str">
        <f aca="false">IF(D31="Да","Обтягивание кассеты тканью. ","")</f>
        <v/>
      </c>
      <c r="E113" s="106" t="str">
        <f aca="false">IF(E31="Да","Обтягивание кассеты тканью. ","")</f>
        <v/>
      </c>
      <c r="F113" s="106" t="str">
        <f aca="false">IF(F31="Да","Обтягивание кассеты тканью. ","")</f>
        <v/>
      </c>
      <c r="G113" s="106" t="str">
        <f aca="false">IF(G31="Да","Обтягивание кассеты тканью. ","")</f>
        <v/>
      </c>
      <c r="H113" s="106" t="str">
        <f aca="false">IF(H31="Да","Обтягивание кассеты тканью. ","")</f>
        <v/>
      </c>
      <c r="I113" s="106" t="str">
        <f aca="false">IF(I31="Да","Обтягивание кассеты тканью. ","")</f>
        <v/>
      </c>
      <c r="J113" s="106" t="str">
        <f aca="false">IF(J31="Да","Обтягивание кассеты тканью. ","")</f>
        <v/>
      </c>
      <c r="K113" s="106" t="str">
        <f aca="false">IF(K31="Да","Обтягивание кассеты тканью. ","")</f>
        <v/>
      </c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</row>
    <row r="114" customFormat="false" ht="8.5" hidden="true" customHeight="true" outlineLevel="0" collapsed="false">
      <c r="A114" s="105" t="s">
        <v>90</v>
      </c>
      <c r="B114" s="106" t="str">
        <f aca="false">IF(B96&lt;&gt;"",B96&amp;" со шлегелем. ","")</f>
        <v/>
      </c>
      <c r="C114" s="106" t="str">
        <f aca="false">IF(C96&lt;&gt;"",C96&amp;" со шлегелем. ","")</f>
        <v/>
      </c>
      <c r="D114" s="106" t="str">
        <f aca="false">IF(D96&lt;&gt;"",D96&amp;" со шлегелем. ","")</f>
        <v/>
      </c>
      <c r="E114" s="106" t="str">
        <f aca="false">IF(E96&lt;&gt;"",E96&amp;" со шлегелем. ","")</f>
        <v/>
      </c>
      <c r="F114" s="106" t="str">
        <f aca="false">IF(F96&lt;&gt;"",F96&amp;" со шлегелем. ","")</f>
        <v/>
      </c>
      <c r="G114" s="106" t="str">
        <f aca="false">IF(G96&lt;&gt;"",G96&amp;" со шлегелем. ","")</f>
        <v/>
      </c>
      <c r="H114" s="106" t="str">
        <f aca="false">IF(H96&lt;&gt;"",H96&amp;" со шлегелем. ","")</f>
        <v/>
      </c>
      <c r="I114" s="106" t="str">
        <f aca="false">IF(I96&lt;&gt;"",I96&amp;" со шлегелем. ","")</f>
        <v/>
      </c>
      <c r="J114" s="106" t="str">
        <f aca="false">IF(J96&lt;&gt;"",J96&amp;" со шлегелем. ","")</f>
        <v/>
      </c>
      <c r="K114" s="106" t="str">
        <f aca="false">IF(K96&lt;&gt;"",K96&amp;" со шлегелем. ","")</f>
        <v/>
      </c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</row>
    <row r="115" s="108" customFormat="true" ht="54.1" hidden="true" customHeight="true" outlineLevel="0" collapsed="false">
      <c r="A115" s="105"/>
      <c r="B115" s="107" t="e">
        <f aca="false">"Рулонная штора "&amp;B12&amp;", система - "&amp;B18&amp;", ткань "&amp;B38&amp;IF(B39=0,"",", цвет ткани - "&amp;B39)&amp;". Управление: "&amp;B13&amp;" - "&amp;B15&amp;" шт."</f>
        <v>#N/A</v>
      </c>
      <c r="C115" s="107" t="e">
        <f aca="false">"Рулонная штора "&amp;C12&amp;", система - "&amp;C18&amp;", ткань "&amp;C38&amp;IF(C39=0,"",", цвет ткани - "&amp;C39)&amp;". Управление: "&amp;C13</f>
        <v>#N/A</v>
      </c>
      <c r="D115" s="107" t="e">
        <f aca="false">"Рулонная штора "&amp;D12&amp;", система - "&amp;D18&amp;", ткань "&amp;D38&amp;IF(D39=0,"",", цвет ткани - "&amp;D39)&amp;". Управление: "&amp;D13</f>
        <v>#N/A</v>
      </c>
      <c r="E115" s="107" t="e">
        <f aca="false">"Рулонная штора "&amp;E12&amp;", система - "&amp;E18&amp;", ткань "&amp;E38&amp;IF(E39=0,"",", цвет ткани - "&amp;E39)&amp;". Управление: "&amp;E13</f>
        <v>#N/A</v>
      </c>
      <c r="F115" s="107" t="e">
        <f aca="false">"Рулонная штора "&amp;F12&amp;", система - "&amp;F18&amp;", ткань "&amp;F38&amp;IF(F39=0,"",", цвет ткани - "&amp;F39)&amp;". Управление: "&amp;F13</f>
        <v>#N/A</v>
      </c>
      <c r="G115" s="107" t="e">
        <f aca="false">"Рулонная штора "&amp;G12&amp;", система - "&amp;G18&amp;", ткань "&amp;G38&amp;IF(G39=0,"",", цвет ткани - "&amp;G39)&amp;". Управление: "&amp;G13</f>
        <v>#N/A</v>
      </c>
      <c r="H115" s="107" t="e">
        <f aca="false">"Рулонная штора "&amp;H12&amp;", система - "&amp;H18&amp;", ткань "&amp;H38&amp;IF(H39=0,"",", цвет ткани - "&amp;H39)&amp;". Управление: "&amp;H13</f>
        <v>#N/A</v>
      </c>
      <c r="I115" s="107" t="e">
        <f aca="false">"Рулонная штора "&amp;I12&amp;", система - "&amp;I18&amp;", ткань "&amp;I38&amp;IF(I39=0,"",", цвет ткани - "&amp;I39)&amp;". Управление: "&amp;I13</f>
        <v>#N/A</v>
      </c>
      <c r="J115" s="107" t="e">
        <f aca="false">"Рулонная штора "&amp;J12&amp;", система - "&amp;J18&amp;", ткань "&amp;J38&amp;IF(J39=0,"",", цвет ткани - "&amp;J39)&amp;". Управление: "&amp;J13</f>
        <v>#N/A</v>
      </c>
      <c r="K115" s="107" t="e">
        <f aca="false">"Рулонная штора "&amp;K12&amp;", система - "&amp;K18&amp;", ткань "&amp;K38&amp;IF(K39=0,"",", цвет ткани - "&amp;K39)&amp;". Управление: "&amp;K13</f>
        <v>#N/A</v>
      </c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AMI115" s="0"/>
      <c r="AMJ115" s="0"/>
    </row>
    <row r="116" s="108" customFormat="true" ht="12.8" hidden="true" customHeight="false" outlineLevel="0" collapsed="false">
      <c r="A116" s="105"/>
      <c r="B116" s="109" t="e">
        <f aca="false">B15</f>
        <v>#N/A</v>
      </c>
      <c r="C116" s="107"/>
      <c r="D116" s="107"/>
      <c r="E116" s="107"/>
      <c r="F116" s="107"/>
      <c r="G116" s="107"/>
      <c r="H116" s="107"/>
      <c r="I116" s="107"/>
      <c r="J116" s="107"/>
      <c r="K116" s="107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AMI116" s="0"/>
      <c r="AMJ116" s="0"/>
    </row>
    <row r="117" customFormat="false" ht="12.8" hidden="true" customHeight="false" outlineLevel="0" collapsed="false">
      <c r="A117" s="105"/>
      <c r="B117" s="110" t="e">
        <f aca="false">(B6*1000)&amp;"х"&amp;(B7*1000)&amp;" мм"&amp;IF(B22&lt;&gt;1,""," / "&amp;(B8*1000)&amp;"х"&amp;(B9*1000)&amp;" мм (два полотна)")</f>
        <v>#N/A</v>
      </c>
      <c r="C117" s="110" t="e">
        <f aca="false">(C6*1000)&amp;"х"&amp;(C7*1000)&amp;" мм"&amp;IF(C22&lt;&gt;1,""," / "&amp;(C8*1000)&amp;"х"&amp;(C9*1000)&amp;" мм (два полотна)")</f>
        <v>#N/A</v>
      </c>
      <c r="D117" s="110" t="e">
        <f aca="false">(D6*1000)&amp;"х"&amp;(D7*1000)&amp;" мм"&amp;IF(D22&lt;&gt;1,""," / "&amp;(D8*1000)&amp;"х"&amp;(D9*1000)&amp;" мм (два полотна)")</f>
        <v>#N/A</v>
      </c>
      <c r="E117" s="110" t="e">
        <f aca="false">(E6*1000)&amp;"х"&amp;(E7*1000)&amp;" мм"&amp;IF(E22&lt;&gt;1,""," / "&amp;(E8*1000)&amp;"х"&amp;(E9*1000)&amp;" мм (два полотна)")</f>
        <v>#N/A</v>
      </c>
      <c r="F117" s="110" t="e">
        <f aca="false">(F6*1000)&amp;"х"&amp;(F7*1000)&amp;" мм"&amp;IF(F22&lt;&gt;1,""," / "&amp;(F8*1000)&amp;"х"&amp;(F9*1000)&amp;" мм (два полотна)")</f>
        <v>#N/A</v>
      </c>
      <c r="G117" s="110" t="e">
        <f aca="false">(G6*1000)&amp;"х"&amp;(G7*1000)&amp;" мм"&amp;IF(G22&lt;&gt;1,""," / "&amp;(G8*1000)&amp;"х"&amp;(G9*1000)&amp;" мм (два полотна)")</f>
        <v>#N/A</v>
      </c>
      <c r="H117" s="110" t="e">
        <f aca="false">(H6*1000)&amp;"х"&amp;(H7*1000)&amp;" мм"&amp;IF(H22&lt;&gt;1,""," / "&amp;(H8*1000)&amp;"х"&amp;(H9*1000)&amp;" мм (два полотна)")</f>
        <v>#N/A</v>
      </c>
      <c r="I117" s="110" t="e">
        <f aca="false">(I6*1000)&amp;"х"&amp;(I7*1000)&amp;" мм"&amp;IF(I22&lt;&gt;1,""," / "&amp;(I8*1000)&amp;"х"&amp;(I9*1000)&amp;" мм (два полотна)")</f>
        <v>#N/A</v>
      </c>
      <c r="J117" s="110" t="e">
        <f aca="false">(J6*1000)&amp;"х"&amp;(J7*1000)&amp;" мм"&amp;IF(J22&lt;&gt;1,""," / "&amp;(J8*1000)&amp;"х"&amp;(J9*1000)&amp;" мм (два полотна)")</f>
        <v>#N/A</v>
      </c>
      <c r="K117" s="110" t="e">
        <f aca="false">(K6*1000)&amp;"х"&amp;(K7*1000)&amp;" мм"&amp;IF(K22&lt;&gt;1,""," / "&amp;(K8*1000)&amp;"х"&amp;(K9*1000)&amp;" мм (два полотна)")</f>
        <v>#N/A</v>
      </c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</row>
    <row r="118" customFormat="false" ht="43.5" hidden="true" customHeight="true" outlineLevel="0" collapsed="false">
      <c r="A118" s="105"/>
      <c r="B118" s="111" t="str">
        <f aca="false">B111&amp;B112&amp;B113&amp;B114</f>
        <v/>
      </c>
      <c r="C118" s="111" t="str">
        <f aca="false">C111&amp;C112&amp;C113&amp;C114</f>
        <v/>
      </c>
      <c r="D118" s="111" t="str">
        <f aca="false">D111&amp;D112&amp;D113&amp;D114</f>
        <v/>
      </c>
      <c r="E118" s="111" t="str">
        <f aca="false">E111&amp;E112&amp;E113&amp;E114</f>
        <v/>
      </c>
      <c r="F118" s="111" t="str">
        <f aca="false">F111&amp;F112&amp;F113&amp;F114</f>
        <v/>
      </c>
      <c r="G118" s="111" t="str">
        <f aca="false">G111&amp;G112&amp;G113&amp;G114</f>
        <v/>
      </c>
      <c r="H118" s="111" t="str">
        <f aca="false">H111&amp;H112&amp;H113&amp;H114</f>
        <v/>
      </c>
      <c r="I118" s="111" t="str">
        <f aca="false">I111&amp;I112&amp;I113&amp;I114</f>
        <v/>
      </c>
      <c r="J118" s="111" t="str">
        <f aca="false">J111&amp;J112&amp;J113&amp;J114</f>
        <v/>
      </c>
      <c r="K118" s="111" t="str">
        <f aca="false">K111&amp;K112&amp;K113&amp;K114</f>
        <v/>
      </c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</row>
    <row r="119" customFormat="false" ht="11.15" hidden="false" customHeight="true" outlineLevel="0" collapsed="false">
      <c r="A119" s="105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</row>
    <row r="120" customFormat="false" ht="8.5" hidden="false" customHeight="true" outlineLevel="0" collapsed="false">
      <c r="A120" s="105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</row>
    <row r="121" customFormat="false" ht="8.5" hidden="false" customHeight="true" outlineLevel="0" collapsed="false">
      <c r="A121" s="112" t="s">
        <v>91</v>
      </c>
      <c r="B121" s="113" t="s">
        <v>92</v>
      </c>
      <c r="C121" s="113"/>
      <c r="D121" s="114" t="s">
        <v>93</v>
      </c>
      <c r="E121" s="114"/>
      <c r="F121" s="114" t="s">
        <v>94</v>
      </c>
      <c r="G121" s="114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</row>
    <row r="122" customFormat="false" ht="8.5" hidden="false" customHeight="tru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</row>
    <row r="123" customFormat="false" ht="11.55" hidden="false" customHeight="tru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</row>
    <row r="124" customFormat="false" ht="11.55" hidden="false" customHeight="true" outlineLevel="0" collapsed="false">
      <c r="A124" s="116" t="s">
        <v>95</v>
      </c>
      <c r="B124" s="117"/>
      <c r="C124" s="117" t="s">
        <v>96</v>
      </c>
      <c r="D124" s="118"/>
      <c r="E124" s="118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</row>
    <row r="125" customFormat="false" ht="11.55" hidden="false" customHeight="true" outlineLevel="0" collapsed="false">
      <c r="A125" s="0"/>
      <c r="B125" s="119" t="e">
        <f aca="false">VLOOKUP(B124,'Управление и питание'!$C$66:$G$67,5,0)</f>
        <v>#N/A</v>
      </c>
      <c r="C125" s="119" t="n">
        <f aca="false">VLOOKUP(C124,'Управление и питание'!$C$66:$G$67,5,0)</f>
        <v>2100</v>
      </c>
      <c r="D125" s="119" t="e">
        <f aca="false">VLOOKUP(D124,'Управление и питание'!$C$66:$G$67,5,0)</f>
        <v>#N/A</v>
      </c>
      <c r="E125" s="119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</row>
    <row r="126" customFormat="false" ht="12.25" hidden="false" customHeight="true" outlineLevel="0" collapsed="false">
      <c r="A126" s="105"/>
      <c r="B126" s="120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</row>
    <row r="127" customFormat="false" ht="14.4" hidden="false" customHeight="true" outlineLevel="0" collapsed="false">
      <c r="A127" s="121" t="s">
        <v>97</v>
      </c>
      <c r="B127" s="121"/>
      <c r="C127" s="121"/>
      <c r="D127" s="121"/>
      <c r="E127" s="121"/>
      <c r="F127" s="122"/>
      <c r="G127" s="0" t="s">
        <v>98</v>
      </c>
      <c r="H127" s="123" t="s">
        <v>99</v>
      </c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</row>
    <row r="128" customFormat="false" ht="8.5" hidden="false" customHeight="true" outlineLevel="0" collapsed="false">
      <c r="A128" s="105"/>
      <c r="B128" s="120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</row>
    <row r="129" customFormat="false" ht="21.9" hidden="false" customHeight="true" outlineLevel="0" collapsed="false">
      <c r="A129" s="124" t="s">
        <v>100</v>
      </c>
      <c r="B129" s="125" t="s">
        <v>101</v>
      </c>
      <c r="C129" s="125" t="s">
        <v>102</v>
      </c>
      <c r="D129" s="125" t="s">
        <v>103</v>
      </c>
      <c r="E129" s="125" t="s">
        <v>104</v>
      </c>
      <c r="F129" s="125" t="s">
        <v>105</v>
      </c>
      <c r="G129" s="0"/>
      <c r="H129" s="95"/>
      <c r="I129" s="95"/>
      <c r="J129" s="95"/>
      <c r="K129" s="95"/>
      <c r="L129" s="95"/>
      <c r="M129" s="126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</row>
    <row r="130" customFormat="false" ht="17" hidden="false" customHeight="true" outlineLevel="0" collapsed="false">
      <c r="A130" s="127" t="e">
        <f aca="false">VLOOKUP(B124,'Управление и питание'!$C$66:$H$67,6,0)</f>
        <v>#N/A</v>
      </c>
      <c r="B130" s="128"/>
      <c r="C130" s="128"/>
      <c r="D130" s="128"/>
      <c r="E130" s="129" t="e">
        <f aca="false">B125</f>
        <v>#N/A</v>
      </c>
      <c r="F130" s="130" t="str">
        <f aca="false">IF(B130&lt;=0,"не указано кол-во",B130*E130)</f>
        <v>не указано кол-во</v>
      </c>
      <c r="G130" s="131" t="s">
        <v>106</v>
      </c>
      <c r="H130" s="131"/>
      <c r="I130" s="131"/>
      <c r="J130" s="95"/>
      <c r="K130" s="95"/>
      <c r="L130" s="95"/>
      <c r="M130" s="0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</row>
    <row r="131" customFormat="false" ht="17" hidden="false" customHeight="true" outlineLevel="0" collapsed="false">
      <c r="A131" s="127" t="e">
        <f aca="false">VLOOKUP(D124,'Управление и питание'!$C$66:$H$67,6,0)</f>
        <v>#N/A</v>
      </c>
      <c r="B131" s="128"/>
      <c r="C131" s="128"/>
      <c r="D131" s="128"/>
      <c r="E131" s="129" t="e">
        <f aca="false">D125</f>
        <v>#N/A</v>
      </c>
      <c r="F131" s="130" t="str">
        <f aca="false">IF(B131&lt;=0,"не указано кол-во",B131*E131)</f>
        <v>не указано кол-во</v>
      </c>
      <c r="G131" s="131" t="s">
        <v>106</v>
      </c>
      <c r="H131" s="131"/>
      <c r="I131" s="131"/>
      <c r="J131" s="95"/>
      <c r="K131" s="95"/>
      <c r="L131" s="95"/>
      <c r="M131" s="16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</row>
    <row r="132" customFormat="false" ht="13.8" hidden="false" customHeight="false" outlineLevel="0" collapsed="false">
      <c r="A132" s="132" t="e">
        <f aca="false">B115</f>
        <v>#N/A</v>
      </c>
      <c r="B132" s="133"/>
      <c r="C132" s="134" t="e">
        <f aca="false">B117</f>
        <v>#N/A</v>
      </c>
      <c r="D132" s="134" t="str">
        <f aca="false">B118</f>
        <v/>
      </c>
      <c r="E132" s="135" t="e">
        <f aca="false">_xlfn.CEILING.MATH(B105,10,0)</f>
        <v>#VALUE!</v>
      </c>
      <c r="F132" s="130" t="str">
        <f aca="false">IF(B132&lt;=0,"не указано кол-во",B132*E132)</f>
        <v>не указано кол-во</v>
      </c>
      <c r="G132" s="136" t="str">
        <f aca="false">IF(B132=0,"нет кол-ва",IF(ISNUMBER(B104),B104,""))</f>
        <v>нет кол-ва</v>
      </c>
      <c r="H132" s="137" t="str">
        <f aca="false">IF(ISNUMBER(G132),G132*B132,G132)</f>
        <v>нет кол-ва</v>
      </c>
      <c r="I132" s="138"/>
      <c r="J132" s="138"/>
      <c r="K132" s="138"/>
      <c r="M132" s="0"/>
    </row>
    <row r="133" customFormat="false" ht="17" hidden="false" customHeight="true" outlineLevel="0" collapsed="false">
      <c r="A133" s="139" t="e">
        <f aca="false">"Рулонная штора с "&amp;" "&amp;C13&amp;", система - "&amp;C18&amp;", ткань "&amp;C38&amp;IF(C39=0,"",", цвет ткани - "&amp;C39)</f>
        <v>#N/A</v>
      </c>
      <c r="B133" s="140"/>
      <c r="C133" s="140" t="e">
        <f aca="false">C117</f>
        <v>#N/A</v>
      </c>
      <c r="D133" s="134" t="str">
        <f aca="false">IF(C84="Да","Оборачивание нижней рейки тканью. ","")&amp;IF(C96=0,"",(VLOOKUP(C96,_Короб!$F$6:$H$8,3,0)&amp;". "))&amp;IF(C31="Да","Обтягивание короба тканью.","")</f>
        <v/>
      </c>
      <c r="E133" s="141" t="e">
        <f aca="false">_xlfn.CEILING.MATH(C105,10,0)</f>
        <v>#VALUE!</v>
      </c>
      <c r="F133" s="130" t="str">
        <f aca="false">IF(B133&lt;=0,"не указано кол-во",B133*E133)</f>
        <v>не указано кол-во</v>
      </c>
      <c r="G133" s="142" t="str">
        <f aca="false">IF(B133=0,"нет кол-ва",IF(ISNUMBER(C104),C104,""))</f>
        <v>нет кол-ва</v>
      </c>
      <c r="H133" s="137" t="str">
        <f aca="false">IF(ISNUMBER(G133),G133*B133,G133)</f>
        <v>нет кол-ва</v>
      </c>
      <c r="I133" s="95"/>
      <c r="J133" s="95"/>
      <c r="K133" s="95"/>
      <c r="L133" s="95"/>
      <c r="M133" s="16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</row>
    <row r="134" customFormat="false" ht="17" hidden="false" customHeight="true" outlineLevel="0" collapsed="false">
      <c r="A134" s="139" t="e">
        <f aca="false">"Рулонная штора с "&amp;" "&amp;D13&amp;", система - "&amp;D18&amp;", ткань "&amp;D38&amp;IF(D39=0,"",", цвет ткани - "&amp;D39)</f>
        <v>#N/A</v>
      </c>
      <c r="B134" s="140"/>
      <c r="C134" s="133" t="e">
        <f aca="false">D117</f>
        <v>#N/A</v>
      </c>
      <c r="D134" s="134" t="str">
        <f aca="false">IF(D84="Да","Оборачивание нижней рейки тканью. ","")&amp;IF(D96=0,"",(VLOOKUP(D96,_Короб!$F$6:$H$8,3,0)&amp;". "))&amp;IF(D31="Да","Обтягивание короба тканью.","")</f>
        <v/>
      </c>
      <c r="E134" s="141" t="e">
        <f aca="false">_xlfn.CEILING.MATH(D105,10,0)</f>
        <v>#VALUE!</v>
      </c>
      <c r="F134" s="130" t="str">
        <f aca="false">IF(B134&lt;=0,"не указано кол-во",B134*E134)</f>
        <v>не указано кол-во</v>
      </c>
      <c r="G134" s="142" t="str">
        <f aca="false">IF(B134=0,"нет кол-ва",IF(ISNUMBER(D104),D104,""))</f>
        <v>нет кол-ва</v>
      </c>
      <c r="H134" s="137" t="str">
        <f aca="false">IF(ISNUMBER(G134),G134*B134,G134)</f>
        <v>нет кол-ва</v>
      </c>
      <c r="I134" s="95"/>
      <c r="J134" s="95"/>
      <c r="K134" s="95"/>
      <c r="L134" s="95"/>
      <c r="M134" s="0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</row>
    <row r="135" customFormat="false" ht="17" hidden="false" customHeight="true" outlineLevel="0" collapsed="false">
      <c r="A135" s="132" t="e">
        <f aca="false">"Рулонная штора с "&amp;" "&amp;E13&amp;", система - "&amp;E18&amp;", ткань "&amp;E38&amp;IF(E39=0,"",", цвет ткани - "&amp;E39)</f>
        <v>#N/A</v>
      </c>
      <c r="B135" s="140"/>
      <c r="C135" s="140" t="e">
        <f aca="false">E117</f>
        <v>#N/A</v>
      </c>
      <c r="D135" s="134" t="str">
        <f aca="false">IF(E84="Да","Оборачивание нижней рейки тканью. ","")&amp;IF(E96=0,"",(VLOOKUP(E96,_Короб!$F$6:$H$8,3,0)&amp;". "))&amp;IF(E31="Да","Обтягивание короба тканью.","")</f>
        <v/>
      </c>
      <c r="E135" s="141" t="e">
        <f aca="false">_xlfn.CEILING.MATH(E105,10,0)</f>
        <v>#VALUE!</v>
      </c>
      <c r="F135" s="130" t="str">
        <f aca="false">IF(B135&lt;=0,"не указано кол-во",B135*E135)</f>
        <v>не указано кол-во</v>
      </c>
      <c r="G135" s="142" t="str">
        <f aca="false">IF(B135=0,"нет кол-ва",IF(ISNUMBER(E104),E104,""))</f>
        <v>нет кол-ва</v>
      </c>
      <c r="H135" s="137" t="str">
        <f aca="false">IF(ISNUMBER(G135),G135*B135,G135)</f>
        <v>нет кол-ва</v>
      </c>
      <c r="I135" s="95"/>
      <c r="J135" s="95"/>
      <c r="K135" s="95"/>
      <c r="L135" s="95"/>
      <c r="M135" s="16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</row>
    <row r="136" customFormat="false" ht="17" hidden="false" customHeight="true" outlineLevel="0" collapsed="false">
      <c r="A136" s="139" t="e">
        <f aca="false">"Рулонная штора с "&amp;" "&amp;F13&amp;", система - "&amp;F18&amp;", ткань "&amp;F38&amp;IF(F39=0,"",", цвет ткани - "&amp;F39)</f>
        <v>#N/A</v>
      </c>
      <c r="B136" s="140"/>
      <c r="C136" s="140" t="e">
        <f aca="false">F117</f>
        <v>#N/A</v>
      </c>
      <c r="D136" s="134" t="str">
        <f aca="false">IF(F84="Да","Оборачивание нижней рейки тканью. ","")&amp;IF(F96=0,"",(VLOOKUP(F96,_Короб!$F$6:$H$8,3,0)&amp;". "))&amp;IF(F31="Да","Обтягивание короба тканью.","")</f>
        <v/>
      </c>
      <c r="E136" s="141" t="e">
        <f aca="false">_xlfn.CEILING.MATH(F105,10,0)</f>
        <v>#VALUE!</v>
      </c>
      <c r="F136" s="130" t="str">
        <f aca="false">IF(B136&lt;=0,"не указано кол-во",B136*E136)</f>
        <v>не указано кол-во</v>
      </c>
      <c r="G136" s="142" t="str">
        <f aca="false">IF(B136=0,"нет кол-ва",IF(ISNUMBER(F104),F104,""))</f>
        <v>нет кол-ва</v>
      </c>
      <c r="H136" s="137" t="str">
        <f aca="false">IF(ISNUMBER(G136),G136*B136,G136)</f>
        <v>нет кол-ва</v>
      </c>
      <c r="I136" s="95"/>
      <c r="J136" s="95"/>
      <c r="K136" s="95"/>
      <c r="L136" s="95"/>
      <c r="M136" s="16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</row>
    <row r="137" customFormat="false" ht="17" hidden="false" customHeight="true" outlineLevel="0" collapsed="false">
      <c r="A137" s="139" t="e">
        <f aca="false">"Рулонная штора с "&amp;" "&amp;G13&amp;", система - "&amp;G18&amp;", ткань "&amp;G38&amp;IF(G39=0,"",", цвет ткани - "&amp;G39)</f>
        <v>#N/A</v>
      </c>
      <c r="B137" s="140"/>
      <c r="C137" s="140" t="e">
        <f aca="false">G117</f>
        <v>#N/A</v>
      </c>
      <c r="D137" s="134" t="str">
        <f aca="false">IF(G84="Да","Оборачивание нижней рейки тканью. ","")&amp;IF(G96=0,"",(VLOOKUP(G96,_Короб!$F$6:$H$8,3,0)&amp;". "))&amp;IF(G31="Да","Обтягивание короба тканью.","")</f>
        <v/>
      </c>
      <c r="E137" s="141" t="e">
        <f aca="false">_xlfn.CEILING.MATH(G105,10,0)</f>
        <v>#VALUE!</v>
      </c>
      <c r="F137" s="130" t="str">
        <f aca="false">IF(B137&lt;=0,"не указано кол-во",B137*E137)</f>
        <v>не указано кол-во</v>
      </c>
      <c r="G137" s="142" t="str">
        <f aca="false">IF(B137=0,"нет кол-ва",IF(ISNUMBER(G104),G104,""))</f>
        <v>нет кол-ва</v>
      </c>
      <c r="H137" s="137" t="str">
        <f aca="false">IF(ISNUMBER(G137),G137*B137,G137)</f>
        <v>нет кол-ва</v>
      </c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</row>
    <row r="138" customFormat="false" ht="17" hidden="false" customHeight="true" outlineLevel="0" collapsed="false">
      <c r="A138" s="139" t="e">
        <f aca="false">"Рулонная штора с "&amp;" "&amp;H13&amp;", система - "&amp;H18&amp;", ткань "&amp;H38&amp;IF(H39=0,"",", цвет ткани - "&amp;H39)</f>
        <v>#N/A</v>
      </c>
      <c r="B138" s="140"/>
      <c r="C138" s="140" t="e">
        <f aca="false">H117</f>
        <v>#N/A</v>
      </c>
      <c r="D138" s="134" t="str">
        <f aca="false">IF(H84="Да","Оборачивание нижней рейки тканью. ","")&amp;IF(H96=0,"",(VLOOKUP(H96,_Короб!$F$6:$H$8,3,0)&amp;". "))&amp;IF(H31="Да","Обтягивание короба тканью.","")</f>
        <v/>
      </c>
      <c r="E138" s="141" t="e">
        <f aca="false">_xlfn.CEILING.MATH(H105,10,0)</f>
        <v>#VALUE!</v>
      </c>
      <c r="F138" s="130" t="str">
        <f aca="false">IF(B138&lt;=0,"не указано кол-во",B138*E138)</f>
        <v>не указано кол-во</v>
      </c>
      <c r="G138" s="142" t="str">
        <f aca="false">IF(B138=0,"нет кол-ва",IF(ISNUMBER(H104),H104,""))</f>
        <v>нет кол-ва</v>
      </c>
      <c r="H138" s="137" t="str">
        <f aca="false">IF(ISNUMBER(G138),G138*B138,G138)</f>
        <v>нет кол-ва</v>
      </c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</row>
    <row r="139" customFormat="false" ht="17" hidden="false" customHeight="true" outlineLevel="0" collapsed="false">
      <c r="A139" s="139" t="e">
        <f aca="false">"Рулонная штора с "&amp;" "&amp;I13&amp;", система - "&amp;I18&amp;", ткань "&amp;I38&amp;IF(I39=0,"",", цвет ткани - "&amp;I39)</f>
        <v>#N/A</v>
      </c>
      <c r="B139" s="140"/>
      <c r="C139" s="140" t="e">
        <f aca="false">I117</f>
        <v>#N/A</v>
      </c>
      <c r="D139" s="134" t="str">
        <f aca="false">IF(I84="Да","Оборачивание нижней рейки тканью. ","")&amp;IF(I96=0,"",(VLOOKUP(I96,_Короб!$F$6:$H$8,3,0)&amp;". "))&amp;IF(I31="Да","Обтягивание короба тканью.","")</f>
        <v/>
      </c>
      <c r="E139" s="141" t="e">
        <f aca="false">_xlfn.CEILING.MATH(I105,10,0)</f>
        <v>#VALUE!</v>
      </c>
      <c r="F139" s="130" t="str">
        <f aca="false">IF(B139&lt;=0,"не указано кол-во",B139*E139)</f>
        <v>не указано кол-во</v>
      </c>
      <c r="G139" s="142" t="str">
        <f aca="false">IF(B139=0,"нет кол-ва",IF(ISNUMBER(I104),I104,""))</f>
        <v>нет кол-ва</v>
      </c>
      <c r="H139" s="137" t="str">
        <f aca="false">IF(ISNUMBER(G139),G139*B139,G139)</f>
        <v>нет кол-ва</v>
      </c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</row>
    <row r="140" customFormat="false" ht="17" hidden="false" customHeight="true" outlineLevel="0" collapsed="false">
      <c r="A140" s="139" t="e">
        <f aca="false">"Рулонная штора с "&amp;" "&amp;J13&amp;", система - "&amp;J18&amp;", ткань "&amp;J38&amp;IF(J39=0,"",", цвет ткани - "&amp;J39)</f>
        <v>#N/A</v>
      </c>
      <c r="B140" s="140"/>
      <c r="C140" s="140" t="e">
        <f aca="false">J117</f>
        <v>#N/A</v>
      </c>
      <c r="D140" s="134" t="str">
        <f aca="false">IF(J84="Да","Оборачивание нижней рейки тканью. ","")&amp;IF(J96=0,"",(VLOOKUP(J96,_Короб!$F$6:$H$8,3,0)&amp;". "))&amp;IF(J31="Да","Обтягивание короба тканью.","")</f>
        <v/>
      </c>
      <c r="E140" s="141" t="e">
        <f aca="false">_xlfn.CEILING.MATH(J105,10,0)</f>
        <v>#VALUE!</v>
      </c>
      <c r="F140" s="130" t="str">
        <f aca="false">IF(B140&lt;=0,"не указано кол-во",B140*E140)</f>
        <v>не указано кол-во</v>
      </c>
      <c r="G140" s="142" t="str">
        <f aca="false">IF(B140=0,"нет кол-ва",IF(ISNUMBER(J104),J104,""))</f>
        <v>нет кол-ва</v>
      </c>
      <c r="H140" s="137" t="str">
        <f aca="false">IF(ISNUMBER(G140),G140*B140,G140)</f>
        <v>нет кол-ва</v>
      </c>
      <c r="I140" s="95"/>
      <c r="J140" s="95"/>
      <c r="K140" s="95"/>
      <c r="L140" s="95"/>
      <c r="M140" s="95"/>
      <c r="N140" s="95"/>
      <c r="O140" s="95"/>
      <c r="P140" s="95"/>
      <c r="Q140" s="95"/>
      <c r="R140" s="95" t="n">
        <v>37890</v>
      </c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</row>
    <row r="141" customFormat="false" ht="17" hidden="false" customHeight="true" outlineLevel="0" collapsed="false">
      <c r="A141" s="139" t="e">
        <f aca="false">"Рулонная штора с "&amp;" "&amp;K13&amp;", система - "&amp;K18&amp;", ткань "&amp;K38&amp;IF(K39=0,"",", цвет ткани - "&amp;K39)</f>
        <v>#N/A</v>
      </c>
      <c r="B141" s="140"/>
      <c r="C141" s="140" t="e">
        <f aca="false">K117</f>
        <v>#N/A</v>
      </c>
      <c r="D141" s="134" t="str">
        <f aca="false">IF(K84="Да","Оборачивание нижней рейки тканью. ","")&amp;IF(K96=0,"",(VLOOKUP(K96,_Короб!$F$6:$H$8,3,0)&amp;". "))&amp;IF(K31="Да","Обтягивание короба тканью.","")</f>
        <v/>
      </c>
      <c r="E141" s="141" t="e">
        <f aca="false">_xlfn.CEILING.MATH(K105,10,0)</f>
        <v>#VALUE!</v>
      </c>
      <c r="F141" s="130" t="str">
        <f aca="false">IF(B141&lt;=0,"не указано кол-во",B141*E141)</f>
        <v>не указано кол-во</v>
      </c>
      <c r="G141" s="142" t="str">
        <f aca="false">IF(B141=0,"нет кол-ва",IF(ISNUMBER(K104),K104,""))</f>
        <v>нет кол-ва</v>
      </c>
      <c r="H141" s="137" t="str">
        <f aca="false">IF(ISNUMBER(G141),G141*B141,G141)</f>
        <v>нет кол-ва</v>
      </c>
      <c r="I141" s="95"/>
      <c r="J141" s="95"/>
      <c r="K141" s="95"/>
      <c r="L141" s="95"/>
      <c r="M141" s="95"/>
      <c r="N141" s="95"/>
      <c r="O141" s="95"/>
      <c r="P141" s="95"/>
      <c r="Q141" s="95"/>
      <c r="R141" s="95" t="n">
        <v>50580</v>
      </c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</row>
    <row r="142" customFormat="false" ht="14.9" hidden="false" customHeight="true" outlineLevel="0" collapsed="false">
      <c r="A142" s="95"/>
      <c r="B142" s="143"/>
      <c r="C142" s="95"/>
      <c r="D142" s="144"/>
      <c r="E142" s="145" t="s">
        <v>84</v>
      </c>
      <c r="F142" s="146" t="n">
        <f aca="false">SUM(F130:F141)</f>
        <v>0</v>
      </c>
      <c r="G142" s="147"/>
      <c r="H142" s="148" t="n">
        <f aca="false">SUM(H132:H141)</f>
        <v>0</v>
      </c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</row>
    <row r="143" customFormat="false" ht="14.9" hidden="false" customHeight="true" outlineLevel="0" collapsed="false">
      <c r="A143" s="95"/>
      <c r="B143" s="143"/>
      <c r="C143" s="95"/>
      <c r="D143" s="145" t="s">
        <v>107</v>
      </c>
      <c r="E143" s="149"/>
      <c r="F143" s="146" t="n">
        <f aca="false">F142*E143</f>
        <v>0</v>
      </c>
      <c r="G143" s="147"/>
      <c r="H143" s="148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</row>
    <row r="144" customFormat="false" ht="19.65" hidden="false" customHeight="true" outlineLevel="0" collapsed="false">
      <c r="A144" s="95"/>
      <c r="B144" s="143"/>
      <c r="C144" s="95"/>
      <c r="D144" s="144"/>
      <c r="E144" s="145" t="s">
        <v>108</v>
      </c>
      <c r="F144" s="146" t="n">
        <f aca="false">F142-F143</f>
        <v>0</v>
      </c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</row>
    <row r="145" customFormat="false" ht="19.65" hidden="false" customHeight="true" outlineLevel="0" collapsed="false">
      <c r="A145" s="95"/>
      <c r="B145" s="143"/>
      <c r="C145" s="95"/>
      <c r="D145" s="95"/>
      <c r="E145" s="95"/>
      <c r="F145" s="150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</row>
    <row r="146" customFormat="false" ht="18.1" hidden="false" customHeight="true" outlineLevel="0" collapsed="false">
      <c r="A146" s="0"/>
      <c r="B146" s="12" t="s">
        <v>5</v>
      </c>
      <c r="C146" s="12"/>
      <c r="D146" s="12"/>
      <c r="E146" s="12"/>
      <c r="F146" s="12"/>
      <c r="G146" s="12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</row>
    <row r="147" customFormat="false" ht="18.1" hidden="false" customHeight="true" outlineLevel="0" collapsed="false">
      <c r="A147" s="112" t="s">
        <v>91</v>
      </c>
      <c r="B147" s="113" t="s">
        <v>92</v>
      </c>
      <c r="C147" s="113"/>
      <c r="D147" s="114" t="s">
        <v>93</v>
      </c>
      <c r="E147" s="114"/>
      <c r="F147" s="114" t="s">
        <v>94</v>
      </c>
      <c r="G147" s="114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  <c r="AA147" s="151"/>
      <c r="AB147" s="151"/>
      <c r="AC147" s="151"/>
      <c r="AD147" s="151"/>
      <c r="AE147" s="151"/>
      <c r="AF147" s="15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  <c r="AU147" s="151"/>
      <c r="AV147" s="151"/>
      <c r="AW147" s="151"/>
      <c r="AX147" s="151"/>
      <c r="AY147" s="151"/>
      <c r="AZ147" s="151"/>
      <c r="BA147" s="151"/>
      <c r="BB147" s="151"/>
      <c r="BC147" s="151"/>
      <c r="BD147" s="151"/>
      <c r="BE147" s="151"/>
      <c r="BF147" s="151"/>
      <c r="BG147" s="151"/>
      <c r="BH147" s="151"/>
      <c r="BI147" s="151"/>
      <c r="BJ147" s="151"/>
      <c r="BK147" s="151"/>
      <c r="BL147" s="151"/>
    </row>
    <row r="148" customFormat="false" ht="16.85" hidden="false" customHeight="true" outlineLevel="0" collapsed="false">
      <c r="A148" s="152" t="s">
        <v>109</v>
      </c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</row>
    <row r="149" customFormat="false" ht="10.55" hidden="false" customHeight="true" outlineLevel="0" collapsed="false">
      <c r="A149" s="152" t="s">
        <v>110</v>
      </c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</row>
    <row r="150" customFormat="false" ht="10.55" hidden="true" customHeight="true" outlineLevel="0" collapsed="false">
      <c r="A150" s="154" t="s">
        <v>20</v>
      </c>
      <c r="B150" s="155" t="n">
        <f aca="false">IF(B148="",0,IF(B149="Тандем",2,1))</f>
        <v>0</v>
      </c>
      <c r="C150" s="155" t="n">
        <f aca="false">IF(C148="",0,IF(C149="Тандем",2,1))</f>
        <v>0</v>
      </c>
      <c r="D150" s="155" t="n">
        <f aca="false">IF(D148="",0,IF(D149="Тандем",2,1))</f>
        <v>0</v>
      </c>
      <c r="E150" s="155" t="n">
        <f aca="false">IF(E148="",0,IF(E149="Тандем",2,1))</f>
        <v>0</v>
      </c>
      <c r="F150" s="155" t="n">
        <f aca="false">IF(F148="",0,IF(F149="Тандем",2,1))</f>
        <v>0</v>
      </c>
      <c r="G150" s="155" t="n">
        <f aca="false">IF(G148="",0,IF(G149="Тандем",2,1))</f>
        <v>0</v>
      </c>
      <c r="H150" s="155" t="n">
        <f aca="false">IF(H148="",0,IF(H149="Тандем",2,1))</f>
        <v>0</v>
      </c>
      <c r="I150" s="155" t="n">
        <f aca="false">IF(I148="",0,IF(I149="Тандем",2,1))</f>
        <v>0</v>
      </c>
      <c r="J150" s="155" t="n">
        <f aca="false">IF(J148="",0,IF(J149="Тандем",2,1))</f>
        <v>0</v>
      </c>
      <c r="K150" s="155" t="n">
        <f aca="false">IF(K148="",0,IF(K149="Тандем",2,1))</f>
        <v>0</v>
      </c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</row>
    <row r="151" customFormat="false" ht="10.55" hidden="true" customHeight="true" outlineLevel="0" collapsed="false">
      <c r="A151" s="154" t="s">
        <v>19</v>
      </c>
      <c r="B151" s="156" t="e">
        <f aca="false">_xlfn.CEILING.MATH(VLOOKUP(B148,'данные по ЭК в долларах'!$A$58:$B$88,2,0),100,0)</f>
        <v>#N/A</v>
      </c>
      <c r="C151" s="156" t="e">
        <f aca="false">_xlfn.CEILING.MATH(VLOOKUP(C148,'данные по ЭК в долларах'!$A$58:$B$88,2,0),100,0)</f>
        <v>#N/A</v>
      </c>
      <c r="D151" s="156" t="e">
        <f aca="false">_xlfn.CEILING.MATH(VLOOKUP(D148,'данные по ЭК в долларах'!$A$58:$B$88,2,0),100,0)</f>
        <v>#N/A</v>
      </c>
      <c r="E151" s="156" t="e">
        <f aca="false">_xlfn.CEILING.MATH(VLOOKUP(E148,'данные по ЭК в долларах'!$A$58:$B$88,2,0),100,0)</f>
        <v>#N/A</v>
      </c>
      <c r="F151" s="156" t="e">
        <f aca="false">_xlfn.CEILING.MATH(VLOOKUP(F148,'данные по ЭК в долларах'!$A$58:$B$88,2,0),100,0)</f>
        <v>#N/A</v>
      </c>
      <c r="G151" s="156" t="e">
        <f aca="false">_xlfn.CEILING.MATH(VLOOKUP(G148,'данные по ЭК в долларах'!$A$58:$B$88,2,0),100,0)</f>
        <v>#N/A</v>
      </c>
      <c r="H151" s="156" t="e">
        <f aca="false">_xlfn.CEILING.MATH(VLOOKUP(H148,'данные по ЭК в долларах'!$A$58:$B$88,2,0),100,0)</f>
        <v>#N/A</v>
      </c>
      <c r="I151" s="156" t="e">
        <f aca="false">_xlfn.CEILING.MATH(VLOOKUP(I148,'данные по ЭК в долларах'!$A$58:$B$88,2,0),100,0)</f>
        <v>#N/A</v>
      </c>
      <c r="J151" s="156" t="e">
        <f aca="false">_xlfn.CEILING.MATH(VLOOKUP(J148,'данные по ЭК в долларах'!$A$58:$B$88,2,0),100,0)</f>
        <v>#N/A</v>
      </c>
      <c r="K151" s="156" t="e">
        <f aca="false">_xlfn.CEILING.MATH(VLOOKUP(K148,'данные по ЭК в долларах'!$A$58:$B$88,2,0),100,0)</f>
        <v>#N/A</v>
      </c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</row>
    <row r="152" customFormat="false" ht="16.85" hidden="false" customHeight="true" outlineLevel="0" collapsed="false">
      <c r="A152" s="152" t="s">
        <v>111</v>
      </c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</row>
    <row r="153" customFormat="false" ht="8.5" hidden="false" customHeight="true" outlineLevel="0" collapsed="false">
      <c r="A153" s="157" t="s">
        <v>112</v>
      </c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</row>
    <row r="154" customFormat="false" ht="8.5" hidden="true" customHeight="true" outlineLevel="0" collapsed="false">
      <c r="A154" s="159" t="s">
        <v>113</v>
      </c>
      <c r="B154" s="160" t="str">
        <f aca="false">"до "&amp;IF(B153-INT(B153)&lt;=0.13,INT(B153)+0.13,INT(B153)+1.13)</f>
        <v>до 0,13</v>
      </c>
      <c r="C154" s="160" t="str">
        <f aca="false">"до "&amp;IF(C153-INT(C153)&lt;=0.13,INT(C153)+0.13,INT(C153)+1.13)</f>
        <v>до 0,13</v>
      </c>
      <c r="D154" s="160" t="str">
        <f aca="false">"до "&amp;IF(D153-INT(D153)&lt;=0.13,INT(D153)+0.13,INT(D153)+1.13)</f>
        <v>до 0,13</v>
      </c>
      <c r="E154" s="160" t="str">
        <f aca="false">"до "&amp;IF(E153-INT(E153)&lt;=0.13,INT(E153)+0.13,INT(E153)+1.13)</f>
        <v>до 0,13</v>
      </c>
      <c r="F154" s="160" t="str">
        <f aca="false">"до "&amp;IF(F153-INT(F153)&lt;=0.13,INT(F153)+0.13,INT(F153)+1.13)</f>
        <v>до 0,13</v>
      </c>
      <c r="G154" s="160" t="str">
        <f aca="false">"до "&amp;IF(G153-INT(G153)&lt;=0.13,INT(G153)+0.13,INT(G153)+1.13)</f>
        <v>до 0,13</v>
      </c>
      <c r="H154" s="160" t="str">
        <f aca="false">"до "&amp;IF(H153-INT(H153)&lt;=0.13,INT(H153)+0.13,INT(H153)+1.13)</f>
        <v>до 0,13</v>
      </c>
      <c r="I154" s="160" t="str">
        <f aca="false">"до "&amp;IF(I153-INT(I153)&lt;=0.13,INT(I153)+0.13,INT(I153)+1.13)</f>
        <v>до 0,13</v>
      </c>
      <c r="J154" s="160" t="str">
        <f aca="false">"до "&amp;IF(J153-INT(J153)&lt;=0.13,INT(J153)+0.13,INT(J153)+1.13)</f>
        <v>до 0,13</v>
      </c>
      <c r="K154" s="160" t="str">
        <f aca="false">"до "&amp;IF(K153-INT(K153)&lt;=0.13,INT(K153)+0.13,INT(K153)+1.13)</f>
        <v>до 0,13</v>
      </c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</row>
    <row r="155" customFormat="false" ht="8.5" hidden="false" customHeight="true" outlineLevel="0" collapsed="false">
      <c r="A155" s="86" t="s">
        <v>114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</row>
    <row r="156" customFormat="false" ht="8.5" hidden="false" customHeight="true" outlineLevel="0" collapsed="false">
      <c r="A156" s="86" t="s">
        <v>115</v>
      </c>
      <c r="B156" s="161"/>
      <c r="C156" s="162"/>
      <c r="D156" s="162"/>
      <c r="E156" s="162"/>
      <c r="F156" s="162"/>
      <c r="G156" s="162"/>
      <c r="H156" s="162"/>
      <c r="I156" s="162"/>
      <c r="J156" s="162"/>
      <c r="K156" s="161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</row>
    <row r="157" customFormat="false" ht="8.5" hidden="false" customHeight="true" outlineLevel="0" collapsed="false">
      <c r="A157" s="86" t="s">
        <v>116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</row>
    <row r="158" customFormat="false" ht="8.5" hidden="true" customHeight="true" outlineLevel="0" collapsed="false">
      <c r="A158" s="159"/>
      <c r="B158" s="164"/>
      <c r="C158" s="165"/>
      <c r="D158" s="165"/>
      <c r="E158" s="165"/>
      <c r="F158" s="165"/>
      <c r="G158" s="165"/>
      <c r="H158" s="165"/>
      <c r="I158" s="165"/>
      <c r="J158" s="165"/>
      <c r="K158" s="165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</row>
    <row r="159" customFormat="false" ht="8.5" hidden="true" customHeight="true" outlineLevel="0" collapsed="false">
      <c r="A159" s="166" t="s">
        <v>117</v>
      </c>
      <c r="B159" s="167" t="e">
        <f aca="false">VLOOKUP(B152,'данные по ЭК в долларах'!$A$103:$Q$132,17,0)</f>
        <v>#N/A</v>
      </c>
      <c r="C159" s="167" t="e">
        <f aca="false">VLOOKUP(C152,'данные по ЭК в долларах'!$A$103:$Q$132,17,0)</f>
        <v>#N/A</v>
      </c>
      <c r="D159" s="167" t="e">
        <f aca="false">VLOOKUP(D152,'данные по ЭК в долларах'!$A$103:$Q$132,17,0)</f>
        <v>#N/A</v>
      </c>
      <c r="E159" s="167" t="e">
        <f aca="false">VLOOKUP(E152,'данные по ЭК в долларах'!$A$103:$Q$132,17,0)</f>
        <v>#N/A</v>
      </c>
      <c r="F159" s="167" t="e">
        <f aca="false">VLOOKUP(F152,'данные по ЭК в долларах'!$A$103:$Q$132,17,0)</f>
        <v>#N/A</v>
      </c>
      <c r="G159" s="167" t="e">
        <f aca="false">VLOOKUP(G152,'данные по ЭК в долларах'!$A$103:$Q$132,17,0)</f>
        <v>#N/A</v>
      </c>
      <c r="H159" s="167" t="e">
        <f aca="false">VLOOKUP(H152,'данные по ЭК в долларах'!$A$103:$Q$132,17,0)</f>
        <v>#N/A</v>
      </c>
      <c r="I159" s="167" t="e">
        <f aca="false">VLOOKUP(I152,'данные по ЭК в долларах'!$A$103:$Q$132,17,0)</f>
        <v>#N/A</v>
      </c>
      <c r="J159" s="167" t="e">
        <f aca="false">VLOOKUP(J152,'данные по ЭК в долларах'!$A$103:$Q$132,17,0)</f>
        <v>#N/A</v>
      </c>
      <c r="K159" s="167" t="e">
        <f aca="false">VLOOKUP(K152,'данные по ЭК в долларах'!$A$103:$Q$132,17,0)</f>
        <v>#N/A</v>
      </c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  <c r="AD159" s="168"/>
      <c r="AE159" s="168"/>
      <c r="AF159" s="168"/>
      <c r="AG159" s="168"/>
      <c r="AH159" s="168"/>
      <c r="AI159" s="168"/>
      <c r="AJ159" s="168"/>
      <c r="AK159" s="168"/>
      <c r="AL159" s="168"/>
      <c r="AM159" s="168"/>
      <c r="AN159" s="168"/>
      <c r="AO159" s="168"/>
      <c r="AP159" s="168"/>
      <c r="AQ159" s="168"/>
      <c r="AR159" s="168"/>
      <c r="AS159" s="168"/>
      <c r="AT159" s="168"/>
      <c r="AU159" s="168"/>
      <c r="AV159" s="168"/>
      <c r="AW159" s="168"/>
      <c r="AX159" s="168"/>
      <c r="AY159" s="168"/>
      <c r="AZ159" s="168"/>
      <c r="BA159" s="168"/>
      <c r="BB159" s="168"/>
      <c r="BC159" s="168"/>
      <c r="BD159" s="168"/>
      <c r="BE159" s="168"/>
      <c r="BF159" s="168"/>
      <c r="BG159" s="168"/>
      <c r="BH159" s="168"/>
      <c r="BI159" s="168"/>
      <c r="BJ159" s="168"/>
      <c r="BK159" s="168"/>
      <c r="BL159" s="168"/>
    </row>
    <row r="160" customFormat="false" ht="8.5" hidden="true" customHeight="true" outlineLevel="0" collapsed="false">
      <c r="A160" s="169" t="s">
        <v>118</v>
      </c>
      <c r="B160" s="170" t="e">
        <f aca="false">VLOOKUP(B152,'данные по ЭК в долларах'!$A$103:$C$131,3,0)</f>
        <v>#N/A</v>
      </c>
      <c r="C160" s="170" t="e">
        <f aca="false">VLOOKUP(C152,'данные по ЭК в долларах'!$A$103:$C$131,3,0)</f>
        <v>#N/A</v>
      </c>
      <c r="D160" s="170" t="e">
        <f aca="false">VLOOKUP(D152,'данные по ЭК в долларах'!$A$103:$C$131,3,0)</f>
        <v>#N/A</v>
      </c>
      <c r="E160" s="170" t="e">
        <f aca="false">VLOOKUP(E152,'данные по ЭК в долларах'!$A$103:$C$131,3,0)</f>
        <v>#N/A</v>
      </c>
      <c r="F160" s="170" t="e">
        <f aca="false">VLOOKUP(F152,'данные по ЭК в долларах'!$A$103:$C$131,3,0)</f>
        <v>#N/A</v>
      </c>
      <c r="G160" s="170" t="e">
        <f aca="false">VLOOKUP(G152,'данные по ЭК в долларах'!$A$103:$C$131,3,0)</f>
        <v>#N/A</v>
      </c>
      <c r="H160" s="170" t="e">
        <f aca="false">VLOOKUP(H152,'данные по ЭК в долларах'!$A$103:$C$131,3,0)</f>
        <v>#N/A</v>
      </c>
      <c r="I160" s="170" t="e">
        <f aca="false">VLOOKUP(I152,'данные по ЭК в долларах'!$A$103:$C$131,3,0)</f>
        <v>#N/A</v>
      </c>
      <c r="J160" s="170" t="e">
        <f aca="false">VLOOKUP(J152,'данные по ЭК в долларах'!$A$103:$C$131,3,0)</f>
        <v>#N/A</v>
      </c>
      <c r="K160" s="170" t="e">
        <f aca="false">VLOOKUP(K152,'данные по ЭК в долларах'!$A$103:$C$131,3,0)</f>
        <v>#N/A</v>
      </c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</row>
    <row r="161" customFormat="false" ht="10.55" hidden="false" customHeight="true" outlineLevel="0" collapsed="false">
      <c r="A161" s="154" t="s">
        <v>21</v>
      </c>
      <c r="B161" s="156" t="e">
        <f aca="false">B150*B151</f>
        <v>#N/A</v>
      </c>
      <c r="C161" s="156" t="e">
        <f aca="false">C150*C151</f>
        <v>#N/A</v>
      </c>
      <c r="D161" s="156" t="e">
        <f aca="false">D150*D151</f>
        <v>#N/A</v>
      </c>
      <c r="E161" s="156" t="e">
        <f aca="false">E150*E151</f>
        <v>#N/A</v>
      </c>
      <c r="F161" s="156" t="e">
        <f aca="false">F150*F151</f>
        <v>#N/A</v>
      </c>
      <c r="G161" s="156" t="e">
        <f aca="false">G150*G151</f>
        <v>#N/A</v>
      </c>
      <c r="H161" s="156" t="e">
        <f aca="false">H150*H151</f>
        <v>#N/A</v>
      </c>
      <c r="I161" s="156" t="e">
        <f aca="false">I150*I151</f>
        <v>#N/A</v>
      </c>
      <c r="J161" s="156" t="e">
        <f aca="false">J150*J151</f>
        <v>#N/A</v>
      </c>
      <c r="K161" s="156" t="e">
        <f aca="false">K150*K151</f>
        <v>#N/A</v>
      </c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</row>
    <row r="162" customFormat="false" ht="8.5" hidden="false" customHeight="true" outlineLevel="0" collapsed="false">
      <c r="A162" s="171" t="s">
        <v>119</v>
      </c>
      <c r="B162" s="165" t="e">
        <f aca="false">IF(HLOOKUP(B154,'данные по ЭК в долларах'!$C$100:$O$130,B160,0)="-","не существует",_xlfn.CEILING.MATH(B157+HLOOKUP(B154,'данные по ЭК в долларах'!$C$100:$O$130,B160,0),100,0))</f>
        <v>#N/A</v>
      </c>
      <c r="C162" s="165" t="e">
        <f aca="false">IF(HLOOKUP(C154,'данные по ЭК в долларах'!$C$100:$O$130,C160,0)="-","не существует",_xlfn.CEILING.MATH(C157+HLOOKUP(C154,'данные по ЭК в долларах'!$C$100:$O$130,C160,0),100,0))</f>
        <v>#N/A</v>
      </c>
      <c r="D162" s="165" t="e">
        <f aca="false">IF(HLOOKUP(D154,'данные по ЭК в долларах'!$C$100:$O$130,D160,0)="-","не существует",_xlfn.CEILING.MATH(D157+HLOOKUP(D154,'данные по ЭК в долларах'!$C$100:$O$130,D160,0),100,0))</f>
        <v>#N/A</v>
      </c>
      <c r="E162" s="165" t="e">
        <f aca="false">IF(HLOOKUP(E154,'данные по ЭК в долларах'!$C$100:$O$130,E160,0)="-","не существует",_xlfn.CEILING.MATH(E157+HLOOKUP(E154,'данные по ЭК в долларах'!$C$100:$O$130,E160,0),100,0))</f>
        <v>#N/A</v>
      </c>
      <c r="F162" s="165" t="e">
        <f aca="false">IF(HLOOKUP(F154,'данные по ЭК в долларах'!$C$100:$O$130,F160,0)="-","не существует",_xlfn.CEILING.MATH(F157+HLOOKUP(F154,'данные по ЭК в долларах'!$C$100:$O$130,F160,0),100,0))</f>
        <v>#N/A</v>
      </c>
      <c r="G162" s="165" t="e">
        <f aca="false">IF(HLOOKUP(G154,'данные по ЭК в долларах'!$C$100:$O$130,G160,0)="-","не существует",_xlfn.CEILING.MATH(G157+HLOOKUP(G154,'данные по ЭК в долларах'!$C$100:$O$130,G160,0),100,0))</f>
        <v>#N/A</v>
      </c>
      <c r="H162" s="165" t="e">
        <f aca="false">IF(HLOOKUP(H154,'данные по ЭК в долларах'!$C$100:$O$130,H160,0)="-","не существует",_xlfn.CEILING.MATH(H157+HLOOKUP(H154,'данные по ЭК в долларах'!$C$100:$O$130,H160,0),100,0))</f>
        <v>#N/A</v>
      </c>
      <c r="I162" s="165" t="e">
        <f aca="false">IF(HLOOKUP(I154,'данные по ЭК в долларах'!$C$100:$O$130,I160,0)="-","не существует",_xlfn.CEILING.MATH(I157+HLOOKUP(I154,'данные по ЭК в долларах'!$C$100:$O$130,I160,0),100,0))</f>
        <v>#N/A</v>
      </c>
      <c r="J162" s="165" t="e">
        <f aca="false">IF(HLOOKUP(J154,'данные по ЭК в долларах'!$C$100:$O$130,J160,0)="-","не существует",_xlfn.CEILING.MATH(J157+HLOOKUP(J154,'данные по ЭК в долларах'!$C$100:$O$130,J160,0),100,0))</f>
        <v>#N/A</v>
      </c>
      <c r="K162" s="165" t="e">
        <f aca="false">IF(HLOOKUP(K154,'данные по ЭК в долларах'!$C$100:$O$130,K160,0)="-","не существует",_xlfn.CEILING.MATH(K157+HLOOKUP(K154,'данные по ЭК в долларах'!$C$100:$O$130,K160,0),100,0))</f>
        <v>#N/A</v>
      </c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</row>
    <row r="163" customFormat="false" ht="8.5" hidden="false" customHeight="true" outlineLevel="0" collapsed="false">
      <c r="A163" s="171" t="s">
        <v>120</v>
      </c>
      <c r="B163" s="172" t="e">
        <f aca="false">_xlfn.CEILING.MATH(B162+B161,100,0)</f>
        <v>#N/A</v>
      </c>
      <c r="C163" s="172" t="e">
        <f aca="false">_xlfn.CEILING.MATH(C162+C161,100,0)</f>
        <v>#N/A</v>
      </c>
      <c r="D163" s="172" t="e">
        <f aca="false">_xlfn.CEILING.MATH(D162+D161,100,0)</f>
        <v>#N/A</v>
      </c>
      <c r="E163" s="172" t="e">
        <f aca="false">_xlfn.CEILING.MATH(E162+E161,100,0)</f>
        <v>#N/A</v>
      </c>
      <c r="F163" s="172" t="e">
        <f aca="false">_xlfn.CEILING.MATH(F162+F161,100,0)</f>
        <v>#N/A</v>
      </c>
      <c r="G163" s="172" t="e">
        <f aca="false">_xlfn.CEILING.MATH(G162+G161,100,0)</f>
        <v>#N/A</v>
      </c>
      <c r="H163" s="172" t="e">
        <f aca="false">_xlfn.CEILING.MATH(H162+H161,100,0)</f>
        <v>#N/A</v>
      </c>
      <c r="I163" s="172" t="e">
        <f aca="false">_xlfn.CEILING.MATH(I162+I161,100,0)</f>
        <v>#N/A</v>
      </c>
      <c r="J163" s="172" t="e">
        <f aca="false">_xlfn.CEILING.MATH(J162+J161,100,0)</f>
        <v>#N/A</v>
      </c>
      <c r="K163" s="172" t="e">
        <f aca="false">_xlfn.CEILING.MATH(K162+K161,100,0)</f>
        <v>#N/A</v>
      </c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</row>
    <row r="164" customFormat="false" ht="8.5" hidden="false" customHeight="true" outlineLevel="0" collapsed="false">
      <c r="A164" s="173" t="s">
        <v>82</v>
      </c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</row>
    <row r="165" customFormat="false" ht="8.5" hidden="true" customHeight="true" outlineLevel="0" collapsed="false">
      <c r="A165" s="174" t="s">
        <v>121</v>
      </c>
      <c r="B165" s="97" t="str">
        <f aca="false">IF(B164=0,"",IF(B164="свыше 4 м",2,1))</f>
        <v/>
      </c>
      <c r="C165" s="97" t="str">
        <f aca="false">IF(C164=0,"",IF(C164="свыше 4 м",2,1))</f>
        <v/>
      </c>
      <c r="D165" s="97" t="str">
        <f aca="false">IF(D164=0,"",IF(D164="свыше 4 м",2,1))</f>
        <v/>
      </c>
      <c r="E165" s="97" t="str">
        <f aca="false">IF(E164=0,"",IF(E164="свыше 4 м",2,1))</f>
        <v/>
      </c>
      <c r="F165" s="97" t="str">
        <f aca="false">IF(F164=0,"",IF(F164="свыше 4 м",2,1))</f>
        <v/>
      </c>
      <c r="G165" s="97" t="str">
        <f aca="false">IF(G164=0,"",IF(G164="свыше 4 м",2,1))</f>
        <v/>
      </c>
      <c r="H165" s="97" t="str">
        <f aca="false">IF(H164=0,"",IF(H164="свыше 4 м",2,1))</f>
        <v/>
      </c>
      <c r="I165" s="97" t="str">
        <f aca="false">IF(I164=0,"",IF(I164="свыше 4 м",2,1))</f>
        <v/>
      </c>
      <c r="J165" s="97" t="str">
        <f aca="false">IF(J164=0,"",IF(J164="свыше 4 м",2,1))</f>
        <v/>
      </c>
      <c r="K165" s="97" t="str">
        <f aca="false">IF(K164=0,"",IF(K164="свыше 4 м",2,1))</f>
        <v/>
      </c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</row>
    <row r="166" customFormat="false" ht="8.5" hidden="true" customHeight="true" outlineLevel="0" collapsed="false">
      <c r="A166" s="175" t="s">
        <v>122</v>
      </c>
      <c r="B166" s="176" t="str">
        <f aca="false">IF(B153=0,"",IF(B153&lt;=3,3,IF(B153=INT(B153),B153,ROUNDUP(B153,0))))</f>
        <v/>
      </c>
      <c r="C166" s="176" t="str">
        <f aca="false">IF(C153=0,"",IF(C153&lt;=3,3,IF(C153=INT(C153),C153,ROUNDUP(C153,0))))</f>
        <v/>
      </c>
      <c r="D166" s="176" t="str">
        <f aca="false">IF(D153=0,"",IF(D153&lt;=3,3,IF(D153=INT(D153),D153,ROUNDUP(D153,0))))</f>
        <v/>
      </c>
      <c r="E166" s="176" t="str">
        <f aca="false">IF(E153=0,"",IF(E153&lt;=3,3,IF(E153=INT(E153),E153,ROUNDUP(E153,0))))</f>
        <v/>
      </c>
      <c r="F166" s="176" t="str">
        <f aca="false">IF(F153=0,"",IF(F153&lt;=3,3,IF(F153=INT(F153),F153,ROUNDUP(F153,0))))</f>
        <v/>
      </c>
      <c r="G166" s="176" t="str">
        <f aca="false">IF(G153=0,"",IF(G153&lt;=3,3,IF(G153=INT(G153),G153,ROUNDUP(G153,0))))</f>
        <v/>
      </c>
      <c r="H166" s="176" t="str">
        <f aca="false">IF(H153=0,"",IF(H153&lt;=3,3,IF(H153=INT(H153),H153,ROUNDUP(H153,0))))</f>
        <v/>
      </c>
      <c r="I166" s="176" t="str">
        <f aca="false">IF(I153=0,"",IF(I153&lt;=3,3,IF(I153=INT(I153),I153,ROUNDUP(I153,0))))</f>
        <v/>
      </c>
      <c r="J166" s="176" t="str">
        <f aca="false">IF(J153=0,"",IF(J153&lt;=3,3,IF(J153=INT(J153),J153,ROUNDUP(J153,0))))</f>
        <v/>
      </c>
      <c r="K166" s="176" t="str">
        <f aca="false">IF(K153=0,"",IF(K153&lt;=3,3,IF(K153=INT(K153),K153,ROUNDUP(K153,0))))</f>
        <v/>
      </c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</row>
    <row r="167" customFormat="false" ht="8.5" hidden="true" customHeight="true" outlineLevel="0" collapsed="false">
      <c r="A167" s="175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</row>
    <row r="168" customFormat="false" ht="8.5" hidden="true" customHeight="true" outlineLevel="0" collapsed="false">
      <c r="A168" s="177" t="s">
        <v>123</v>
      </c>
      <c r="B168" s="176" t="e">
        <f aca="false">IF(B165=1,VLOOKUP(B152,'данные по ЭК в долларах'!$A$100:$U$135,18,0),VLOOKUP(B152,'данные по ЭК в долларах'!$A$100:$U$135,20,0))</f>
        <v>#N/A</v>
      </c>
      <c r="C168" s="176" t="e">
        <f aca="false">IF(C165=1,VLOOKUP(C152,'данные по ЭК в долларах'!$A$100:$U$135,18,0),VLOOKUP(C152,'данные по ЭК в долларах'!$A$100:$U$135,20,0))</f>
        <v>#N/A</v>
      </c>
      <c r="D168" s="176" t="e">
        <f aca="false">IF(D165=1,VLOOKUP(D152,'данные по ЭК в долларах'!$A$100:$U$135,18,0),VLOOKUP(D152,'данные по ЭК в долларах'!$A$100:$U$135,20,0))</f>
        <v>#N/A</v>
      </c>
      <c r="E168" s="176" t="e">
        <f aca="false">IF(E165=1,VLOOKUP(E152,'данные по ЭК в долларах'!$A$100:$U$135,18,0),VLOOKUP(E152,'данные по ЭК в долларах'!$A$100:$U$135,20,0))</f>
        <v>#N/A</v>
      </c>
      <c r="F168" s="176" t="e">
        <f aca="false">IF(F165=1,VLOOKUP(F152,'данные по ЭК в долларах'!$A$100:$U$135,18,0),VLOOKUP(F152,'данные по ЭК в долларах'!$A$100:$U$135,20,0))</f>
        <v>#N/A</v>
      </c>
      <c r="G168" s="176" t="e">
        <f aca="false">IF(G165=1,VLOOKUP(G152,'данные по ЭК в долларах'!$A$100:$U$135,18,0),VLOOKUP(G152,'данные по ЭК в долларах'!$A$100:$U$135,20,0))</f>
        <v>#N/A</v>
      </c>
      <c r="H168" s="176" t="e">
        <f aca="false">IF(H165=1,VLOOKUP(H152,'данные по ЭК в долларах'!$A$100:$U$135,18,0),VLOOKUP(H152,'данные по ЭК в долларах'!$A$100:$U$135,20,0))</f>
        <v>#N/A</v>
      </c>
      <c r="I168" s="176" t="e">
        <f aca="false">IF(I165=1,VLOOKUP(I152,'данные по ЭК в долларах'!$A$100:$U$135,18,0),VLOOKUP(I152,'данные по ЭК в долларах'!$A$100:$U$135,20,0))</f>
        <v>#N/A</v>
      </c>
      <c r="J168" s="176" t="e">
        <f aca="false">IF(J165=1,VLOOKUP(J152,'данные по ЭК в долларах'!$A$100:$U$135,18,0),VLOOKUP(J152,'данные по ЭК в долларах'!$A$100:$U$135,20,0))</f>
        <v>#N/A</v>
      </c>
      <c r="K168" s="176" t="e">
        <f aca="false">IF(K165=1,VLOOKUP(K152,'данные по ЭК в долларах'!$A$100:$U$135,18,0),VLOOKUP(K152,'данные по ЭК в долларах'!$A$100:$U$135,20,0))</f>
        <v>#N/A</v>
      </c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</row>
    <row r="169" customFormat="false" ht="8.5" hidden="true" customHeight="true" outlineLevel="0" collapsed="false">
      <c r="A169" s="177" t="s">
        <v>124</v>
      </c>
      <c r="B169" s="176" t="e">
        <f aca="false">IF(B165=1,VLOOKUP(B152,'данные по ЭК в долларах'!$A$103:$U$139,19,0),VLOOKUP(B152,'данные по ЭК в долларах'!$A$103:$U$139,21,0))</f>
        <v>#N/A</v>
      </c>
      <c r="C169" s="176" t="e">
        <f aca="false">IF(C165=1,VLOOKUP(C152,'данные по ЭК в долларах'!$A$103:$U$139,19,0),VLOOKUP(C152,'данные по ЭК в долларах'!$A$103:$U$139,21,0))</f>
        <v>#N/A</v>
      </c>
      <c r="D169" s="176" t="e">
        <f aca="false">IF(D165=1,VLOOKUP(D152,'данные по ЭК в долларах'!$A$103:$U$139,19,0),VLOOKUP(D152,'данные по ЭК в долларах'!$A$103:$U$139,21,0))</f>
        <v>#N/A</v>
      </c>
      <c r="E169" s="176" t="e">
        <f aca="false">IF(E165=1,VLOOKUP(E152,'данные по ЭК в долларах'!$A$103:$U$139,19,0),VLOOKUP(E152,'данные по ЭК в долларах'!$A$103:$U$139,21,0))</f>
        <v>#N/A</v>
      </c>
      <c r="F169" s="176" t="e">
        <f aca="false">IF(F165=1,VLOOKUP(F152,'данные по ЭК в долларах'!$A$103:$U$139,19,0),VLOOKUP(F152,'данные по ЭК в долларах'!$A$103:$U$139,21,0))</f>
        <v>#N/A</v>
      </c>
      <c r="G169" s="176" t="e">
        <f aca="false">IF(G165=1,VLOOKUP(G152,'данные по ЭК в долларах'!$A$103:$U$139,19,0),VLOOKUP(G152,'данные по ЭК в долларах'!$A$103:$U$139,21,0))</f>
        <v>#N/A</v>
      </c>
      <c r="H169" s="176" t="e">
        <f aca="false">IF(H165=1,VLOOKUP(H152,'данные по ЭК в долларах'!$A$103:$U$139,19,0),VLOOKUP(H152,'данные по ЭК в долларах'!$A$103:$U$139,21,0))</f>
        <v>#N/A</v>
      </c>
      <c r="I169" s="176" t="e">
        <f aca="false">IF(I165=1,VLOOKUP(I152,'данные по ЭК в долларах'!$A$103:$U$139,19,0),VLOOKUP(I152,'данные по ЭК в долларах'!$A$103:$U$139,21,0))</f>
        <v>#N/A</v>
      </c>
      <c r="J169" s="176" t="e">
        <f aca="false">IF(J165=1,VLOOKUP(J152,'данные по ЭК в долларах'!$A$103:$U$139,19,0),VLOOKUP(J152,'данные по ЭК в долларах'!$A$103:$U$139,21,0))</f>
        <v>#N/A</v>
      </c>
      <c r="K169" s="176" t="e">
        <f aca="false">IF(K165=1,VLOOKUP(K152,'данные по ЭК в долларах'!$A$103:$U$139,19,0),VLOOKUP(K152,'данные по ЭК в долларах'!$A$103:$U$139,21,0))</f>
        <v>#N/A</v>
      </c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</row>
    <row r="170" customFormat="false" ht="8.5" hidden="true" customHeight="true" outlineLevel="0" collapsed="false">
      <c r="A170" s="177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</row>
    <row r="171" customFormat="false" ht="8.5" hidden="false" customHeight="true" outlineLevel="0" collapsed="false">
      <c r="A171" s="171" t="s">
        <v>125</v>
      </c>
      <c r="B171" s="178" t="str">
        <f aca="false">IF(B164="","",B168+((B166-3)*B169))</f>
        <v/>
      </c>
      <c r="C171" s="178" t="str">
        <f aca="false">IF(C164="","",C168+((C166-3)*C169))</f>
        <v/>
      </c>
      <c r="D171" s="178" t="str">
        <f aca="false">IF(D164="","",D168+((D166-3)*D169))</f>
        <v/>
      </c>
      <c r="E171" s="178" t="str">
        <f aca="false">IF(E164="","",E168+((E166-3)*E169))</f>
        <v/>
      </c>
      <c r="F171" s="178" t="str">
        <f aca="false">IF(F164="","",F168+((F166-3)*F169))</f>
        <v/>
      </c>
      <c r="G171" s="178" t="str">
        <f aca="false">IF(G164="","",G168+((G166-3)*G169))</f>
        <v/>
      </c>
      <c r="H171" s="178" t="str">
        <f aca="false">IF(H164="","",H168+((H166-3)*H169))</f>
        <v/>
      </c>
      <c r="I171" s="178" t="str">
        <f aca="false">IF(I164="","",I168+((I166-3)*I169))</f>
        <v/>
      </c>
      <c r="J171" s="178" t="str">
        <f aca="false">IF(J164="","",J168+((J166-3)*J169))</f>
        <v/>
      </c>
      <c r="K171" s="178" t="str">
        <f aca="false">IF(K164="","",K168+((K166-3)*K169))</f>
        <v/>
      </c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</row>
    <row r="172" customFormat="false" ht="10.9" hidden="false" customHeight="true" outlineLevel="0" collapsed="false">
      <c r="A172" s="116" t="s">
        <v>95</v>
      </c>
      <c r="B172" s="179"/>
      <c r="C172" s="179"/>
      <c r="D172" s="179"/>
      <c r="E172" s="179"/>
      <c r="F172" s="165"/>
      <c r="G172" s="165"/>
      <c r="H172" s="165"/>
      <c r="I172" s="165"/>
      <c r="J172" s="165"/>
      <c r="K172" s="165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</row>
    <row r="173" customFormat="false" ht="11.55" hidden="false" customHeight="true" outlineLevel="0" collapsed="false">
      <c r="A173" s="95"/>
      <c r="B173" s="180" t="e">
        <f aca="false">VLOOKUP(B172,'_Данные по электрокарнизам'!$A$36:$K$38,11,0)</f>
        <v>#N/A</v>
      </c>
      <c r="C173" s="180"/>
      <c r="D173" s="181" t="e">
        <f aca="false">VLOOKUP(D172,'_Данные по электрокарнизам'!$A$36:$K$38,11,0)</f>
        <v>#N/A</v>
      </c>
      <c r="E173" s="181"/>
      <c r="F173" s="165"/>
      <c r="G173" s="165"/>
      <c r="H173" s="165"/>
      <c r="I173" s="165"/>
      <c r="J173" s="165"/>
      <c r="K173" s="165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</row>
    <row r="174" customFormat="false" ht="12.8" hidden="true" customHeight="false" outlineLevel="0" collapsed="false">
      <c r="A174" s="95"/>
      <c r="B174" s="143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</row>
    <row r="175" customFormat="false" ht="12.8" hidden="true" customHeight="false" outlineLevel="0" collapsed="false">
      <c r="A175" s="95"/>
      <c r="B175" s="182" t="e">
        <f aca="false">B159&amp;" "</f>
        <v>#N/A</v>
      </c>
      <c r="C175" s="182" t="e">
        <f aca="false">C159&amp;" "</f>
        <v>#N/A</v>
      </c>
      <c r="D175" s="182" t="e">
        <f aca="false">D159&amp;" "</f>
        <v>#N/A</v>
      </c>
      <c r="E175" s="182" t="e">
        <f aca="false">E159&amp;" "</f>
        <v>#N/A</v>
      </c>
      <c r="F175" s="182" t="e">
        <f aca="false">F159&amp;" "</f>
        <v>#N/A</v>
      </c>
      <c r="G175" s="182" t="e">
        <f aca="false">G159&amp;" "</f>
        <v>#N/A</v>
      </c>
      <c r="H175" s="182" t="e">
        <f aca="false">H159&amp;" "</f>
        <v>#N/A</v>
      </c>
      <c r="I175" s="182" t="e">
        <f aca="false">I159&amp;" "</f>
        <v>#N/A</v>
      </c>
      <c r="J175" s="182" t="e">
        <f aca="false">J159&amp;" "</f>
        <v>#N/A</v>
      </c>
      <c r="K175" s="182" t="e">
        <f aca="false">K159&amp;" "</f>
        <v>#N/A</v>
      </c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</row>
    <row r="176" customFormat="false" ht="12.8" hidden="true" customHeight="false" outlineLevel="0" collapsed="false">
      <c r="A176" s="95"/>
      <c r="B176" s="182" t="str">
        <f aca="false">IF(B153="","",B154&amp;" м. ")</f>
        <v/>
      </c>
      <c r="C176" s="182" t="str">
        <f aca="false">IF(C153="","",C154&amp;" м. ")</f>
        <v/>
      </c>
      <c r="D176" s="182" t="str">
        <f aca="false">IF(D153="","",D154&amp;" м. ")</f>
        <v/>
      </c>
      <c r="E176" s="182" t="str">
        <f aca="false">IF(E153="","",E154&amp;" м. ")</f>
        <v/>
      </c>
      <c r="F176" s="182" t="str">
        <f aca="false">IF(F153="","",F154&amp;" м. ")</f>
        <v/>
      </c>
      <c r="G176" s="182" t="str">
        <f aca="false">IF(G153="","",G154&amp;" м. ")</f>
        <v/>
      </c>
      <c r="H176" s="182" t="str">
        <f aca="false">IF(H153="","",H154&amp;" м. ")</f>
        <v/>
      </c>
      <c r="I176" s="182" t="str">
        <f aca="false">IF(I153="","",I154&amp;" м. ")</f>
        <v/>
      </c>
      <c r="J176" s="182" t="str">
        <f aca="false">IF(J153="","",J154&amp;" м. ")</f>
        <v/>
      </c>
      <c r="K176" s="182" t="str">
        <f aca="false">IF(K153="","",K154&amp;" м. ")</f>
        <v/>
      </c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</row>
    <row r="177" customFormat="false" ht="12.8" hidden="true" customHeight="false" outlineLevel="0" collapsed="false">
      <c r="A177" s="95"/>
      <c r="B177" s="182" t="e">
        <f aca="false">"Управление -  "&amp;VLOOKUP(B148,'данные по ЭК в долларах'!$A$58:$F$89,6,0)</f>
        <v>#N/A</v>
      </c>
      <c r="C177" s="182" t="e">
        <f aca="false">"Управление -  "&amp;VLOOKUP(C148,'данные по ЭК в долларах'!$A$58:$F$89,6,0)</f>
        <v>#N/A</v>
      </c>
      <c r="D177" s="182" t="e">
        <f aca="false">"Управление -  "&amp;VLOOKUP(D148,'данные по ЭК в долларах'!$A$58:$F$89,6,0)</f>
        <v>#N/A</v>
      </c>
      <c r="E177" s="182" t="e">
        <f aca="false">"Управление -  "&amp;VLOOKUP(E148,'данные по ЭК в долларах'!$A$58:$F$89,6,0)</f>
        <v>#N/A</v>
      </c>
      <c r="F177" s="182" t="e">
        <f aca="false">"Управление -  "&amp;VLOOKUP(F148,'данные по ЭК в долларах'!$A$58:$F$89,6,0)</f>
        <v>#N/A</v>
      </c>
      <c r="G177" s="182" t="e">
        <f aca="false">"Управление -  "&amp;VLOOKUP(G148,'данные по ЭК в долларах'!$A$58:$F$89,6,0)</f>
        <v>#N/A</v>
      </c>
      <c r="H177" s="182" t="e">
        <f aca="false">"Управление -  "&amp;VLOOKUP(H148,'данные по ЭК в долларах'!$A$58:$F$89,6,0)</f>
        <v>#N/A</v>
      </c>
      <c r="I177" s="182" t="e">
        <f aca="false">"Управление -  "&amp;VLOOKUP(I148,'данные по ЭК в долларах'!$A$58:$F$89,6,0)</f>
        <v>#N/A</v>
      </c>
      <c r="J177" s="182" t="e">
        <f aca="false">"Управление -  "&amp;VLOOKUP(J148,'данные по ЭК в долларах'!$A$58:$F$89,6,0)</f>
        <v>#N/A</v>
      </c>
      <c r="K177" s="182" t="e">
        <f aca="false">"Управление -  "&amp;VLOOKUP(K148,'данные по ЭК в долларах'!$A$58:$F$89,6,0)</f>
        <v>#N/A</v>
      </c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</row>
    <row r="178" customFormat="false" ht="12.8" hidden="true" customHeight="false" outlineLevel="0" collapsed="false">
      <c r="A178" s="95"/>
      <c r="B178" s="143" t="e">
        <f aca="false">IF(VLOOKUP(B148,'данные по ЭК в долларах'!$A$58:$F$89,6,0)="без привода","  "," - "&amp;B150&amp;" шт.")</f>
        <v>#N/A</v>
      </c>
      <c r="C178" s="143" t="e">
        <f aca="false">IF(VLOOKUP(C148,'данные по ЭК в долларах'!$A$58:$F$89,6,0)="без привода","  "," - "&amp;C150&amp;" шт.")</f>
        <v>#N/A</v>
      </c>
      <c r="D178" s="143" t="e">
        <f aca="false">IF(VLOOKUP(D148,'данные по ЭК в долларах'!$A$58:$F$89,6,0)="без привода","  "," - "&amp;D150&amp;" шт.")</f>
        <v>#N/A</v>
      </c>
      <c r="E178" s="143" t="e">
        <f aca="false">IF(VLOOKUP(E148,'данные по ЭК в долларах'!$A$58:$F$89,6,0)="без привода","  "," - "&amp;E150&amp;" шт.")</f>
        <v>#N/A</v>
      </c>
      <c r="F178" s="143" t="e">
        <f aca="false">IF(VLOOKUP(F148,'данные по ЭК в долларах'!$A$58:$F$89,6,0)="без привода","  "," - "&amp;F150&amp;" шт.")</f>
        <v>#N/A</v>
      </c>
      <c r="G178" s="143" t="e">
        <f aca="false">IF(VLOOKUP(G148,'данные по ЭК в долларах'!$A$58:$F$89,6,0)="без привода","  "," - "&amp;G150&amp;" шт.")</f>
        <v>#N/A</v>
      </c>
      <c r="H178" s="143" t="e">
        <f aca="false">IF(VLOOKUP(H148,'данные по ЭК в долларах'!$A$58:$F$89,6,0)="без привода","  "," - "&amp;H150&amp;" шт.")</f>
        <v>#N/A</v>
      </c>
      <c r="I178" s="143" t="e">
        <f aca="false">IF(VLOOKUP(I148,'данные по ЭК в долларах'!$A$58:$F$89,6,0)="без привода","  "," - "&amp;I150&amp;" шт.")</f>
        <v>#N/A</v>
      </c>
      <c r="J178" s="143" t="e">
        <f aca="false">IF(VLOOKUP(J148,'данные по ЭК в долларах'!$A$58:$F$89,6,0)="без привода","  "," - "&amp;J150&amp;" шт.")</f>
        <v>#N/A</v>
      </c>
      <c r="K178" s="143" t="e">
        <f aca="false">IF(VLOOKUP(K148,'данные по ЭК в долларах'!$A$58:$F$89,6,0)="без привода","  "," - "&amp;K150&amp;" шт.")</f>
        <v>#N/A</v>
      </c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</row>
    <row r="179" customFormat="false" ht="12.8" hidden="true" customHeight="false" outlineLevel="0" collapsed="false">
      <c r="A179" s="95"/>
      <c r="B179" s="0"/>
      <c r="C179" s="143" t="str">
        <f aca="false">C156&amp;"."</f>
        <v>.</v>
      </c>
      <c r="D179" s="143" t="str">
        <f aca="false">D156&amp;"."</f>
        <v>.</v>
      </c>
      <c r="E179" s="143" t="str">
        <f aca="false">E156&amp;"."</f>
        <v>.</v>
      </c>
      <c r="F179" s="143" t="str">
        <f aca="false">F156&amp;"."</f>
        <v>.</v>
      </c>
      <c r="G179" s="143" t="str">
        <f aca="false">G156&amp;"."</f>
        <v>.</v>
      </c>
      <c r="H179" s="143" t="str">
        <f aca="false">H156&amp;"."</f>
        <v>.</v>
      </c>
      <c r="I179" s="143" t="str">
        <f aca="false">I156&amp;"."</f>
        <v>.</v>
      </c>
      <c r="J179" s="143" t="str">
        <f aca="false">J156&amp;"."</f>
        <v>.</v>
      </c>
      <c r="K179" s="143" t="str">
        <f aca="false">K156&amp;"."</f>
        <v>.</v>
      </c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</row>
    <row r="180" customFormat="false" ht="12.8" hidden="true" customHeight="false" outlineLevel="0" collapsed="false">
      <c r="A180" s="183" t="s">
        <v>126</v>
      </c>
      <c r="B180" s="143" t="e">
        <f aca="false">B175&amp;B176&amp;B177&amp;B178</f>
        <v>#N/A</v>
      </c>
      <c r="C180" s="143" t="e">
        <f aca="false">C175&amp;C176&amp;C177&amp;C178</f>
        <v>#N/A</v>
      </c>
      <c r="D180" s="143" t="e">
        <f aca="false">D175&amp;D176&amp;D177&amp;D178</f>
        <v>#N/A</v>
      </c>
      <c r="E180" s="143" t="e">
        <f aca="false">E175&amp;E176&amp;E177&amp;E178</f>
        <v>#N/A</v>
      </c>
      <c r="F180" s="143" t="e">
        <f aca="false">F175&amp;F176&amp;F177&amp;F178</f>
        <v>#N/A</v>
      </c>
      <c r="G180" s="143" t="e">
        <f aca="false">G175&amp;G176&amp;G177&amp;G178</f>
        <v>#N/A</v>
      </c>
      <c r="H180" s="143" t="e">
        <f aca="false">H175&amp;H176&amp;H177&amp;H178</f>
        <v>#N/A</v>
      </c>
      <c r="I180" s="143" t="e">
        <f aca="false">I175&amp;I176&amp;I177&amp;I178</f>
        <v>#N/A</v>
      </c>
      <c r="J180" s="143" t="e">
        <f aca="false">J175&amp;J176&amp;J177&amp;J178</f>
        <v>#N/A</v>
      </c>
      <c r="K180" s="143" t="e">
        <f aca="false">K175&amp;K176&amp;K177&amp;K178</f>
        <v>#N/A</v>
      </c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</row>
    <row r="181" customFormat="false" ht="12.8" hidden="true" customHeight="false" outlineLevel="0" collapsed="false">
      <c r="A181" s="95"/>
      <c r="B181" s="143" t="str">
        <f aca="false">IF(B156="","",B156)</f>
        <v/>
      </c>
      <c r="C181" s="143" t="str">
        <f aca="false">IF(C156="","",C156)</f>
        <v/>
      </c>
      <c r="D181" s="143" t="str">
        <f aca="false">IF(D156="","",D156)</f>
        <v/>
      </c>
      <c r="E181" s="143" t="str">
        <f aca="false">IF(E156="","",E156)</f>
        <v/>
      </c>
      <c r="F181" s="143" t="str">
        <f aca="false">IF(F156="","",F156)</f>
        <v/>
      </c>
      <c r="G181" s="143" t="str">
        <f aca="false">IF(G156="","",G156)</f>
        <v/>
      </c>
      <c r="H181" s="143" t="str">
        <f aca="false">IF(H156="","",H156)</f>
        <v/>
      </c>
      <c r="I181" s="143" t="str">
        <f aca="false">IF(I156="","",I156)</f>
        <v/>
      </c>
      <c r="J181" s="143" t="str">
        <f aca="false">IF(J156="","",J156)</f>
        <v/>
      </c>
      <c r="K181" s="143" t="str">
        <f aca="false">IF(K156="","",K156)</f>
        <v/>
      </c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</row>
    <row r="182" customFormat="false" ht="12.8" hidden="true" customHeight="false" outlineLevel="0" collapsed="false">
      <c r="A182" s="95"/>
      <c r="B182" s="182" t="str">
        <f aca="false">IF(B149="Тандем","Система Тандем (2 привода на карнизе). ","")</f>
        <v/>
      </c>
      <c r="C182" s="143" t="str">
        <f aca="false">IF(C149="Тандем","Система Тандем (2 привода на карнизе). ","")</f>
        <v/>
      </c>
      <c r="D182" s="143" t="str">
        <f aca="false">IF(D149="Тандем","Система Тандем (2 привода на карнизе). ","")</f>
        <v/>
      </c>
      <c r="E182" s="143" t="str">
        <f aca="false">IF(E149="Тандем","Система Тандем (2 привода на карнизе). ","")</f>
        <v/>
      </c>
      <c r="F182" s="143" t="str">
        <f aca="false">IF(F149="Тандем","Система Тандем (2 привода на карнизе). ","")</f>
        <v/>
      </c>
      <c r="G182" s="143" t="str">
        <f aca="false">IF(G149="Тандем","Система Тандем (2 привода на карнизе). ","")</f>
        <v/>
      </c>
      <c r="H182" s="143" t="str">
        <f aca="false">IF(H149="Тандем","Система Тандем (2 привода на карнизе). ","")</f>
        <v/>
      </c>
      <c r="I182" s="143" t="str">
        <f aca="false">IF(I149="Тандем","Система Тандем (2 привода на карнизе). ","")</f>
        <v/>
      </c>
      <c r="J182" s="143" t="str">
        <f aca="false">IF(J149="Тандем","Система Тандем (2 привода на карнизе). ","")</f>
        <v/>
      </c>
      <c r="K182" s="143" t="str">
        <f aca="false">IF(K149="Тандем","Система Тандем (2 привода на карнизе). ","")</f>
        <v/>
      </c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</row>
    <row r="183" customFormat="false" ht="12.8" hidden="true" customHeight="false" outlineLevel="0" collapsed="false">
      <c r="A183" s="95"/>
      <c r="B183" s="182" t="str">
        <f aca="false">IF(B155="Да","Составной. ","")</f>
        <v/>
      </c>
      <c r="C183" s="182" t="str">
        <f aca="false">IF(C155="Да","Составной. ","")</f>
        <v/>
      </c>
      <c r="D183" s="182" t="str">
        <f aca="false">IF(D155="Да","Составной. ","")</f>
        <v/>
      </c>
      <c r="E183" s="182" t="str">
        <f aca="false">IF(E155="Да","Составной. ","")</f>
        <v/>
      </c>
      <c r="F183" s="182" t="str">
        <f aca="false">IF(F155="Да","Составной. ","")</f>
        <v/>
      </c>
      <c r="G183" s="182" t="str">
        <f aca="false">IF(G155="Да","Составной. ","")</f>
        <v/>
      </c>
      <c r="H183" s="182" t="str">
        <f aca="false">IF(H155="Да","Составной. ","")</f>
        <v/>
      </c>
      <c r="I183" s="182" t="str">
        <f aca="false">IF(I155="Да","Составной. ","")</f>
        <v/>
      </c>
      <c r="J183" s="182" t="str">
        <f aca="false">IF(J155="Да","Составной. ","")</f>
        <v/>
      </c>
      <c r="K183" s="182" t="str">
        <f aca="false">IF(K155="Да","Составной. ","")</f>
        <v/>
      </c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</row>
    <row r="184" customFormat="false" ht="12.8" hidden="true" customHeight="false" outlineLevel="0" collapsed="false">
      <c r="A184" s="183" t="s">
        <v>126</v>
      </c>
      <c r="B184" s="143" t="str">
        <f aca="false">B182&amp;B183&amp;B181</f>
        <v/>
      </c>
      <c r="C184" s="143" t="str">
        <f aca="false">C182&amp;C183&amp;C181</f>
        <v/>
      </c>
      <c r="D184" s="143" t="str">
        <f aca="false">D182&amp;D183&amp;D181</f>
        <v/>
      </c>
      <c r="E184" s="143" t="str">
        <f aca="false">E182&amp;E183&amp;E181</f>
        <v/>
      </c>
      <c r="F184" s="143" t="str">
        <f aca="false">F182&amp;F183&amp;F181</f>
        <v/>
      </c>
      <c r="G184" s="143" t="str">
        <f aca="false">G182&amp;G183&amp;G181</f>
        <v/>
      </c>
      <c r="H184" s="143" t="str">
        <f aca="false">H182&amp;H183&amp;H181</f>
        <v/>
      </c>
      <c r="I184" s="143" t="str">
        <f aca="false">I182&amp;I183&amp;I181</f>
        <v/>
      </c>
      <c r="J184" s="143" t="str">
        <f aca="false">J182&amp;J183&amp;J181</f>
        <v/>
      </c>
      <c r="K184" s="143" t="str">
        <f aca="false">K182&amp;K183&amp;K181</f>
        <v/>
      </c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</row>
    <row r="185" customFormat="false" ht="12.8" hidden="false" customHeight="false" outlineLevel="0" collapsed="false">
      <c r="A185" s="95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</row>
    <row r="186" customFormat="false" ht="8.5" hidden="false" customHeight="true" outlineLevel="0" collapsed="false">
      <c r="A186" s="86" t="s">
        <v>127</v>
      </c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</row>
    <row r="187" customFormat="false" ht="8.5" hidden="false" customHeight="true" outlineLevel="0" collapsed="false">
      <c r="A187" s="46" t="s">
        <v>128</v>
      </c>
      <c r="B187" s="161" t="str">
        <f aca="false">IF(B186="","",VLOOKUP(B186,'данные по ЭК в долларах'!$A$134:$B$135,2,0))</f>
        <v/>
      </c>
      <c r="C187" s="161" t="str">
        <f aca="false">IF(C186="","",VLOOKUP(C186,'данные по ЭК в долларах'!$A$134:$B$135,2,0))</f>
        <v/>
      </c>
      <c r="D187" s="161" t="str">
        <f aca="false">IF(D186="","",VLOOKUP(D186,'данные по ЭК в долларах'!$A$134:$B$135,2,0))</f>
        <v/>
      </c>
      <c r="E187" s="161" t="str">
        <f aca="false">IF(E186="","",VLOOKUP(E186,'данные по ЭК в долларах'!$A$134:$B$135,2,0))</f>
        <v/>
      </c>
      <c r="F187" s="161" t="str">
        <f aca="false">IF(F186="","",VLOOKUP(F186,'данные по ЭК в долларах'!$A$134:$B$135,2,0))</f>
        <v/>
      </c>
      <c r="G187" s="161" t="str">
        <f aca="false">IF(G186="","",VLOOKUP(G186,'данные по ЭК в долларах'!$A$134:$B$135,2,0))</f>
        <v/>
      </c>
      <c r="H187" s="161" t="str">
        <f aca="false">IF(H186="","",VLOOKUP(H186,'данные по ЭК в долларах'!$A$134:$B$135,2,0))</f>
        <v/>
      </c>
      <c r="I187" s="161" t="str">
        <f aca="false">IF(I186="","",VLOOKUP(I186,'данные по ЭК в долларах'!$A$134:$B$135,2,0))</f>
        <v/>
      </c>
      <c r="J187" s="161" t="str">
        <f aca="false">IF(J186="","",VLOOKUP(J186,'данные по ЭК в долларах'!$A$134:$B$135,2,0))</f>
        <v/>
      </c>
      <c r="K187" s="161" t="str">
        <f aca="false">IF(K186="","",VLOOKUP(K186,'данные по ЭК в долларах'!$A$134:$B$135,2,0))</f>
        <v/>
      </c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</row>
    <row r="188" customFormat="false" ht="8.5" hidden="false" customHeight="true" outlineLevel="0" collapsed="false">
      <c r="A188" s="86" t="s">
        <v>129</v>
      </c>
      <c r="B188" s="184" t="str">
        <f aca="false">IF(B153="","",ROUNDUP((B153/0.75)+1,0))</f>
        <v/>
      </c>
      <c r="C188" s="184" t="str">
        <f aca="false">IF(C153="","",ROUNDUP((C153/0.75)+1,0))</f>
        <v/>
      </c>
      <c r="D188" s="184" t="str">
        <f aca="false">IF(D153="","",ROUNDUP((D153/0.75)+1,0))</f>
        <v/>
      </c>
      <c r="E188" s="184" t="str">
        <f aca="false">IF(E153="","",ROUNDUP((E153/0.75)+1,0))</f>
        <v/>
      </c>
      <c r="F188" s="184" t="str">
        <f aca="false">IF(F153="","",ROUNDUP((F153/0.75)+1,0))</f>
        <v/>
      </c>
      <c r="G188" s="184" t="str">
        <f aca="false">IF(G153="","",ROUNDUP((G153/0.75)+1,0))</f>
        <v/>
      </c>
      <c r="H188" s="184" t="str">
        <f aca="false">IF(H153="","",ROUNDUP((H153/0.75)+1,0))</f>
        <v/>
      </c>
      <c r="I188" s="184" t="str">
        <f aca="false">IF(I153="","",ROUNDUP((I153/0.75)+1,0))</f>
        <v/>
      </c>
      <c r="J188" s="184" t="str">
        <f aca="false">IF(J153="","",ROUNDUP((J153/0.75)+1,0))</f>
        <v/>
      </c>
      <c r="K188" s="184" t="str">
        <f aca="false">IF(K153="","",ROUNDUP((K153/0.75)+1,0))</f>
        <v/>
      </c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</row>
    <row r="189" customFormat="false" ht="8.5" hidden="false" customHeight="true" outlineLevel="0" collapsed="false">
      <c r="A189" s="46" t="s">
        <v>130</v>
      </c>
      <c r="B189" s="184" t="str">
        <f aca="false">IF(B186="","",B188*B187)</f>
        <v/>
      </c>
      <c r="C189" s="161"/>
      <c r="D189" s="161"/>
      <c r="E189" s="161"/>
      <c r="F189" s="161"/>
      <c r="G189" s="161"/>
      <c r="H189" s="161"/>
      <c r="I189" s="161"/>
      <c r="J189" s="161"/>
      <c r="K189" s="161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</row>
    <row r="190" s="40" customFormat="true" ht="8.5" hidden="true" customHeight="true" outlineLevel="0" collapsed="false">
      <c r="A190" s="185" t="s">
        <v>131</v>
      </c>
      <c r="B190" s="186" t="n">
        <f aca="false">IF(B186=$A$190,B188,0)</f>
        <v>0</v>
      </c>
      <c r="C190" s="186" t="n">
        <f aca="false">IF(C186=$A$190,C188,0)</f>
        <v>0</v>
      </c>
      <c r="D190" s="186" t="n">
        <f aca="false">IF(D186=$A$190,D188,0)</f>
        <v>0</v>
      </c>
      <c r="E190" s="186" t="n">
        <f aca="false">IF(E186=$A$190,E188,0)</f>
        <v>0</v>
      </c>
      <c r="F190" s="186" t="n">
        <f aca="false">IF(F186=$A$190,F188,0)</f>
        <v>0</v>
      </c>
      <c r="G190" s="186" t="n">
        <f aca="false">IF(G186=$A$190,G188,0)</f>
        <v>0</v>
      </c>
      <c r="H190" s="186" t="n">
        <f aca="false">IF(H186=$A$190,H188,0)</f>
        <v>0</v>
      </c>
      <c r="I190" s="186" t="n">
        <f aca="false">IF(I186=$A$190,I188,0)</f>
        <v>0</v>
      </c>
      <c r="J190" s="186" t="n">
        <f aca="false">IF(J186=$A$190,J188,0)</f>
        <v>0</v>
      </c>
      <c r="K190" s="186" t="n">
        <f aca="false">IF(K186=$A$190,K188,0)</f>
        <v>0</v>
      </c>
      <c r="L190" s="187" t="n">
        <f aca="false">SUM(B190:K190)</f>
        <v>0</v>
      </c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</row>
    <row r="191" s="40" customFormat="true" ht="8.5" hidden="true" customHeight="true" outlineLevel="0" collapsed="false">
      <c r="A191" s="185" t="s">
        <v>132</v>
      </c>
      <c r="B191" s="186" t="n">
        <f aca="false">IF(B186=$A$191,B188,0)</f>
        <v>0</v>
      </c>
      <c r="C191" s="186" t="n">
        <f aca="false">IF(C186=$A$191,C188,0)</f>
        <v>0</v>
      </c>
      <c r="D191" s="186" t="n">
        <f aca="false">IF(D186=$A$191,D188,0)</f>
        <v>0</v>
      </c>
      <c r="E191" s="186" t="n">
        <f aca="false">IF(E186=$A$191,E188,0)</f>
        <v>0</v>
      </c>
      <c r="F191" s="186" t="n">
        <f aca="false">IF(F186=$A$191,F188,0)</f>
        <v>0</v>
      </c>
      <c r="G191" s="186" t="n">
        <f aca="false">IF(G186=$A$191,G188,0)</f>
        <v>0</v>
      </c>
      <c r="H191" s="186" t="n">
        <f aca="false">IF(H186=$A$191,H188,0)</f>
        <v>0</v>
      </c>
      <c r="I191" s="186" t="n">
        <f aca="false">IF(I186=$A$191,I188,0)</f>
        <v>0</v>
      </c>
      <c r="J191" s="186" t="n">
        <f aca="false">IF(J186=$A$191,J188,0)</f>
        <v>0</v>
      </c>
      <c r="K191" s="186" t="n">
        <f aca="false">IF(K186=$A$191,K188,0)</f>
        <v>0</v>
      </c>
      <c r="L191" s="187" t="n">
        <f aca="false">SUM(B191:K191)</f>
        <v>0</v>
      </c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  <c r="BH191" s="187"/>
      <c r="BI191" s="187"/>
      <c r="BJ191" s="187"/>
      <c r="BK191" s="187"/>
      <c r="BL191" s="187"/>
    </row>
    <row r="192" s="40" customFormat="true" ht="8.5" hidden="false" customHeight="true" outlineLevel="0" collapsed="false">
      <c r="A192" s="185"/>
      <c r="B192" s="186"/>
      <c r="C192" s="188"/>
      <c r="D192" s="188"/>
      <c r="E192" s="188"/>
      <c r="F192" s="188"/>
      <c r="G192" s="188"/>
      <c r="H192" s="188"/>
      <c r="I192" s="188"/>
      <c r="J192" s="188"/>
      <c r="K192" s="188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</row>
    <row r="193" s="40" customFormat="true" ht="15" hidden="false" customHeight="false" outlineLevel="0" collapsed="false">
      <c r="A193" s="189" t="s">
        <v>133</v>
      </c>
      <c r="B193" s="189"/>
      <c r="C193" s="189"/>
      <c r="D193" s="189"/>
      <c r="E193" s="189"/>
      <c r="F193" s="188"/>
      <c r="G193" s="188"/>
      <c r="H193" s="188"/>
      <c r="I193" s="188"/>
      <c r="J193" s="188"/>
      <c r="K193" s="188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</row>
    <row r="194" s="40" customFormat="true" ht="13.8" hidden="false" customHeight="false" outlineLevel="0" collapsed="false">
      <c r="A194" s="124" t="s">
        <v>100</v>
      </c>
      <c r="B194" s="125" t="s">
        <v>101</v>
      </c>
      <c r="C194" s="125" t="s">
        <v>102</v>
      </c>
      <c r="D194" s="125" t="s">
        <v>103</v>
      </c>
      <c r="E194" s="125" t="s">
        <v>104</v>
      </c>
      <c r="F194" s="190" t="s">
        <v>105</v>
      </c>
      <c r="G194" s="188"/>
      <c r="H194" s="188"/>
      <c r="I194" s="188"/>
      <c r="J194" s="188"/>
      <c r="K194" s="188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</row>
    <row r="195" s="40" customFormat="true" ht="13.8" hidden="false" customHeight="false" outlineLevel="0" collapsed="false">
      <c r="A195" s="191" t="str">
        <f aca="false"> IF(L190=0,"",A190)</f>
        <v/>
      </c>
      <c r="B195" s="192" t="str">
        <f aca="false">IF(A195="","",L190)</f>
        <v/>
      </c>
      <c r="C195" s="193"/>
      <c r="D195" s="193"/>
      <c r="E195" s="193" t="str">
        <f aca="false">IF(A195="","",VLOOKUP(A195,'данные по ЭК в долларах'!$A$134:$B$135,2,0))</f>
        <v/>
      </c>
      <c r="F195" s="194" t="str">
        <f aca="false">IF(B195="","не указано кол-во",B195*E195)</f>
        <v>не указано кол-во</v>
      </c>
      <c r="G195" s="188"/>
      <c r="H195" s="188"/>
      <c r="I195" s="188"/>
      <c r="J195" s="188"/>
      <c r="K195" s="188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7"/>
      <c r="AT195" s="187"/>
      <c r="AU195" s="187"/>
      <c r="AV195" s="187"/>
      <c r="AW195" s="187"/>
      <c r="AX195" s="187"/>
      <c r="AY195" s="187"/>
      <c r="AZ195" s="187"/>
      <c r="BA195" s="187"/>
      <c r="BB195" s="187"/>
      <c r="BC195" s="187"/>
      <c r="BD195" s="187"/>
      <c r="BE195" s="187"/>
      <c r="BF195" s="187"/>
      <c r="BG195" s="187"/>
      <c r="BH195" s="187"/>
      <c r="BI195" s="187"/>
      <c r="BJ195" s="187"/>
      <c r="BK195" s="187"/>
      <c r="BL195" s="187"/>
    </row>
    <row r="196" s="40" customFormat="true" ht="13.8" hidden="false" customHeight="false" outlineLevel="0" collapsed="false">
      <c r="A196" s="191" t="str">
        <f aca="false">IF(L191=0,"",A191)</f>
        <v/>
      </c>
      <c r="B196" s="192" t="str">
        <f aca="false">IF(A196="","",L191)</f>
        <v/>
      </c>
      <c r="C196" s="193"/>
      <c r="D196" s="193"/>
      <c r="E196" s="192" t="str">
        <f aca="false">IF(A196="","",VLOOKUP(A196,'данные по ЭК в долларах'!$A$134:$B$135,2,0))</f>
        <v/>
      </c>
      <c r="F196" s="194" t="str">
        <f aca="false">IF(B196="","не указано кол-во",B196*E196)</f>
        <v>не указано кол-во</v>
      </c>
      <c r="G196" s="188"/>
      <c r="H196" s="188"/>
      <c r="I196" s="188"/>
      <c r="J196" s="188"/>
      <c r="K196" s="188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</row>
    <row r="197" s="40" customFormat="true" ht="8.5" hidden="false" customHeight="true" outlineLevel="0" collapsed="false">
      <c r="A197" s="185"/>
      <c r="B197" s="186"/>
      <c r="C197" s="188"/>
      <c r="D197" s="188"/>
      <c r="E197" s="188"/>
      <c r="F197" s="188"/>
      <c r="G197" s="188"/>
      <c r="H197" s="188"/>
      <c r="I197" s="188"/>
      <c r="J197" s="188"/>
      <c r="K197" s="188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7"/>
      <c r="AT197" s="187"/>
      <c r="AU197" s="187"/>
      <c r="AV197" s="187"/>
      <c r="AW197" s="187"/>
      <c r="AX197" s="187"/>
      <c r="AY197" s="187"/>
      <c r="AZ197" s="187"/>
      <c r="BA197" s="187"/>
      <c r="BB197" s="187"/>
      <c r="BC197" s="187"/>
      <c r="BD197" s="187"/>
      <c r="BE197" s="187"/>
      <c r="BF197" s="187"/>
      <c r="BG197" s="187"/>
      <c r="BH197" s="187"/>
      <c r="BI197" s="187"/>
      <c r="BJ197" s="187"/>
      <c r="BK197" s="187"/>
      <c r="BL197" s="187"/>
    </row>
    <row r="198" s="40" customFormat="true" ht="8.5" hidden="false" customHeight="true" outlineLevel="0" collapsed="false">
      <c r="A198" s="185"/>
      <c r="B198" s="186"/>
      <c r="C198" s="188"/>
      <c r="D198" s="188"/>
      <c r="E198" s="188"/>
      <c r="F198" s="188"/>
      <c r="G198" s="188"/>
      <c r="H198" s="188"/>
      <c r="I198" s="188"/>
      <c r="J198" s="188"/>
      <c r="K198" s="188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</row>
    <row r="199" customFormat="false" ht="17.85" hidden="false" customHeight="true" outlineLevel="0" collapsed="false">
      <c r="A199" s="121" t="s">
        <v>134</v>
      </c>
      <c r="B199" s="121"/>
      <c r="C199" s="121"/>
      <c r="D199" s="121"/>
      <c r="E199" s="121"/>
      <c r="F199" s="122"/>
      <c r="G199" s="0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</row>
    <row r="200" customFormat="false" ht="15.55" hidden="false" customHeight="true" outlineLevel="0" collapsed="false">
      <c r="A200" s="124" t="s">
        <v>100</v>
      </c>
      <c r="B200" s="125" t="s">
        <v>101</v>
      </c>
      <c r="C200" s="125" t="s">
        <v>102</v>
      </c>
      <c r="D200" s="125" t="s">
        <v>103</v>
      </c>
      <c r="E200" s="125" t="s">
        <v>104</v>
      </c>
      <c r="F200" s="125" t="s">
        <v>105</v>
      </c>
      <c r="G200" s="0" t="s">
        <v>98</v>
      </c>
      <c r="H200" s="123" t="s">
        <v>99</v>
      </c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</row>
    <row r="201" customFormat="false" ht="17" hidden="false" customHeight="true" outlineLevel="0" collapsed="false">
      <c r="A201" s="127" t="e">
        <f aca="false">VLOOKUP(B172,'_Данные по электрокарнизам'!$A$36:$B$37,2,0)</f>
        <v>#N/A</v>
      </c>
      <c r="B201" s="128"/>
      <c r="C201" s="125"/>
      <c r="D201" s="125"/>
      <c r="E201" s="129" t="e">
        <f aca="false">B173</f>
        <v>#N/A</v>
      </c>
      <c r="F201" s="194" t="str">
        <f aca="false">IF(B201&lt;=0,"не указано кол-во",B201*E201)</f>
        <v>не указано кол-во</v>
      </c>
      <c r="G201" s="131" t="s">
        <v>106</v>
      </c>
      <c r="H201" s="131"/>
      <c r="I201" s="131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</row>
    <row r="202" customFormat="false" ht="17" hidden="false" customHeight="true" outlineLevel="0" collapsed="false">
      <c r="A202" s="127" t="e">
        <f aca="false">VLOOKUP(D172,'_Данные по электрокарнизам'!$A$36:$B$37,2,0)</f>
        <v>#N/A</v>
      </c>
      <c r="B202" s="128"/>
      <c r="C202" s="125"/>
      <c r="D202" s="125"/>
      <c r="E202" s="129" t="e">
        <f aca="false">D173</f>
        <v>#N/A</v>
      </c>
      <c r="F202" s="194" t="str">
        <f aca="false">IF(B202&lt;=0,"не указано кол-во",B202*E202)</f>
        <v>не указано кол-во</v>
      </c>
      <c r="G202" s="131" t="s">
        <v>106</v>
      </c>
      <c r="H202" s="131"/>
      <c r="I202" s="131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</row>
    <row r="203" customFormat="false" ht="25.3" hidden="false" customHeight="false" outlineLevel="0" collapsed="false">
      <c r="A203" s="139" t="e">
        <f aca="false">B180</f>
        <v>#N/A</v>
      </c>
      <c r="B203" s="140" t="n">
        <v>1</v>
      </c>
      <c r="C203" s="195" t="str">
        <f aca="false">IF(B153&lt;=0,"НЕ УКАЗАНА ДЛИНА",B153*1000&amp;" мм")</f>
        <v>НЕ УКАЗАНА ДЛИНА</v>
      </c>
      <c r="D203" s="196" t="str">
        <f aca="false">B184</f>
        <v/>
      </c>
      <c r="E203" s="141" t="e">
        <f aca="false">B163</f>
        <v>#N/A</v>
      </c>
      <c r="F203" s="194" t="e">
        <f aca="false">IF(B203&lt;=0,"не указано кол-во",B203*E203)</f>
        <v>#N/A</v>
      </c>
      <c r="G203" s="197" t="str">
        <f aca="false">IF(B203=0,"нет кол-ва",IF(ISNUMBER(B171),B171,""))</f>
        <v/>
      </c>
      <c r="H203" s="197" t="str">
        <f aca="false">IF(ISNUMBER(G203),G203*B203,G203)</f>
        <v/>
      </c>
      <c r="I203" s="198" t="str">
        <f aca="false">IF(B148="AM82TV с RS-485","ОСТОРОЖНО СО СКИДКОЙ НА RS-485!!!!","")</f>
        <v/>
      </c>
      <c r="J203" s="0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</row>
    <row r="204" customFormat="false" ht="25.3" hidden="false" customHeight="false" outlineLevel="0" collapsed="false">
      <c r="A204" s="139" t="e">
        <f aca="false">C180</f>
        <v>#N/A</v>
      </c>
      <c r="B204" s="140"/>
      <c r="C204" s="195" t="str">
        <f aca="false">IF(C153&lt;=0,"НЕ УКАЗАНА ДЛИНА",C153*1000&amp;" мм")</f>
        <v>НЕ УКАЗАНА ДЛИНА</v>
      </c>
      <c r="D204" s="140" t="str">
        <f aca="false">C184</f>
        <v/>
      </c>
      <c r="E204" s="141" t="e">
        <f aca="false">C163</f>
        <v>#N/A</v>
      </c>
      <c r="F204" s="194" t="str">
        <f aca="false">IF(B204&lt;=0,"не указано кол-во",B204*E204)</f>
        <v>не указано кол-во</v>
      </c>
      <c r="G204" s="199" t="str">
        <f aca="false">IF(B204=0,"нет кол-ва",IF(ISNUMBER(C171),C171,""))</f>
        <v>нет кол-ва</v>
      </c>
      <c r="H204" s="197" t="str">
        <f aca="false">IF(ISNUMBER(G204),G204*B204,G204)</f>
        <v>нет кол-ва</v>
      </c>
      <c r="I204" s="198" t="str">
        <f aca="false">IF(C148="AM82TV с RS-485","ОСТОРОЖНО СО СКИДКОЙ НА RS-485!!!!","")</f>
        <v/>
      </c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</row>
    <row r="205" customFormat="false" ht="25.3" hidden="false" customHeight="false" outlineLevel="0" collapsed="false">
      <c r="A205" s="139" t="e">
        <f aca="false">D180</f>
        <v>#N/A</v>
      </c>
      <c r="B205" s="140"/>
      <c r="C205" s="195" t="str">
        <f aca="false">IF(D153&lt;=0,"НЕ УКАЗАНА ДЛИНА",D153*1000&amp;" мм")</f>
        <v>НЕ УКАЗАНА ДЛИНА</v>
      </c>
      <c r="D205" s="140" t="str">
        <f aca="false">D184</f>
        <v/>
      </c>
      <c r="E205" s="141" t="e">
        <f aca="false">D163</f>
        <v>#N/A</v>
      </c>
      <c r="F205" s="194" t="str">
        <f aca="false">IF(B205&lt;=0,"не указано кол-во",B205*E205)</f>
        <v>не указано кол-во</v>
      </c>
      <c r="G205" s="199" t="str">
        <f aca="false">IF(B205=0,"нет кол-ва",IF(ISNUMBER(D171),D171,""))</f>
        <v>нет кол-ва</v>
      </c>
      <c r="H205" s="197" t="str">
        <f aca="false">IF(ISNUMBER(G205),G205*B205,G205)</f>
        <v>нет кол-ва</v>
      </c>
      <c r="I205" s="198" t="str">
        <f aca="false">IF(D148="AM82TV с RS-485","ОСТОРОЖНО СО СКИДКОЙ НА RS-485!!!!","")</f>
        <v/>
      </c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</row>
    <row r="206" customFormat="false" ht="25.3" hidden="false" customHeight="false" outlineLevel="0" collapsed="false">
      <c r="A206" s="139" t="e">
        <f aca="false">E180</f>
        <v>#N/A</v>
      </c>
      <c r="B206" s="140"/>
      <c r="C206" s="195" t="str">
        <f aca="false">IF(E153&lt;=0,"НЕ УКАЗАНА ДЛИНА",E153*1000&amp;" мм")</f>
        <v>НЕ УКАЗАНА ДЛИНА</v>
      </c>
      <c r="D206" s="140" t="str">
        <f aca="false">E184</f>
        <v/>
      </c>
      <c r="E206" s="141" t="e">
        <f aca="false">E163</f>
        <v>#N/A</v>
      </c>
      <c r="F206" s="194" t="str">
        <f aca="false">IF(B206&lt;=0,"не указано кол-во",B206*E206)</f>
        <v>не указано кол-во</v>
      </c>
      <c r="G206" s="199" t="str">
        <f aca="false">IF(B206=0,"нет кол-ва",IF(ISNUMBER(E171),E171,""))</f>
        <v>нет кол-ва</v>
      </c>
      <c r="H206" s="197" t="str">
        <f aca="false">IF(ISNUMBER(G206),G206*B206,G206)</f>
        <v>нет кол-ва</v>
      </c>
      <c r="I206" s="198" t="str">
        <f aca="false">IF(E148="AM82TV с RS-485","ОСТОРОЖНО СО СКИДКОЙ НА RS-485!!!!","")</f>
        <v/>
      </c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</row>
    <row r="207" customFormat="false" ht="25.3" hidden="false" customHeight="false" outlineLevel="0" collapsed="false">
      <c r="A207" s="139" t="e">
        <f aca="false">F180</f>
        <v>#N/A</v>
      </c>
      <c r="B207" s="140"/>
      <c r="C207" s="195" t="str">
        <f aca="false">IF(F153&lt;=0,"НЕ УКАЗАНА ДЛИНА",F153*1000&amp;" мм")</f>
        <v>НЕ УКАЗАНА ДЛИНА</v>
      </c>
      <c r="D207" s="140" t="str">
        <f aca="false">F184</f>
        <v/>
      </c>
      <c r="E207" s="141" t="e">
        <f aca="false">F163</f>
        <v>#N/A</v>
      </c>
      <c r="F207" s="194" t="str">
        <f aca="false">IF(B207&lt;=0,"не указано кол-во",B207*E207)</f>
        <v>не указано кол-во</v>
      </c>
      <c r="G207" s="199" t="str">
        <f aca="false">IF(B207=0,"нет кол-ва",IF(ISNUMBER(F171),F171,""))</f>
        <v>нет кол-ва</v>
      </c>
      <c r="H207" s="197" t="str">
        <f aca="false">IF(ISNUMBER(G207),G207*B207,G207)</f>
        <v>нет кол-ва</v>
      </c>
      <c r="I207" s="198" t="str">
        <f aca="false">IF(F148="AM82TV с RS-485","ОСТОРОЖНО СО СКИДКОЙ НА RS-485!!!!","")</f>
        <v/>
      </c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</row>
    <row r="208" customFormat="false" ht="25.3" hidden="false" customHeight="false" outlineLevel="0" collapsed="false">
      <c r="A208" s="139" t="e">
        <f aca="false">G180</f>
        <v>#N/A</v>
      </c>
      <c r="B208" s="140"/>
      <c r="C208" s="195" t="str">
        <f aca="false">IF(G153&lt;=0,"НЕ УКАЗАНА ДЛИНА",G153*1000&amp;" мм")</f>
        <v>НЕ УКАЗАНА ДЛИНА</v>
      </c>
      <c r="D208" s="140" t="str">
        <f aca="false">G184</f>
        <v/>
      </c>
      <c r="E208" s="141" t="e">
        <f aca="false">G163</f>
        <v>#N/A</v>
      </c>
      <c r="F208" s="194" t="str">
        <f aca="false">IF(B208&lt;=0,"не указано кол-во",B208*E208)</f>
        <v>не указано кол-во</v>
      </c>
      <c r="G208" s="199" t="str">
        <f aca="false">IF(B208=0,"нет кол-ва",IF(ISNUMBER(G171),G171,""))</f>
        <v>нет кол-ва</v>
      </c>
      <c r="H208" s="197" t="str">
        <f aca="false">IF(ISNUMBER(G208),G208*B208,G208)</f>
        <v>нет кол-ва</v>
      </c>
      <c r="I208" s="198" t="str">
        <f aca="false">IF(G148="AM82TV с RS-485","ОСТОРОЖНО СО СКИДКОЙ НА RS-485!!!!","")</f>
        <v/>
      </c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</row>
    <row r="209" customFormat="false" ht="25.3" hidden="false" customHeight="false" outlineLevel="0" collapsed="false">
      <c r="A209" s="139" t="e">
        <f aca="false">H180</f>
        <v>#N/A</v>
      </c>
      <c r="B209" s="140"/>
      <c r="C209" s="195" t="str">
        <f aca="false">IF(H153&lt;=0,"НЕ УКАЗАНА ДЛИНА",H153*1000&amp;" мм")</f>
        <v>НЕ УКАЗАНА ДЛИНА</v>
      </c>
      <c r="D209" s="140" t="str">
        <f aca="false">H184</f>
        <v/>
      </c>
      <c r="E209" s="141" t="e">
        <f aca="false">H163</f>
        <v>#N/A</v>
      </c>
      <c r="F209" s="194" t="str">
        <f aca="false">IF(B209&lt;=0,"не указано кол-во",B209*E209)</f>
        <v>не указано кол-во</v>
      </c>
      <c r="G209" s="199" t="str">
        <f aca="false">IF(B209=0,"нет кол-ва",IF(ISNUMBER(H171),H171,""))</f>
        <v>нет кол-ва</v>
      </c>
      <c r="H209" s="197" t="str">
        <f aca="false">IF(ISNUMBER(G209),G209*B209,G209)</f>
        <v>нет кол-ва</v>
      </c>
      <c r="I209" s="198" t="str">
        <f aca="false">IF(H148="AM82TV с RS-485","ОСТОРОЖНО СО СКИДКОЙ НА RS-485!!!!","")</f>
        <v/>
      </c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</row>
    <row r="210" customFormat="false" ht="25.3" hidden="false" customHeight="false" outlineLevel="0" collapsed="false">
      <c r="A210" s="139" t="e">
        <f aca="false">I180</f>
        <v>#N/A</v>
      </c>
      <c r="B210" s="140"/>
      <c r="C210" s="195" t="str">
        <f aca="false">IF(I153&lt;=0,"НЕ УКАЗАНА ДЛИНА",I153*1000&amp;" мм")</f>
        <v>НЕ УКАЗАНА ДЛИНА</v>
      </c>
      <c r="D210" s="140" t="str">
        <f aca="false">I184</f>
        <v/>
      </c>
      <c r="E210" s="141" t="e">
        <f aca="false">I163</f>
        <v>#N/A</v>
      </c>
      <c r="F210" s="194" t="str">
        <f aca="false">IF(B210&lt;=0,"не указано кол-во",B210*E210)</f>
        <v>не указано кол-во</v>
      </c>
      <c r="G210" s="199" t="str">
        <f aca="false">IF(B210=0,"нет кол-ва",IF(ISNUMBER(I171),I171,""))</f>
        <v>нет кол-ва</v>
      </c>
      <c r="H210" s="197" t="str">
        <f aca="false">IF(ISNUMBER(G210),G210*B210,G210)</f>
        <v>нет кол-ва</v>
      </c>
      <c r="I210" s="198" t="str">
        <f aca="false">IF(I148="AM82TV с RS-485","ОСТОРОЖНО СО СКИДКОЙ НА RS-485!!!!","")</f>
        <v/>
      </c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</row>
    <row r="211" customFormat="false" ht="25.3" hidden="false" customHeight="false" outlineLevel="0" collapsed="false">
      <c r="A211" s="139" t="e">
        <f aca="false">J180</f>
        <v>#N/A</v>
      </c>
      <c r="B211" s="140"/>
      <c r="C211" s="195" t="str">
        <f aca="false">IF(J153&lt;=0,"НЕ УКАЗАНА ДЛИНА",J153*1000&amp;" мм")</f>
        <v>НЕ УКАЗАНА ДЛИНА</v>
      </c>
      <c r="D211" s="140" t="str">
        <f aca="false">J184</f>
        <v/>
      </c>
      <c r="E211" s="141" t="e">
        <f aca="false">J163</f>
        <v>#N/A</v>
      </c>
      <c r="F211" s="194" t="str">
        <f aca="false">IF(B211&lt;=0,"не указано кол-во",B211*E211)</f>
        <v>не указано кол-во</v>
      </c>
      <c r="G211" s="200" t="str">
        <f aca="false">IF(B211=0,"нет кол-ва",IF(ISNUMBER(J171),J171,""))</f>
        <v>нет кол-ва</v>
      </c>
      <c r="H211" s="197" t="str">
        <f aca="false">IF(ISNUMBER(G211),G211*B211,G211)</f>
        <v>нет кол-ва</v>
      </c>
      <c r="I211" s="198" t="str">
        <f aca="false">IF(J148="AM82TV с RS-485","ОСТОРОЖНО СО СКИДКОЙ НА RS-485!!!!","")</f>
        <v/>
      </c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</row>
    <row r="212" customFormat="false" ht="25.3" hidden="false" customHeight="false" outlineLevel="0" collapsed="false">
      <c r="A212" s="139" t="e">
        <f aca="false">K180</f>
        <v>#N/A</v>
      </c>
      <c r="B212" s="140"/>
      <c r="C212" s="195" t="str">
        <f aca="false">IF(K153&lt;=0,"НЕ УКАЗАНА ДЛИНА",K153*1000&amp;" мм")</f>
        <v>НЕ УКАЗАНА ДЛИНА</v>
      </c>
      <c r="D212" s="140" t="str">
        <f aca="false">K184</f>
        <v/>
      </c>
      <c r="E212" s="141" t="e">
        <f aca="false">K163</f>
        <v>#N/A</v>
      </c>
      <c r="F212" s="194" t="str">
        <f aca="false">IF(B212&lt;=0,"не указано кол-во",B212*E212)</f>
        <v>не указано кол-во</v>
      </c>
      <c r="G212" s="200" t="str">
        <f aca="false">IF(B212=0,"нет кол-ва",IF(ISNUMBER(K171),K171,""))</f>
        <v>нет кол-ва</v>
      </c>
      <c r="H212" s="197" t="str">
        <f aca="false">IF(ISNUMBER(G212),G212*B212,G212)</f>
        <v>нет кол-ва</v>
      </c>
      <c r="I212" s="198" t="str">
        <f aca="false">IF(K148="AM82TV с RS-485","ОСТОРОЖНО СО СКИДКОЙ НА RS-485!!!!","")</f>
        <v/>
      </c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</row>
    <row r="213" customFormat="false" ht="13.1" hidden="false" customHeight="true" outlineLevel="0" collapsed="false">
      <c r="A213" s="95"/>
      <c r="B213" s="201"/>
      <c r="C213" s="202"/>
      <c r="D213" s="144"/>
      <c r="E213" s="145" t="s">
        <v>84</v>
      </c>
      <c r="F213" s="146" t="e">
        <f aca="false">SUM(F201:F212)</f>
        <v>#N/A</v>
      </c>
      <c r="G213" s="203"/>
      <c r="H213" s="203" t="n">
        <f aca="false">SUM(H203:H212)</f>
        <v>0</v>
      </c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</row>
    <row r="214" customFormat="false" ht="13.1" hidden="false" customHeight="true" outlineLevel="0" collapsed="false">
      <c r="A214" s="95"/>
      <c r="B214" s="201"/>
      <c r="C214" s="202"/>
      <c r="D214" s="145" t="s">
        <v>107</v>
      </c>
      <c r="E214" s="149"/>
      <c r="F214" s="146" t="e">
        <f aca="false">F213*E214</f>
        <v>#N/A</v>
      </c>
      <c r="G214" s="203"/>
      <c r="H214" s="203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</row>
    <row r="215" customFormat="false" ht="13.1" hidden="false" customHeight="true" outlineLevel="0" collapsed="false">
      <c r="A215" s="95"/>
      <c r="B215" s="201"/>
      <c r="C215" s="202"/>
      <c r="D215" s="144"/>
      <c r="E215" s="145" t="s">
        <v>108</v>
      </c>
      <c r="F215" s="146" t="e">
        <f aca="false">F213-F214</f>
        <v>#N/A</v>
      </c>
      <c r="G215" s="203"/>
      <c r="H215" s="203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</row>
    <row r="216" customFormat="false" ht="13.1" hidden="false" customHeight="true" outlineLevel="0" collapsed="false">
      <c r="A216" s="95"/>
      <c r="B216" s="201"/>
      <c r="C216" s="202"/>
      <c r="D216" s="202"/>
      <c r="E216" s="202"/>
      <c r="F216" s="202"/>
      <c r="G216" s="203"/>
      <c r="H216" s="203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</row>
    <row r="217" customFormat="false" ht="13.1" hidden="false" customHeight="true" outlineLevel="0" collapsed="false">
      <c r="A217" s="95"/>
      <c r="B217" s="201"/>
      <c r="C217" s="202"/>
      <c r="D217" s="202"/>
      <c r="E217" s="202"/>
      <c r="F217" s="202"/>
      <c r="G217" s="203"/>
      <c r="H217" s="203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</row>
    <row r="218" customFormat="false" ht="13.1" hidden="false" customHeight="true" outlineLevel="0" collapsed="false">
      <c r="A218" s="95"/>
      <c r="B218" s="201"/>
      <c r="C218" s="202"/>
      <c r="D218" s="202"/>
      <c r="E218" s="202"/>
      <c r="F218" s="202"/>
      <c r="G218" s="203"/>
      <c r="H218" s="203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</row>
    <row r="219" customFormat="false" ht="13.1" hidden="false" customHeight="true" outlineLevel="0" collapsed="false">
      <c r="A219" s="95"/>
      <c r="B219" s="201"/>
      <c r="C219" s="202"/>
      <c r="D219" s="202"/>
      <c r="E219" s="202"/>
      <c r="F219" s="202"/>
      <c r="G219" s="203"/>
      <c r="H219" s="203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</row>
    <row r="220" customFormat="false" ht="13.1" hidden="false" customHeight="true" outlineLevel="0" collapsed="false">
      <c r="A220" s="95"/>
      <c r="B220" s="201"/>
      <c r="C220" s="202"/>
      <c r="D220" s="202"/>
      <c r="E220" s="202"/>
      <c r="F220" s="202"/>
      <c r="G220" s="203"/>
      <c r="H220" s="203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</row>
    <row r="221" customFormat="false" ht="13.1" hidden="false" customHeight="true" outlineLevel="0" collapsed="false">
      <c r="A221" s="95"/>
      <c r="B221" s="201"/>
      <c r="C221" s="202"/>
      <c r="D221" s="202"/>
      <c r="E221" s="202"/>
      <c r="F221" s="202"/>
      <c r="G221" s="203"/>
      <c r="H221" s="203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</row>
    <row r="222" customFormat="false" ht="24.95" hidden="false" customHeight="true" outlineLevel="0" collapsed="false">
      <c r="A222" s="95"/>
      <c r="B222" s="204" t="s">
        <v>135</v>
      </c>
      <c r="C222" s="204"/>
      <c r="D222" s="204"/>
      <c r="E222" s="204"/>
      <c r="F222" s="204"/>
      <c r="G222" s="204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</row>
    <row r="223" customFormat="false" ht="21.2" hidden="false" customHeight="true" outlineLevel="0" collapsed="false">
      <c r="A223" s="95"/>
      <c r="B223" s="121" t="s">
        <v>136</v>
      </c>
      <c r="C223" s="121"/>
      <c r="D223" s="121"/>
      <c r="E223" s="121"/>
      <c r="F223" s="121"/>
      <c r="G223" s="122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</row>
    <row r="224" customFormat="false" ht="16.85" hidden="false" customHeight="true" outlineLevel="0" collapsed="false">
      <c r="A224" s="205" t="s">
        <v>137</v>
      </c>
      <c r="B224" s="124" t="s">
        <v>100</v>
      </c>
      <c r="C224" s="125" t="s">
        <v>101</v>
      </c>
      <c r="D224" s="125" t="s">
        <v>102</v>
      </c>
      <c r="E224" s="125" t="s">
        <v>103</v>
      </c>
      <c r="F224" s="125" t="s">
        <v>104</v>
      </c>
      <c r="G224" s="125" t="s">
        <v>105</v>
      </c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</row>
    <row r="225" customFormat="false" ht="17" hidden="false" customHeight="true" outlineLevel="0" collapsed="false">
      <c r="A225" s="206"/>
      <c r="B225" s="139" t="e">
        <f aca="false">VLOOKUP(A225,'Управление и питание'!$A$5:$C$60,3,0)</f>
        <v>#N/A</v>
      </c>
      <c r="C225" s="140"/>
      <c r="D225" s="207"/>
      <c r="E225" s="196" t="e">
        <f aca="false">VLOOKUP(A225,'Управление и питание'!$A$5:$D$60,4,0)</f>
        <v>#N/A</v>
      </c>
      <c r="F225" s="141" t="e">
        <f aca="false">VLOOKUP(A225,'Управление и питание'!$A$5:$D$60,2,0)</f>
        <v>#N/A</v>
      </c>
      <c r="G225" s="208" t="str">
        <f aca="false">IF(C225&lt;=0,"не указано кол-во",F225*C225)</f>
        <v>не указано кол-во</v>
      </c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</row>
    <row r="226" customFormat="false" ht="17" hidden="false" customHeight="true" outlineLevel="0" collapsed="false">
      <c r="A226" s="206"/>
      <c r="B226" s="139" t="e">
        <f aca="false">VLOOKUP(A226,'Управление и питание'!$A$5:$C$60,3,0)</f>
        <v>#N/A</v>
      </c>
      <c r="C226" s="140"/>
      <c r="D226" s="207"/>
      <c r="E226" s="196" t="e">
        <f aca="false">VLOOKUP(A226,'Управление и питание'!$A$5:$D$60,4,0)</f>
        <v>#N/A</v>
      </c>
      <c r="F226" s="141" t="e">
        <f aca="false">VLOOKUP(A226,'Управление и питание'!$A$5:$D$60,2,0)</f>
        <v>#N/A</v>
      </c>
      <c r="G226" s="208" t="str">
        <f aca="false">IF(C226&lt;=0,"не указано кол-во",F226*C226)</f>
        <v>не указано кол-во</v>
      </c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</row>
    <row r="227" customFormat="false" ht="17" hidden="false" customHeight="true" outlineLevel="0" collapsed="false">
      <c r="A227" s="206"/>
      <c r="B227" s="139" t="e">
        <f aca="false">VLOOKUP(A227,'Управление и питание'!$A$5:$C$60,3,0)</f>
        <v>#N/A</v>
      </c>
      <c r="C227" s="140"/>
      <c r="D227" s="207"/>
      <c r="E227" s="196" t="e">
        <f aca="false">VLOOKUP(A227,'Управление и питание'!$A$5:$D$60,4,0)</f>
        <v>#N/A</v>
      </c>
      <c r="F227" s="141" t="e">
        <f aca="false">VLOOKUP(A227,'Управление и питание'!$A$5:$D$60,2,0)</f>
        <v>#N/A</v>
      </c>
      <c r="G227" s="208" t="str">
        <f aca="false">IF(C227&lt;=0,"не указано кол-во",F227*C227)</f>
        <v>не указано кол-во</v>
      </c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</row>
    <row r="228" customFormat="false" ht="17" hidden="false" customHeight="true" outlineLevel="0" collapsed="false">
      <c r="A228" s="206"/>
      <c r="B228" s="139" t="e">
        <f aca="false">VLOOKUP(A228,'Управление и питание'!$A$5:$C$60,3,0)</f>
        <v>#N/A</v>
      </c>
      <c r="C228" s="140"/>
      <c r="D228" s="207"/>
      <c r="E228" s="196" t="e">
        <f aca="false">VLOOKUP(A228,'Управление и питание'!$A$5:$D$60,4,0)</f>
        <v>#N/A</v>
      </c>
      <c r="F228" s="141" t="e">
        <f aca="false">VLOOKUP(A228,'Управление и питание'!$A$5:$D$60,2,0)</f>
        <v>#N/A</v>
      </c>
      <c r="G228" s="208" t="str">
        <f aca="false">IF(C228&lt;=0,"не указано кол-во",F228*C228)</f>
        <v>не указано кол-во</v>
      </c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</row>
    <row r="229" customFormat="false" ht="17" hidden="false" customHeight="true" outlineLevel="0" collapsed="false">
      <c r="A229" s="206"/>
      <c r="B229" s="139" t="e">
        <f aca="false">VLOOKUP(A229,'Управление и питание'!$A$5:$C$58,3,0)</f>
        <v>#N/A</v>
      </c>
      <c r="C229" s="140"/>
      <c r="D229" s="207"/>
      <c r="E229" s="196" t="e">
        <f aca="false">VLOOKUP(A229,'Управление и питание'!$A$5:$D$60,4,0)</f>
        <v>#N/A</v>
      </c>
      <c r="F229" s="141" t="e">
        <f aca="false">VLOOKUP(A229,'Управление и питание'!$A$5:$D$60,2,0)</f>
        <v>#N/A</v>
      </c>
      <c r="G229" s="208" t="str">
        <f aca="false">IF(C229&lt;=0,"не указано кол-во",F229*C229)</f>
        <v>не указано кол-во</v>
      </c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</row>
    <row r="230" customFormat="false" ht="17" hidden="false" customHeight="true" outlineLevel="0" collapsed="false">
      <c r="A230" s="206"/>
      <c r="B230" s="139" t="e">
        <f aca="false">VLOOKUP(A230,'Управление и питание'!$A$5:$C$60,3,0)</f>
        <v>#N/A</v>
      </c>
      <c r="C230" s="140"/>
      <c r="D230" s="207"/>
      <c r="E230" s="196" t="e">
        <f aca="false">VLOOKUP(A230,'Управление и питание'!$A$5:$D$60,4,0)</f>
        <v>#N/A</v>
      </c>
      <c r="F230" s="141" t="e">
        <f aca="false">VLOOKUP(A230,'Управление и питание'!$A$5:$D$60,2,0)</f>
        <v>#N/A</v>
      </c>
      <c r="G230" s="208" t="str">
        <f aca="false">IF(C230&lt;=0,"не указано кол-во",F230*C230)</f>
        <v>не указано кол-во</v>
      </c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</row>
    <row r="231" customFormat="false" ht="17" hidden="false" customHeight="true" outlineLevel="0" collapsed="false">
      <c r="A231" s="206"/>
      <c r="B231" s="139" t="e">
        <f aca="false">VLOOKUP(A231,'Управление и питание'!$A$5:$C$60,3,0)</f>
        <v>#N/A</v>
      </c>
      <c r="C231" s="140"/>
      <c r="D231" s="207"/>
      <c r="E231" s="196" t="e">
        <f aca="false">VLOOKUP(A231,'Управление и питание'!$A$5:$D$60,4,0)</f>
        <v>#N/A</v>
      </c>
      <c r="F231" s="141" t="e">
        <f aca="false">VLOOKUP(A231,'Управление и питание'!$A$5:$D$60,2,0)</f>
        <v>#N/A</v>
      </c>
      <c r="G231" s="208" t="str">
        <f aca="false">IF(C231&lt;=0,"не указано кол-во",F231*C231)</f>
        <v>не указано кол-во</v>
      </c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</row>
    <row r="232" customFormat="false" ht="17" hidden="false" customHeight="true" outlineLevel="0" collapsed="false">
      <c r="A232" s="206"/>
      <c r="B232" s="139" t="e">
        <f aca="false">VLOOKUP(A232,'Управление и питание'!$A$5:$C$60,3,0)</f>
        <v>#N/A</v>
      </c>
      <c r="C232" s="140"/>
      <c r="D232" s="207"/>
      <c r="E232" s="196" t="e">
        <f aca="false">VLOOKUP(A232,'Управление и питание'!$A$5:$D$60,4,0)</f>
        <v>#N/A</v>
      </c>
      <c r="F232" s="141" t="e">
        <f aca="false">VLOOKUP(A232,'Управление и питание'!$A$5:$D$60,2,0)</f>
        <v>#N/A</v>
      </c>
      <c r="G232" s="208" t="str">
        <f aca="false">IF(C232&lt;=0,"не указано кол-во",F232*C232)</f>
        <v>не указано кол-во</v>
      </c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</row>
    <row r="233" customFormat="false" ht="17" hidden="false" customHeight="true" outlineLevel="0" collapsed="false">
      <c r="A233" s="206"/>
      <c r="B233" s="139" t="e">
        <f aca="false">VLOOKUP(A233,'Управление и питание'!$A$5:$C$60,3,0)</f>
        <v>#N/A</v>
      </c>
      <c r="C233" s="140"/>
      <c r="D233" s="207"/>
      <c r="E233" s="196" t="e">
        <f aca="false">VLOOKUP(A233,'Управление и питание'!$A$5:$D$60,4,0)</f>
        <v>#N/A</v>
      </c>
      <c r="F233" s="141" t="e">
        <f aca="false">VLOOKUP(A233,'Управление и питание'!$A$5:$D$60,2,0)</f>
        <v>#N/A</v>
      </c>
      <c r="G233" s="208" t="str">
        <f aca="false">IF(C233&lt;=0,"не указано кол-во",F233*C233)</f>
        <v>не указано кол-во</v>
      </c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</row>
    <row r="234" customFormat="false" ht="8.5" hidden="false" customHeight="true" outlineLevel="0" collapsed="false">
      <c r="A234" s="95"/>
      <c r="B234" s="209"/>
      <c r="C234" s="210"/>
      <c r="D234" s="210"/>
      <c r="E234" s="210"/>
      <c r="F234" s="210"/>
      <c r="G234" s="210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</row>
    <row r="235" customFormat="false" ht="8.5" hidden="false" customHeight="true" outlineLevel="0" collapsed="false">
      <c r="A235" s="95"/>
      <c r="B235" s="209"/>
      <c r="C235" s="210"/>
      <c r="D235" s="210"/>
      <c r="E235" s="210"/>
      <c r="F235" s="210"/>
      <c r="G235" s="210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</row>
    <row r="236" customFormat="false" ht="23.7" hidden="false" customHeight="true" outlineLevel="0" collapsed="false">
      <c r="A236" s="211"/>
      <c r="B236" s="204" t="s">
        <v>138</v>
      </c>
      <c r="C236" s="204"/>
      <c r="D236" s="204"/>
      <c r="E236" s="204"/>
      <c r="F236" s="204"/>
      <c r="G236" s="204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</row>
    <row r="237" customFormat="false" ht="18.1" hidden="false" customHeight="true" outlineLevel="0" collapsed="false">
      <c r="A237" s="112" t="s">
        <v>91</v>
      </c>
      <c r="B237" s="113" t="s">
        <v>92</v>
      </c>
      <c r="C237" s="113"/>
      <c r="D237" s="114" t="s">
        <v>93</v>
      </c>
      <c r="E237" s="114"/>
      <c r="F237" s="114" t="s">
        <v>94</v>
      </c>
      <c r="G237" s="114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  <c r="AA237" s="151"/>
      <c r="AB237" s="151"/>
      <c r="AC237" s="151"/>
      <c r="AD237" s="151"/>
      <c r="AE237" s="151"/>
      <c r="AF237" s="151"/>
      <c r="AG237" s="151"/>
      <c r="AH237" s="151"/>
      <c r="AI237" s="151"/>
      <c r="AJ237" s="151"/>
      <c r="AK237" s="151"/>
      <c r="AL237" s="151"/>
      <c r="AM237" s="151"/>
      <c r="AN237" s="151"/>
      <c r="AO237" s="151"/>
      <c r="AP237" s="151"/>
      <c r="AQ237" s="151"/>
      <c r="AR237" s="151"/>
      <c r="AS237" s="151"/>
      <c r="AT237" s="151"/>
      <c r="AU237" s="151"/>
      <c r="AV237" s="151"/>
      <c r="AW237" s="151"/>
      <c r="AX237" s="151"/>
      <c r="AY237" s="151"/>
      <c r="AZ237" s="151"/>
      <c r="BA237" s="151"/>
      <c r="BB237" s="151"/>
      <c r="BC237" s="151"/>
      <c r="BD237" s="151"/>
      <c r="BE237" s="151"/>
      <c r="BF237" s="151"/>
      <c r="BG237" s="151"/>
      <c r="BH237" s="151"/>
      <c r="BI237" s="151"/>
      <c r="BJ237" s="151"/>
      <c r="BK237" s="151"/>
      <c r="BL237" s="151"/>
    </row>
    <row r="238" customFormat="false" ht="24.35" hidden="false" customHeight="true" outlineLevel="0" collapsed="false">
      <c r="A238" s="116" t="s">
        <v>139</v>
      </c>
      <c r="B238" s="212"/>
      <c r="C238" s="212"/>
      <c r="D238" s="212"/>
      <c r="E238" s="212"/>
      <c r="F238" s="212"/>
      <c r="G238" s="212"/>
      <c r="H238" s="212"/>
      <c r="I238" s="212"/>
      <c r="J238" s="212"/>
      <c r="K238" s="212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</row>
    <row r="239" customFormat="false" ht="32.45" hidden="true" customHeight="true" outlineLevel="0" collapsed="false">
      <c r="A239" s="213" t="s">
        <v>140</v>
      </c>
      <c r="B239" s="214" t="e">
        <f aca="false">VLOOKUP(B238,'данные ГЖ дерево_пластик'!$D$5:$E$53,2,0)</f>
        <v>#N/A</v>
      </c>
      <c r="C239" s="214" t="e">
        <f aca="false">VLOOKUP(C238,'данные ГЖ дерево_пластик'!$D$5:$E$53,2,0)</f>
        <v>#N/A</v>
      </c>
      <c r="D239" s="214" t="e">
        <f aca="false">VLOOKUP(D238,'данные ГЖ дерево_пластик'!$D$5:$E$53,2,0)</f>
        <v>#N/A</v>
      </c>
      <c r="E239" s="214" t="e">
        <f aca="false">VLOOKUP(E238,'данные ГЖ дерево_пластик'!$D$5:$E$53,2,0)</f>
        <v>#N/A</v>
      </c>
      <c r="F239" s="214" t="e">
        <f aca="false">VLOOKUP(F238,'данные ГЖ дерево_пластик'!$D$5:$E$53,2,0)</f>
        <v>#N/A</v>
      </c>
      <c r="G239" s="214" t="e">
        <f aca="false">VLOOKUP(G238,'данные ГЖ дерево_пластик'!$D$5:$E$53,2,0)</f>
        <v>#N/A</v>
      </c>
      <c r="H239" s="214" t="e">
        <f aca="false">VLOOKUP(H238,'данные ГЖ дерево_пластик'!$D$5:$E$53,2,0)</f>
        <v>#N/A</v>
      </c>
      <c r="I239" s="214" t="e">
        <f aca="false">VLOOKUP(I238,'данные ГЖ дерево_пластик'!$D$5:$E$53,2,0)</f>
        <v>#N/A</v>
      </c>
      <c r="J239" s="214" t="e">
        <f aca="false">VLOOKUP(J238,'данные ГЖ дерево_пластик'!$D$5:$E$53,2,0)</f>
        <v>#N/A</v>
      </c>
      <c r="K239" s="214" t="e">
        <f aca="false">VLOOKUP(K238,'данные ГЖ дерево_пластик'!$D$5:$E$53,2,0)</f>
        <v>#N/A</v>
      </c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</row>
    <row r="240" customFormat="false" ht="10.5" hidden="false" customHeight="true" outlineLevel="0" collapsed="false">
      <c r="A240" s="116" t="s">
        <v>141</v>
      </c>
      <c r="B240" s="215"/>
      <c r="C240" s="215"/>
      <c r="D240" s="215"/>
      <c r="E240" s="215"/>
      <c r="F240" s="215"/>
      <c r="G240" s="215"/>
      <c r="H240" s="216"/>
      <c r="I240" s="216"/>
      <c r="J240" s="216"/>
      <c r="K240" s="216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</row>
    <row r="241" customFormat="false" ht="10.5" hidden="true" customHeight="true" outlineLevel="0" collapsed="false">
      <c r="A241" s="217" t="s">
        <v>142</v>
      </c>
      <c r="B241" s="218" t="n">
        <f aca="false">IF(B247="ок",1,0)</f>
        <v>0</v>
      </c>
      <c r="C241" s="218" t="n">
        <f aca="false">IF(C247="ок",1,0)</f>
        <v>0</v>
      </c>
      <c r="D241" s="218" t="n">
        <f aca="false">IF(D247="ок",1,0)</f>
        <v>0</v>
      </c>
      <c r="E241" s="218" t="n">
        <f aca="false">IF(E247="ок",1,0)</f>
        <v>0</v>
      </c>
      <c r="F241" s="218" t="n">
        <f aca="false">IF(F247="ок",1,0)</f>
        <v>0</v>
      </c>
      <c r="G241" s="218" t="n">
        <f aca="false">IF(G247="ок",1,0)</f>
        <v>0</v>
      </c>
      <c r="H241" s="218" t="n">
        <f aca="false">IF(H247="ок",1,0)</f>
        <v>0</v>
      </c>
      <c r="I241" s="218" t="n">
        <f aca="false">IF(I247="ок",1,0)</f>
        <v>0</v>
      </c>
      <c r="J241" s="218" t="n">
        <f aca="false">IF(J247="ок",1,0)</f>
        <v>0</v>
      </c>
      <c r="K241" s="218" t="n">
        <f aca="false">IF(K247="ок",1,0)</f>
        <v>0</v>
      </c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</row>
    <row r="242" customFormat="false" ht="10.5" hidden="true" customHeight="true" outlineLevel="0" collapsed="false">
      <c r="A242" s="217" t="s">
        <v>143</v>
      </c>
      <c r="B242" s="219" t="e">
        <f aca="false">VLOOKUP(B238,'данные ГЖ дерево_пластик'!$D$5:$I$53,3,0)</f>
        <v>#N/A</v>
      </c>
      <c r="C242" s="219" t="e">
        <f aca="false">VLOOKUP(C238,'данные ГЖ дерево_пластик'!$D$5:$I$53,3,0)</f>
        <v>#N/A</v>
      </c>
      <c r="D242" s="219" t="e">
        <f aca="false">VLOOKUP(D238,'данные ГЖ дерево_пластик'!$D$5:$I$53,3,0)</f>
        <v>#N/A</v>
      </c>
      <c r="E242" s="219" t="e">
        <f aca="false">VLOOKUP(E238,'данные ГЖ дерево_пластик'!$D$5:$I$53,3,0)</f>
        <v>#N/A</v>
      </c>
      <c r="F242" s="219" t="e">
        <f aca="false">VLOOKUP(F238,'данные ГЖ дерево_пластик'!$D$5:$I$53,3,0)</f>
        <v>#N/A</v>
      </c>
      <c r="G242" s="219" t="e">
        <f aca="false">VLOOKUP(G238,'данные ГЖ дерево_пластик'!$D$5:$I$53,3,0)</f>
        <v>#N/A</v>
      </c>
      <c r="H242" s="219" t="e">
        <f aca="false">VLOOKUP(H238,'данные ГЖ дерево_пластик'!$D$5:$I$53,3,0)</f>
        <v>#N/A</v>
      </c>
      <c r="I242" s="219" t="e">
        <f aca="false">VLOOKUP(I238,'данные ГЖ дерево_пластик'!$D$5:$I$53,3,0)</f>
        <v>#N/A</v>
      </c>
      <c r="J242" s="219" t="e">
        <f aca="false">VLOOKUP(J238,'данные ГЖ дерево_пластик'!$D$5:$I$53,3,0)</f>
        <v>#N/A</v>
      </c>
      <c r="K242" s="219" t="e">
        <f aca="false">VLOOKUP(K238,'данные ГЖ дерево_пластик'!$D$5:$I$53,3,0)</f>
        <v>#N/A</v>
      </c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</row>
    <row r="243" customFormat="false" ht="10.5" hidden="true" customHeight="true" outlineLevel="0" collapsed="false">
      <c r="A243" s="217" t="s">
        <v>144</v>
      </c>
      <c r="B243" s="219" t="e">
        <f aca="false">VLOOKUP(B238,'данные ГЖ дерево_пластик'!$D$5:$I$53,4,0)</f>
        <v>#N/A</v>
      </c>
      <c r="C243" s="219" t="e">
        <f aca="false">VLOOKUP(C238,'данные ГЖ дерево_пластик'!$D$5:$I$53,4,0)</f>
        <v>#N/A</v>
      </c>
      <c r="D243" s="219" t="e">
        <f aca="false">VLOOKUP(D238,'данные ГЖ дерево_пластик'!$D$5:$I$53,4,0)</f>
        <v>#N/A</v>
      </c>
      <c r="E243" s="219" t="e">
        <f aca="false">VLOOKUP(E238,'данные ГЖ дерево_пластик'!$D$5:$I$53,4,0)</f>
        <v>#N/A</v>
      </c>
      <c r="F243" s="219" t="e">
        <f aca="false">VLOOKUP(F238,'данные ГЖ дерево_пластик'!$D$5:$I$53,4,0)</f>
        <v>#N/A</v>
      </c>
      <c r="G243" s="219" t="e">
        <f aca="false">VLOOKUP(G238,'данные ГЖ дерево_пластик'!$D$5:$I$53,4,0)</f>
        <v>#N/A</v>
      </c>
      <c r="H243" s="219" t="e">
        <f aca="false">VLOOKUP(H238,'данные ГЖ дерево_пластик'!$D$5:$I$53,4,0)</f>
        <v>#N/A</v>
      </c>
      <c r="I243" s="219" t="e">
        <f aca="false">VLOOKUP(I238,'данные ГЖ дерево_пластик'!$D$5:$I$53,4,0)</f>
        <v>#N/A</v>
      </c>
      <c r="J243" s="219" t="e">
        <f aca="false">VLOOKUP(J238,'данные ГЖ дерево_пластик'!$D$5:$I$53,4,0)</f>
        <v>#N/A</v>
      </c>
      <c r="K243" s="219" t="e">
        <f aca="false">VLOOKUP(K238,'данные ГЖ дерево_пластик'!$D$5:$I$53,4,0)</f>
        <v>#N/A</v>
      </c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</row>
    <row r="244" customFormat="false" ht="10.5" hidden="false" customHeight="true" outlineLevel="0" collapsed="false">
      <c r="A244" s="116" t="s">
        <v>145</v>
      </c>
      <c r="B244" s="215"/>
      <c r="C244" s="215"/>
      <c r="D244" s="215"/>
      <c r="E244" s="215"/>
      <c r="F244" s="215"/>
      <c r="G244" s="215"/>
      <c r="H244" s="220"/>
      <c r="I244" s="220"/>
      <c r="J244" s="220"/>
      <c r="K244" s="220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</row>
    <row r="245" customFormat="false" ht="10.5" hidden="true" customHeight="true" outlineLevel="0" collapsed="false">
      <c r="A245" s="115" t="s">
        <v>146</v>
      </c>
      <c r="B245" s="219" t="e">
        <f aca="false">VLOOKUP(B238,'данные ГЖ дерево_пластик'!$D$5:$I$53,5,0)</f>
        <v>#N/A</v>
      </c>
      <c r="C245" s="219" t="e">
        <f aca="false">VLOOKUP(C238,'данные ГЖ дерево_пластик'!$D$5:$I$53,5,0)</f>
        <v>#N/A</v>
      </c>
      <c r="D245" s="219" t="e">
        <f aca="false">VLOOKUP(D238,'данные ГЖ дерево_пластик'!$D$5:$I$53,5,0)</f>
        <v>#N/A</v>
      </c>
      <c r="E245" s="219" t="e">
        <f aca="false">VLOOKUP(E238,'данные ГЖ дерево_пластик'!$D$5:$I$53,5,0)</f>
        <v>#N/A</v>
      </c>
      <c r="F245" s="219" t="e">
        <f aca="false">VLOOKUP(F238,'данные ГЖ дерево_пластик'!$D$5:$I$53,5,0)</f>
        <v>#N/A</v>
      </c>
      <c r="G245" s="219" t="e">
        <f aca="false">VLOOKUP(G238,'данные ГЖ дерево_пластик'!$D$5:$I$53,5,0)</f>
        <v>#N/A</v>
      </c>
      <c r="H245" s="219" t="e">
        <f aca="false">VLOOKUP(H238,'данные ГЖ дерево_пластик'!$D$5:$I$53,5,0)</f>
        <v>#N/A</v>
      </c>
      <c r="I245" s="219" t="e">
        <f aca="false">VLOOKUP(I238,'данные ГЖ дерево_пластик'!$D$5:$I$53,5,0)</f>
        <v>#N/A</v>
      </c>
      <c r="J245" s="219" t="e">
        <f aca="false">VLOOKUP(J238,'данные ГЖ дерево_пластик'!$D$5:$I$53,5,0)</f>
        <v>#N/A</v>
      </c>
      <c r="K245" s="219" t="e">
        <f aca="false">VLOOKUP(K238,'данные ГЖ дерево_пластик'!$D$5:$I$53,5,0)</f>
        <v>#N/A</v>
      </c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</row>
    <row r="246" customFormat="false" ht="10.5" hidden="true" customHeight="true" outlineLevel="0" collapsed="false">
      <c r="A246" s="221" t="s">
        <v>147</v>
      </c>
      <c r="B246" s="209" t="n">
        <f aca="false">IF(B248="ок",1,0)</f>
        <v>0</v>
      </c>
      <c r="C246" s="209" t="n">
        <f aca="false">IF(C248="ок",1,0)</f>
        <v>0</v>
      </c>
      <c r="D246" s="209" t="n">
        <f aca="false">IF(D248="ок",1,0)</f>
        <v>0</v>
      </c>
      <c r="E246" s="209" t="n">
        <f aca="false">IF(E248="ок",1,0)</f>
        <v>0</v>
      </c>
      <c r="F246" s="209" t="n">
        <f aca="false">IF(F248="ок",1,0)</f>
        <v>0</v>
      </c>
      <c r="G246" s="209" t="n">
        <f aca="false">IF(G248="ок",1,0)</f>
        <v>0</v>
      </c>
      <c r="H246" s="209" t="n">
        <f aca="false">IF(H248="ок",1,0)</f>
        <v>0</v>
      </c>
      <c r="I246" s="209" t="n">
        <f aca="false">IF(I248="ок",1,0)</f>
        <v>0</v>
      </c>
      <c r="J246" s="209" t="n">
        <f aca="false">IF(J248="ок",1,0)</f>
        <v>0</v>
      </c>
      <c r="K246" s="209" t="n">
        <f aca="false">IF(K248="ок",1,0)</f>
        <v>0</v>
      </c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</row>
    <row r="247" customFormat="false" ht="10.5" hidden="false" customHeight="true" outlineLevel="0" collapsed="false">
      <c r="A247" s="221" t="s">
        <v>148</v>
      </c>
      <c r="B247" s="222" t="str">
        <f aca="false">_xlfn.IFS(B240="","",B240&lt;B242,"!!! д.б. свыше "&amp;B242,B240&gt;B243,"!!! д.б. меньше, чем "&amp;B243,1,"ок")</f>
        <v/>
      </c>
      <c r="C247" s="222" t="str">
        <f aca="false">_xlfn.IFS(C240="","",C240&lt;C242,"!!! д.б. свыше "&amp;C242,C240&gt;C243,"!!! д.б. меньше, чем "&amp;C243,1,"ок")</f>
        <v/>
      </c>
      <c r="D247" s="222" t="str">
        <f aca="false">_xlfn.IFS(D240="","",D240&lt;D242,"!!! д.б. свыше "&amp;D242,D240&gt;D243,"!!! д.б. меньше, чем "&amp;D243,1,"ок")</f>
        <v/>
      </c>
      <c r="E247" s="222" t="str">
        <f aca="false">_xlfn.IFS(E240="","",E240&lt;E242,"!!! д.б. свыше "&amp;E242,E240&gt;E243,"!!! д.б. меньше, чем "&amp;E243,1,"ок")</f>
        <v/>
      </c>
      <c r="F247" s="222" t="str">
        <f aca="false">_xlfn.IFS(F240="","",F240&lt;F242,"!!! д.б. свыше "&amp;F242,F240&gt;F243,"!!! д.б. меньше, чем "&amp;F243,1,"ок")</f>
        <v/>
      </c>
      <c r="G247" s="222" t="str">
        <f aca="false">_xlfn.IFS(G240="","",G240&lt;G242,"!!! д.б. свыше "&amp;G242,G240&gt;G243,"!!! д.б. меньше, чем "&amp;G243,1,"ок")</f>
        <v/>
      </c>
      <c r="H247" s="222" t="str">
        <f aca="false">_xlfn.IFS(H240="","",H240&lt;H242,"!!! д.б. свыше "&amp;H242,H240&gt;H243,"!!! д.б. меньше, чем "&amp;H243,1,"ок")</f>
        <v/>
      </c>
      <c r="I247" s="222" t="str">
        <f aca="false">_xlfn.IFS(I240="","",I240&lt;I242,"!!! д.б. свыше "&amp;I242,I240&gt;I243,"!!! д.б. меньше, чем "&amp;I243,1,"ок")</f>
        <v/>
      </c>
      <c r="J247" s="222" t="str">
        <f aca="false">_xlfn.IFS(J240="","",J240&lt;J242,"!!! д.б. свыше "&amp;J242,J240&gt;J243,"!!! д.б. меньше, чем "&amp;J243,1,"ок")</f>
        <v/>
      </c>
      <c r="K247" s="222" t="str">
        <f aca="false">_xlfn.IFS(K240="","",K240&lt;K242,"!!! д.б. свыше "&amp;K242,K240&gt;K243,"!!! д.б. меньше, чем "&amp;K243,1,"ок")</f>
        <v/>
      </c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</row>
    <row r="248" customFormat="false" ht="10.5" hidden="false" customHeight="true" outlineLevel="0" collapsed="false">
      <c r="A248" s="115" t="s">
        <v>149</v>
      </c>
      <c r="B248" s="223" t="str">
        <f aca="false">_xlfn.IFS(B244=0,"",B244&lt;=B245,"ок",B244&gt;B245,"!!! д.б. меньше, чем "&amp;B245)</f>
        <v/>
      </c>
      <c r="C248" s="223" t="str">
        <f aca="false">_xlfn.IFS(C244=0,"",C244&lt;=C245,"ок",C244&gt;C245,"!!! д.б. меньше, чем "&amp;C245)</f>
        <v/>
      </c>
      <c r="D248" s="223" t="str">
        <f aca="false">_xlfn.IFS(D244=0,"",D244&lt;=D245,"ок",D244&gt;D245,"!!! д.б. меньше, чем "&amp;D245)</f>
        <v/>
      </c>
      <c r="E248" s="223" t="str">
        <f aca="false">_xlfn.IFS(E244=0,"",E244&lt;=E245,"ок",E244&gt;E245,"!!! д.б. меньше, чем "&amp;E245)</f>
        <v/>
      </c>
      <c r="F248" s="223" t="str">
        <f aca="false">_xlfn.IFS(F244=0,"",F244&lt;=F245,"ок",F244&gt;F245,"!!! д.б. меньше, чем "&amp;F245)</f>
        <v/>
      </c>
      <c r="G248" s="223" t="str">
        <f aca="false">_xlfn.IFS(G244=0,"",G244&lt;=G245,"ок",G244&gt;G245,"!!! д.б. меньше, чем "&amp;G245)</f>
        <v/>
      </c>
      <c r="H248" s="223" t="str">
        <f aca="false">_xlfn.IFS(H244=0,"",H244&lt;=H245,"ок",H244&gt;H245,"!!! д.б. меньше, чем "&amp;H245)</f>
        <v/>
      </c>
      <c r="I248" s="223" t="str">
        <f aca="false">_xlfn.IFS(I244=0,"",I244&lt;=I245,"ок",I244&gt;I245,"!!! д.б. меньше, чем "&amp;I245)</f>
        <v/>
      </c>
      <c r="J248" s="223" t="str">
        <f aca="false">_xlfn.IFS(J244=0,"",J244&lt;=J245,"ок",J244&gt;J245,"!!! д.б. меньше, чем "&amp;J245)</f>
        <v/>
      </c>
      <c r="K248" s="223" t="str">
        <f aca="false">_xlfn.IFS(K244=0,"",K244&lt;=K245,"ок",K244&gt;K245,"!!! д.б. меньше, чем "&amp;K245)</f>
        <v/>
      </c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  <c r="AA248" s="151"/>
      <c r="AB248" s="151"/>
      <c r="AC248" s="151"/>
      <c r="AD248" s="151"/>
      <c r="AE248" s="151"/>
      <c r="AF248" s="151"/>
      <c r="AG248" s="151"/>
      <c r="AH248" s="151"/>
      <c r="AI248" s="151"/>
      <c r="AJ248" s="151"/>
      <c r="AK248" s="151"/>
      <c r="AL248" s="151"/>
      <c r="AM248" s="151"/>
      <c r="AN248" s="151"/>
      <c r="AO248" s="151"/>
      <c r="AP248" s="151"/>
      <c r="AQ248" s="151"/>
      <c r="AR248" s="151"/>
      <c r="AS248" s="151"/>
      <c r="AT248" s="151"/>
      <c r="AU248" s="151"/>
      <c r="AV248" s="151"/>
      <c r="AW248" s="151"/>
      <c r="AX248" s="151"/>
      <c r="AY248" s="151"/>
      <c r="AZ248" s="151"/>
      <c r="BA248" s="151"/>
      <c r="BB248" s="151"/>
      <c r="BC248" s="151"/>
      <c r="BD248" s="151"/>
      <c r="BE248" s="151"/>
      <c r="BF248" s="151"/>
      <c r="BG248" s="151"/>
      <c r="BH248" s="151"/>
      <c r="BI248" s="151"/>
      <c r="BJ248" s="151"/>
      <c r="BK248" s="151"/>
      <c r="BL248" s="151"/>
    </row>
    <row r="249" customFormat="false" ht="10.5" hidden="false" customHeight="true" outlineLevel="0" collapsed="false">
      <c r="A249" s="221" t="s">
        <v>150</v>
      </c>
      <c r="B249" s="224" t="n">
        <f aca="false">B240*B244</f>
        <v>0</v>
      </c>
      <c r="C249" s="224" t="n">
        <f aca="false">C240*C244</f>
        <v>0</v>
      </c>
      <c r="D249" s="224" t="n">
        <f aca="false">D240*D244</f>
        <v>0</v>
      </c>
      <c r="E249" s="224" t="n">
        <f aca="false">E240*E244</f>
        <v>0</v>
      </c>
      <c r="F249" s="224" t="n">
        <f aca="false">F240*F244</f>
        <v>0</v>
      </c>
      <c r="G249" s="224" t="n">
        <f aca="false">G240*G244</f>
        <v>0</v>
      </c>
      <c r="H249" s="224" t="n">
        <f aca="false">H240*H244</f>
        <v>0</v>
      </c>
      <c r="I249" s="224" t="n">
        <f aca="false">I240*I244</f>
        <v>0</v>
      </c>
      <c r="J249" s="224" t="n">
        <f aca="false">J240*J244</f>
        <v>0</v>
      </c>
      <c r="K249" s="224" t="n">
        <f aca="false">K240*K244</f>
        <v>0</v>
      </c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</row>
    <row r="250" customFormat="false" ht="10.5" hidden="true" customHeight="true" outlineLevel="0" collapsed="false">
      <c r="A250" s="221" t="s">
        <v>151</v>
      </c>
      <c r="B250" s="225" t="e">
        <f aca="false">VLOOKUP(B238,'данные ГЖ дерево_пластик'!$D$5:$I$53,6,0)</f>
        <v>#N/A</v>
      </c>
      <c r="C250" s="225" t="e">
        <f aca="false">VLOOKUP(C238,'данные ГЖ дерево_пластик'!$D$5:$I$53,6,0)</f>
        <v>#N/A</v>
      </c>
      <c r="D250" s="225" t="e">
        <f aca="false">VLOOKUP(D238,'данные ГЖ дерево_пластик'!$D$5:$I$53,6,0)</f>
        <v>#N/A</v>
      </c>
      <c r="E250" s="225" t="e">
        <f aca="false">VLOOKUP(E238,'данные ГЖ дерево_пластик'!$D$5:$I$53,6,0)</f>
        <v>#N/A</v>
      </c>
      <c r="F250" s="225" t="e">
        <f aca="false">VLOOKUP(F238,'данные ГЖ дерево_пластик'!$D$5:$I$53,6,0)</f>
        <v>#N/A</v>
      </c>
      <c r="G250" s="225" t="e">
        <f aca="false">VLOOKUP(G238,'данные ГЖ дерево_пластик'!$D$5:$I$53,6,0)</f>
        <v>#N/A</v>
      </c>
      <c r="H250" s="225" t="e">
        <f aca="false">VLOOKUP(H238,'данные ГЖ дерево_пластик'!$D$5:$I$53,6,0)</f>
        <v>#N/A</v>
      </c>
      <c r="I250" s="225" t="e">
        <f aca="false">VLOOKUP(I238,'данные ГЖ дерево_пластик'!$D$5:$I$53,6,0)</f>
        <v>#N/A</v>
      </c>
      <c r="J250" s="225" t="e">
        <f aca="false">VLOOKUP(J238,'данные ГЖ дерево_пластик'!$D$5:$I$53,6,0)</f>
        <v>#N/A</v>
      </c>
      <c r="K250" s="225" t="e">
        <f aca="false">VLOOKUP(K238,'данные ГЖ дерево_пластик'!$D$5:$I$53,6,0)</f>
        <v>#N/A</v>
      </c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</row>
    <row r="251" customFormat="false" ht="10.5" hidden="false" customHeight="true" outlineLevel="0" collapsed="false">
      <c r="A251" s="221" t="s">
        <v>152</v>
      </c>
      <c r="B251" s="224" t="str">
        <f aca="false">_xlfn.IFS(B249=0,"",B249&lt;B250,"ок",B249&gt;B250,"!!! д.б. меньше, чем "&amp;B250)</f>
        <v/>
      </c>
      <c r="C251" s="224" t="str">
        <f aca="false">_xlfn.IFS(C249=0,"",C249&lt;C250,"ок",C249&gt;C250,"!!! д.б. меньше, чем "&amp;C250)</f>
        <v/>
      </c>
      <c r="D251" s="224" t="str">
        <f aca="false">_xlfn.IFS(D249=0,"",D249&lt;D250,"ок",D249&gt;D250,"!!! д.б. меньше, чем "&amp;D250)</f>
        <v/>
      </c>
      <c r="E251" s="224" t="str">
        <f aca="false">_xlfn.IFS(E249=0,"",E249&lt;E250,"ок",E249&gt;E250,"!!! д.б. меньше, чем "&amp;E250)</f>
        <v/>
      </c>
      <c r="F251" s="224" t="str">
        <f aca="false">_xlfn.IFS(F249=0,"",F249&lt;F250,"ок",F249&gt;F250,"!!! д.б. меньше, чем "&amp;F250)</f>
        <v/>
      </c>
      <c r="G251" s="224" t="str">
        <f aca="false">_xlfn.IFS(G249=0,"",G249&lt;G250,"ок",G249&gt;G250,"!!! д.б. меньше, чем "&amp;G250)</f>
        <v/>
      </c>
      <c r="H251" s="224" t="str">
        <f aca="false">_xlfn.IFS(H249=0,"",H249&lt;H250,"ок",H249&gt;H250,"!!! д.б. меньше, чем "&amp;H250)</f>
        <v/>
      </c>
      <c r="I251" s="224" t="str">
        <f aca="false">_xlfn.IFS(I249=0,"",I249&lt;I250,"ок",I249&gt;I250,"!!! д.б. меньше, чем "&amp;I250)</f>
        <v/>
      </c>
      <c r="J251" s="224" t="str">
        <f aca="false">_xlfn.IFS(J249=0,"",J249&lt;J250,"ок",J249&gt;J250,"!!! д.б. меньше, чем "&amp;J250)</f>
        <v/>
      </c>
      <c r="K251" s="224" t="str">
        <f aca="false">_xlfn.IFS(K249=0,"",K249&lt;K250,"ок",K249&gt;K250,"!!! д.б. меньше, чем "&amp;K250)</f>
        <v/>
      </c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</row>
    <row r="252" customFormat="false" ht="10.5" hidden="true" customHeight="true" outlineLevel="0" collapsed="false">
      <c r="A252" s="221" t="s">
        <v>153</v>
      </c>
      <c r="B252" s="225" t="n">
        <f aca="false">IF(B251="ок",1,0)</f>
        <v>0</v>
      </c>
      <c r="C252" s="225" t="n">
        <f aca="false">IF(C251="ок",1,0)</f>
        <v>0</v>
      </c>
      <c r="D252" s="225" t="n">
        <f aca="false">IF(D251="ок",1,0)</f>
        <v>0</v>
      </c>
      <c r="E252" s="225" t="n">
        <f aca="false">IF(E251="ок",1,0)</f>
        <v>0</v>
      </c>
      <c r="F252" s="225" t="n">
        <f aca="false">IF(F251="ок",1,0)</f>
        <v>0</v>
      </c>
      <c r="G252" s="225" t="n">
        <f aca="false">IF(G251="ок",1,0)</f>
        <v>0</v>
      </c>
      <c r="H252" s="225" t="n">
        <f aca="false">IF(H251="ок",1,0)</f>
        <v>0</v>
      </c>
      <c r="I252" s="225" t="n">
        <f aca="false">IF(I251="ок",1,0)</f>
        <v>0</v>
      </c>
      <c r="J252" s="225" t="n">
        <f aca="false">IF(J251="ок",1,0)</f>
        <v>0</v>
      </c>
      <c r="K252" s="225" t="n">
        <f aca="false">IF(K251="ок",1,0)</f>
        <v>0</v>
      </c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</row>
    <row r="253" customFormat="false" ht="10.5" hidden="true" customHeight="true" outlineLevel="0" collapsed="false">
      <c r="A253" s="221" t="s">
        <v>154</v>
      </c>
      <c r="B253" s="225" t="n">
        <f aca="false">B241+B246+B252</f>
        <v>0</v>
      </c>
      <c r="C253" s="225" t="n">
        <f aca="false">C241+C246+C252</f>
        <v>0</v>
      </c>
      <c r="D253" s="225" t="n">
        <f aca="false">D241+D246+D252</f>
        <v>0</v>
      </c>
      <c r="E253" s="225" t="n">
        <f aca="false">E241+E246+E252</f>
        <v>0</v>
      </c>
      <c r="F253" s="225" t="n">
        <f aca="false">F241+F246+F252</f>
        <v>0</v>
      </c>
      <c r="G253" s="225" t="n">
        <f aca="false">G241+G246+G252</f>
        <v>0</v>
      </c>
      <c r="H253" s="225" t="n">
        <f aca="false">H241+H246+H252</f>
        <v>0</v>
      </c>
      <c r="I253" s="225" t="n">
        <f aca="false">I241+I246+I252</f>
        <v>0</v>
      </c>
      <c r="J253" s="225" t="n">
        <f aca="false">J241+J246+J252</f>
        <v>0</v>
      </c>
      <c r="K253" s="225" t="n">
        <f aca="false">K241+K246+K252</f>
        <v>0</v>
      </c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</row>
    <row r="254" customFormat="false" ht="10.5" hidden="false" customHeight="true" outlineLevel="0" collapsed="false">
      <c r="A254" s="221" t="s">
        <v>155</v>
      </c>
      <c r="B254" s="226" t="str">
        <f aca="false">IF(B253=3,"ОК","НЕДОПУСТИМЫЙ РАЗМЕР")</f>
        <v>НЕДОПУСТИМЫЙ РАЗМЕР</v>
      </c>
      <c r="C254" s="226" t="str">
        <f aca="false">IF(C253=3,"ОК","НЕДОПУСТИМЫЙ РАЗМЕР")</f>
        <v>НЕДОПУСТИМЫЙ РАЗМЕР</v>
      </c>
      <c r="D254" s="226" t="str">
        <f aca="false">IF(D253=3,"ОК","НЕДОПУСТИМЫЙ РАЗМЕР")</f>
        <v>НЕДОПУСТИМЫЙ РАЗМЕР</v>
      </c>
      <c r="E254" s="226" t="str">
        <f aca="false">IF(E253=3,"ОК","НЕДОПУСТИМЫЙ РАЗМЕР")</f>
        <v>НЕДОПУСТИМЫЙ РАЗМЕР</v>
      </c>
      <c r="F254" s="226" t="str">
        <f aca="false">IF(F253=3,"ОК","НЕДОПУСТИМЫЙ РАЗМЕР")</f>
        <v>НЕДОПУСТИМЫЙ РАЗМЕР</v>
      </c>
      <c r="G254" s="226" t="str">
        <f aca="false">IF(G253=3,"ОК","НЕДОПУСТИМЫЙ РАЗМЕР")</f>
        <v>НЕДОПУСТИМЫЙ РАЗМЕР</v>
      </c>
      <c r="H254" s="226" t="str">
        <f aca="false">IF(H253=3,"ОК","НЕДОПУСТИМЫЙ РАЗМЕР")</f>
        <v>НЕДОПУСТИМЫЙ РАЗМЕР</v>
      </c>
      <c r="I254" s="226" t="str">
        <f aca="false">IF(I253=3,"ОК","НЕДОПУСТИМЫЙ РАЗМЕР")</f>
        <v>НЕДОПУСТИМЫЙ РАЗМЕР</v>
      </c>
      <c r="J254" s="226" t="str">
        <f aca="false">IF(J253=3,"ОК","НЕДОПУСТИМЫЙ РАЗМЕР")</f>
        <v>НЕДОПУСТИМЫЙ РАЗМЕР</v>
      </c>
      <c r="K254" s="226" t="str">
        <f aca="false">IF(K253=3,"ОК","НЕДОПУСТИМЫЙ РАЗМЕР")</f>
        <v>НЕДОПУСТИМЫЙ РАЗМЕР</v>
      </c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</row>
    <row r="255" customFormat="false" ht="10.5" hidden="true" customHeight="true" outlineLevel="0" collapsed="false">
      <c r="A255" s="221" t="s">
        <v>156</v>
      </c>
      <c r="B255" s="227" t="n">
        <v>500</v>
      </c>
      <c r="C255" s="227" t="n">
        <v>500</v>
      </c>
      <c r="D255" s="227" t="n">
        <v>500</v>
      </c>
      <c r="E255" s="227" t="n">
        <v>500</v>
      </c>
      <c r="F255" s="227" t="n">
        <v>500</v>
      </c>
      <c r="G255" s="227" t="n">
        <v>500</v>
      </c>
      <c r="H255" s="227" t="n">
        <v>500</v>
      </c>
      <c r="I255" s="227" t="n">
        <v>500</v>
      </c>
      <c r="J255" s="227" t="n">
        <v>500</v>
      </c>
      <c r="K255" s="227" t="n">
        <v>500</v>
      </c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</row>
    <row r="256" customFormat="false" ht="10.5" hidden="true" customHeight="true" outlineLevel="0" collapsed="false">
      <c r="A256" s="182" t="s">
        <v>157</v>
      </c>
      <c r="B256" s="228" t="e">
        <f aca="false">ROUNDUP(VLOOKUP(B238,'данные ГЖ дерево_пластик'!$D$5:$M$53,10,0),0)</f>
        <v>#N/A</v>
      </c>
      <c r="C256" s="228" t="e">
        <f aca="false">ROUNDUP(VLOOKUP(C238,'данные ГЖ дерево_пластик'!$D$5:$M$53,10,0),0)</f>
        <v>#N/A</v>
      </c>
      <c r="D256" s="228" t="e">
        <f aca="false">ROUNDUP(VLOOKUP(D238,'данные ГЖ дерево_пластик'!$D$5:$M$53,10,0),0)</f>
        <v>#N/A</v>
      </c>
      <c r="E256" s="228" t="e">
        <f aca="false">ROUNDUP(VLOOKUP(E238,'данные ГЖ дерево_пластик'!$D$5:$M$53,10,0),0)</f>
        <v>#N/A</v>
      </c>
      <c r="F256" s="228" t="e">
        <f aca="false">ROUNDUP(VLOOKUP(F238,'данные ГЖ дерево_пластик'!$D$5:$M$53,10,0),0)</f>
        <v>#N/A</v>
      </c>
      <c r="G256" s="228" t="e">
        <f aca="false">ROUNDUP(VLOOKUP(G238,'данные ГЖ дерево_пластик'!$D$5:$M$53,10,0),0)</f>
        <v>#N/A</v>
      </c>
      <c r="H256" s="228" t="e">
        <f aca="false">ROUNDUP(VLOOKUP(H238,'данные ГЖ дерево_пластик'!$D$5:$M$53,10,0),0)</f>
        <v>#N/A</v>
      </c>
      <c r="I256" s="228" t="e">
        <f aca="false">ROUNDUP(VLOOKUP(I238,'данные ГЖ дерево_пластик'!$D$5:$M$53,10,0),0)</f>
        <v>#N/A</v>
      </c>
      <c r="J256" s="228" t="e">
        <f aca="false">ROUNDUP(VLOOKUP(J238,'данные ГЖ дерево_пластик'!$D$5:$M$53,10,0),0)</f>
        <v>#N/A</v>
      </c>
      <c r="K256" s="228" t="e">
        <f aca="false">ROUNDUP(VLOOKUP(K238,'данные ГЖ дерево_пластик'!$D$5:$M$53,10,0),0)</f>
        <v>#N/A</v>
      </c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</row>
    <row r="257" customFormat="false" ht="20.6" hidden="false" customHeight="true" outlineLevel="0" collapsed="false">
      <c r="A257" s="229" t="s">
        <v>158</v>
      </c>
      <c r="B257" s="230" t="str">
        <f aca="false">IF(B254="ОК",IF(B249&gt;1,(B256*B249)+B255,B256),"недопустимый размер")</f>
        <v>недопустимый размер</v>
      </c>
      <c r="C257" s="230" t="str">
        <f aca="false">IF(C254="ОК",IF(C249&gt;1,(C256*C249)+C255,C256),"недопустимый размер")</f>
        <v>недопустимый размер</v>
      </c>
      <c r="D257" s="230" t="str">
        <f aca="false">IF(D254="ОК",IF(D249&gt;1,(D256*D249)+D255,D256),"недопустимый размер")</f>
        <v>недопустимый размер</v>
      </c>
      <c r="E257" s="230" t="str">
        <f aca="false">IF(E254="ОК",IF(E249&gt;1,(E256*E249)+E255,E256),"недопустимый размер")</f>
        <v>недопустимый размер</v>
      </c>
      <c r="F257" s="230" t="str">
        <f aca="false">IF(F254="ОК",IF(F249&gt;1,(F256*F249)+F255,F256),"недопустимый размер")</f>
        <v>недопустимый размер</v>
      </c>
      <c r="G257" s="230" t="str">
        <f aca="false">IF(G254="ОК",IF(G249&gt;1,(G256*G249)+G255,G256),"недопустимый размер")</f>
        <v>недопустимый размер</v>
      </c>
      <c r="H257" s="230" t="str">
        <f aca="false">IF(H254="ОК",IF(H249&gt;1,(H256*H249)+H255,H256),"недопустимый размер")</f>
        <v>недопустимый размер</v>
      </c>
      <c r="I257" s="230" t="str">
        <f aca="false">IF(I254="ОК",IF(I249&gt;1,(I256*I249)+I255,I256),"недопустимый размер")</f>
        <v>недопустимый размер</v>
      </c>
      <c r="J257" s="230" t="str">
        <f aca="false">IF(J254="ОК",IF(J249&gt;1,(J256*J249)+J255,J256),"недопустимый размер")</f>
        <v>недопустимый размер</v>
      </c>
      <c r="K257" s="230" t="str">
        <f aca="false">IF(K254="ОК",IF(K249&gt;1,(K256*K249)+K255,K256),"недопустимый размер")</f>
        <v>недопустимый размер</v>
      </c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</row>
    <row r="258" customFormat="false" ht="10.5" hidden="false" customHeight="true" outlineLevel="0" collapsed="false">
      <c r="A258" s="221" t="s">
        <v>159</v>
      </c>
      <c r="B258" s="231" t="e">
        <f aca="false">IF(B254="ОК","",(B256*B249)+B255)</f>
        <v>#N/A</v>
      </c>
      <c r="C258" s="231" t="e">
        <f aca="false">IF(C254="ОК","",(C256*C249)+C255)</f>
        <v>#N/A</v>
      </c>
      <c r="D258" s="231" t="e">
        <f aca="false">IF(D254="ОК","",(D256*D249)+D255)</f>
        <v>#N/A</v>
      </c>
      <c r="E258" s="231" t="e">
        <f aca="false">IF(E254="ОК","",(E256*E249)+E255)</f>
        <v>#N/A</v>
      </c>
      <c r="F258" s="231" t="e">
        <f aca="false">IF(F254="ОК","",(F256*F249)+F255)</f>
        <v>#N/A</v>
      </c>
      <c r="G258" s="231" t="e">
        <f aca="false">IF(G254="ОК","",(G256*G249)+G255)</f>
        <v>#N/A</v>
      </c>
      <c r="H258" s="231" t="e">
        <f aca="false">IF(H254="ОК","",(H256*H249)+H255)</f>
        <v>#N/A</v>
      </c>
      <c r="I258" s="231" t="e">
        <f aca="false">IF(I254="ОК","",(I256*I249)+I255)</f>
        <v>#N/A</v>
      </c>
      <c r="J258" s="231" t="e">
        <f aca="false">IF(J254="ОК","",(J256*J249)+J255)</f>
        <v>#N/A</v>
      </c>
      <c r="K258" s="231" t="e">
        <f aca="false">IF(K254="ОК","",(K256*K249)+K255)</f>
        <v>#N/A</v>
      </c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</row>
    <row r="259" customFormat="false" ht="10.5" hidden="false" customHeight="true" outlineLevel="0" collapsed="false">
      <c r="A259" s="221"/>
      <c r="B259" s="232"/>
      <c r="C259" s="233"/>
      <c r="D259" s="233"/>
      <c r="E259" s="233"/>
      <c r="F259" s="233"/>
      <c r="G259" s="233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</row>
    <row r="260" customFormat="false" ht="12.45" hidden="false" customHeight="true" outlineLevel="0" collapsed="false">
      <c r="A260" s="234" t="s">
        <v>160</v>
      </c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</row>
    <row r="261" customFormat="false" ht="10.5" hidden="false" customHeight="true" outlineLevel="0" collapsed="false">
      <c r="A261" s="221" t="s">
        <v>161</v>
      </c>
      <c r="B261" s="236" t="n">
        <f aca="false">IF(B260="Да",ROUNDUP(B249,0)*'данные ГЖ дерево_пластик'!$M$55)</f>
        <v>0</v>
      </c>
      <c r="C261" s="236" t="n">
        <f aca="false">IF(C260="Да",ROUNDUP(C249,0)*'данные ГЖ дерево_пластик'!$M$55)</f>
        <v>0</v>
      </c>
      <c r="D261" s="236" t="n">
        <f aca="false">IF(D260="Да",ROUNDUP(D249,0)*'данные ГЖ дерево_пластик'!$M$55)</f>
        <v>0</v>
      </c>
      <c r="E261" s="236" t="n">
        <f aca="false">IF(E260="Да",ROUNDUP(E249,0)*'данные ГЖ дерево_пластик'!$M$55)</f>
        <v>0</v>
      </c>
      <c r="F261" s="236" t="n">
        <f aca="false">IF(F260="Да",ROUNDUP(F249,0)*'данные ГЖ дерево_пластик'!$M$55)</f>
        <v>0</v>
      </c>
      <c r="G261" s="236" t="n">
        <f aca="false">IF(G260="Да",ROUNDUP(G249,0)*'данные ГЖ дерево_пластик'!$M$55)</f>
        <v>0</v>
      </c>
      <c r="H261" s="236" t="n">
        <f aca="false">IF(H260="Да",ROUNDUP(H249,0)*'данные ГЖ дерево_пластик'!$M$55)</f>
        <v>0</v>
      </c>
      <c r="I261" s="236" t="n">
        <f aca="false">IF(I260="Да",ROUNDUP(I249,0)*'данные ГЖ дерево_пластик'!$M$55)</f>
        <v>0</v>
      </c>
      <c r="J261" s="236" t="n">
        <f aca="false">IF(J260="Да",ROUNDUP(J249,0)*'данные ГЖ дерево_пластик'!$M$55)</f>
        <v>0</v>
      </c>
      <c r="K261" s="236" t="n">
        <f aca="false">IF(K260="Да",ROUNDUP(K249,0)*'данные ГЖ дерево_пластик'!$M$55)</f>
        <v>0</v>
      </c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</row>
    <row r="262" customFormat="false" ht="10.5" hidden="false" customHeight="true" outlineLevel="0" collapsed="false">
      <c r="A262" s="217" t="s">
        <v>162</v>
      </c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</row>
    <row r="263" customFormat="false" ht="10.5" hidden="false" customHeight="true" outlineLevel="0" collapsed="false">
      <c r="A263" s="221" t="s">
        <v>163</v>
      </c>
      <c r="B263" s="237" t="n">
        <f aca="false">IF(B262="Да",'данные ГЖ дерево_пластик'!$M$56+('данные ГЖ дерево_пластик'!$M$57*ROUNDUP(B249,0)),0)</f>
        <v>0</v>
      </c>
      <c r="C263" s="237" t="n">
        <f aca="false">IF(C262="Да",'данные ГЖ дерево_пластик'!$M$56+('данные ГЖ дерево_пластик'!$M$57*ROUNDUP(C249,0)),0)</f>
        <v>0</v>
      </c>
      <c r="D263" s="237" t="n">
        <f aca="false">IF(D262="Да",'данные ГЖ дерево_пластик'!$M$56+('данные ГЖ дерево_пластик'!$M$57*ROUNDUP(D249,0)),0)</f>
        <v>0</v>
      </c>
      <c r="E263" s="237" t="n">
        <f aca="false">IF(E262="Да",'данные ГЖ дерево_пластик'!$M$56+('данные ГЖ дерево_пластик'!$M$57*ROUNDUP(E249,0)),0)</f>
        <v>0</v>
      </c>
      <c r="F263" s="237" t="n">
        <f aca="false">IF(F262="Да",'данные ГЖ дерево_пластик'!$M$56+('данные ГЖ дерево_пластик'!$M$57*ROUNDUP(F249,0)),0)</f>
        <v>0</v>
      </c>
      <c r="G263" s="237" t="n">
        <f aca="false">IF(G262="Да",'данные ГЖ дерево_пластик'!$M$56+('данные ГЖ дерево_пластик'!$M$57*ROUNDUP(G249,0)),0)</f>
        <v>0</v>
      </c>
      <c r="H263" s="237" t="n">
        <f aca="false">IF(H262="Да",'данные ГЖ дерево_пластик'!$M$56+('данные ГЖ дерево_пластик'!$M$57*ROUNDUP(H249,0)),0)</f>
        <v>0</v>
      </c>
      <c r="I263" s="237" t="n">
        <f aca="false">IF(I262="Да",'данные ГЖ дерево_пластик'!$M$56+('данные ГЖ дерево_пластик'!$M$57*ROUNDUP(I249,0)),0)</f>
        <v>0</v>
      </c>
      <c r="J263" s="237" t="n">
        <f aca="false">IF(J262="Да",'данные ГЖ дерево_пластик'!$M$56+('данные ГЖ дерево_пластик'!$M$57*ROUNDUP(J249,0)),0)</f>
        <v>0</v>
      </c>
      <c r="K263" s="237" t="n">
        <f aca="false">IF(K262="Да",'данные ГЖ дерево_пластик'!$M$56+('данные ГЖ дерево_пластик'!$M$57*ROUNDUP(K249,0)),0)</f>
        <v>0</v>
      </c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</row>
    <row r="264" customFormat="false" ht="20.6" hidden="false" customHeight="true" outlineLevel="0" collapsed="false">
      <c r="A264" s="238" t="s">
        <v>164</v>
      </c>
      <c r="B264" s="239" t="e">
        <f aca="false">ROUNDUP(B257+B261+B263,0)+B255</f>
        <v>#VALUE!</v>
      </c>
      <c r="C264" s="239" t="e">
        <f aca="false">ROUNDUP(C257+C261+C263,0)+C255</f>
        <v>#VALUE!</v>
      </c>
      <c r="D264" s="239" t="e">
        <f aca="false">ROUNDUP(D257+D261+D263,0)+D255</f>
        <v>#VALUE!</v>
      </c>
      <c r="E264" s="239" t="e">
        <f aca="false">ROUNDUP(E257+E261+E263,0)+E255</f>
        <v>#VALUE!</v>
      </c>
      <c r="F264" s="239" t="e">
        <f aca="false">ROUNDUP(F257+F261+F263,0)+F255</f>
        <v>#VALUE!</v>
      </c>
      <c r="G264" s="239" t="e">
        <f aca="false">ROUNDUP(G257+G261+G263,0)+G255</f>
        <v>#VALUE!</v>
      </c>
      <c r="H264" s="239" t="e">
        <f aca="false">ROUNDUP(H257+H261+H263,0)+H255</f>
        <v>#VALUE!</v>
      </c>
      <c r="I264" s="239" t="e">
        <f aca="false">ROUNDUP(I257+I261+I263,0)+I255</f>
        <v>#VALUE!</v>
      </c>
      <c r="J264" s="239" t="e">
        <f aca="false">ROUNDUP(J257+J261+J263,0)+J255</f>
        <v>#VALUE!</v>
      </c>
      <c r="K264" s="239" t="e">
        <f aca="false">ROUNDUP(K257+K261+K263,0)+K255</f>
        <v>#VALUE!</v>
      </c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</row>
    <row r="265" customFormat="false" ht="10.5" hidden="false" customHeight="true" outlineLevel="0" collapsed="false">
      <c r="A265" s="0"/>
      <c r="B265" s="225"/>
      <c r="C265" s="233"/>
      <c r="D265" s="233"/>
      <c r="E265" s="233"/>
      <c r="F265" s="233"/>
      <c r="G265" s="233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</row>
    <row r="266" customFormat="false" ht="10.5" hidden="false" customHeight="true" outlineLevel="0" collapsed="false">
      <c r="A266" s="217" t="s">
        <v>165</v>
      </c>
      <c r="B266" s="240"/>
      <c r="C266" s="240" t="s">
        <v>166</v>
      </c>
      <c r="D266" s="240" t="s">
        <v>166</v>
      </c>
      <c r="E266" s="240" t="s">
        <v>166</v>
      </c>
      <c r="F266" s="240" t="s">
        <v>166</v>
      </c>
      <c r="G266" s="240" t="s">
        <v>166</v>
      </c>
      <c r="H266" s="240" t="s">
        <v>166</v>
      </c>
      <c r="I266" s="240" t="s">
        <v>166</v>
      </c>
      <c r="J266" s="240" t="s">
        <v>166</v>
      </c>
      <c r="K266" s="240" t="s">
        <v>166</v>
      </c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</row>
    <row r="267" customFormat="false" ht="14.95" hidden="true" customHeight="true" outlineLevel="0" collapsed="false">
      <c r="A267" s="241" t="s">
        <v>167</v>
      </c>
      <c r="B267" s="218" t="e">
        <f aca="false">VLOOKUP(B266,'данные ГЖ дерево_пластик'!$D$60:$E$73,2,0)</f>
        <v>#N/A</v>
      </c>
      <c r="C267" s="218" t="e">
        <f aca="false">VLOOKUP(C266,'данные ГЖ дерево_пластик'!$D$60:$E$73,2,0)</f>
        <v>#N/A</v>
      </c>
      <c r="D267" s="218" t="e">
        <f aca="false">VLOOKUP(D266,'данные ГЖ дерево_пластик'!$D$60:$E$73,2,0)</f>
        <v>#N/A</v>
      </c>
      <c r="E267" s="218" t="e">
        <f aca="false">VLOOKUP(E266,'данные ГЖ дерево_пластик'!$D$60:$E$73,2,0)</f>
        <v>#N/A</v>
      </c>
      <c r="F267" s="218" t="e">
        <f aca="false">VLOOKUP(F266,'данные ГЖ дерево_пластик'!$D$60:$E$73,2,0)</f>
        <v>#N/A</v>
      </c>
      <c r="G267" s="218" t="e">
        <f aca="false">VLOOKUP(G266,'данные ГЖ дерево_пластик'!$D$60:$E$73,2,0)</f>
        <v>#N/A</v>
      </c>
      <c r="H267" s="218" t="e">
        <f aca="false">VLOOKUP(H266,'данные ГЖ дерево_пластик'!$D$60:$E$73,2,0)</f>
        <v>#N/A</v>
      </c>
      <c r="I267" s="218" t="e">
        <f aca="false">VLOOKUP(I266,'данные ГЖ дерево_пластик'!$D$60:$E$73,2,0)</f>
        <v>#N/A</v>
      </c>
      <c r="J267" s="218" t="e">
        <f aca="false">VLOOKUP(J266,'данные ГЖ дерево_пластик'!$D$60:$E$73,2,0)</f>
        <v>#N/A</v>
      </c>
      <c r="K267" s="218" t="e">
        <f aca="false">VLOOKUP(K266,'данные ГЖ дерево_пластик'!$D$60:$E$73,2,0)</f>
        <v>#N/A</v>
      </c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  <c r="BH267" s="95"/>
      <c r="BI267" s="95"/>
      <c r="BJ267" s="95"/>
      <c r="BK267" s="95"/>
      <c r="BL267" s="95"/>
    </row>
    <row r="268" customFormat="false" ht="10.5" hidden="false" customHeight="true" outlineLevel="0" collapsed="false">
      <c r="A268" s="221" t="s">
        <v>168</v>
      </c>
      <c r="B268" s="237" t="e">
        <f aca="false">VLOOKUP(B266,'данные ГЖ дерево_пластик'!$D$60:$M$71,10,0)</f>
        <v>#N/A</v>
      </c>
      <c r="C268" s="237" t="e">
        <f aca="false">VLOOKUP(C266,'данные ГЖ дерево_пластик'!$D$60:$M$71,10,0)</f>
        <v>#N/A</v>
      </c>
      <c r="D268" s="237" t="e">
        <f aca="false">VLOOKUP(D266,'данные ГЖ дерево_пластик'!$D$60:$M$71,10,0)</f>
        <v>#N/A</v>
      </c>
      <c r="E268" s="237" t="e">
        <f aca="false">VLOOKUP(E266,'данные ГЖ дерево_пластик'!$D$60:$M$71,10,0)</f>
        <v>#N/A</v>
      </c>
      <c r="F268" s="237" t="e">
        <f aca="false">VLOOKUP(F266,'данные ГЖ дерево_пластик'!$D$60:$M$71,10,0)</f>
        <v>#N/A</v>
      </c>
      <c r="G268" s="237" t="e">
        <f aca="false">VLOOKUP(G266,'данные ГЖ дерево_пластик'!$D$60:$M$71,10,0)</f>
        <v>#N/A</v>
      </c>
      <c r="H268" s="237" t="e">
        <f aca="false">VLOOKUP(H266,'данные ГЖ дерево_пластик'!$D$60:$M$71,10,0)</f>
        <v>#N/A</v>
      </c>
      <c r="I268" s="237" t="e">
        <f aca="false">VLOOKUP(I266,'данные ГЖ дерево_пластик'!$D$60:$M$71,10,0)</f>
        <v>#N/A</v>
      </c>
      <c r="J268" s="237" t="e">
        <f aca="false">VLOOKUP(J266,'данные ГЖ дерево_пластик'!$D$60:$M$71,10,0)</f>
        <v>#N/A</v>
      </c>
      <c r="K268" s="237" t="e">
        <f aca="false">VLOOKUP(K266,'данные ГЖ дерево_пластик'!$D$60:$M$71,10,0)</f>
        <v>#N/A</v>
      </c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  <c r="BH268" s="95"/>
      <c r="BI268" s="95"/>
      <c r="BJ268" s="95"/>
      <c r="BK268" s="95"/>
      <c r="BL268" s="95"/>
    </row>
    <row r="269" customFormat="false" ht="10.5" hidden="false" customHeight="true" outlineLevel="0" collapsed="false">
      <c r="A269" s="0"/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</row>
    <row r="270" customFormat="false" ht="10.5" hidden="false" customHeight="true" outlineLevel="0" collapsed="false">
      <c r="A270" s="173" t="s">
        <v>82</v>
      </c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  <c r="BH270" s="95"/>
      <c r="BI270" s="95"/>
      <c r="BJ270" s="95"/>
      <c r="BK270" s="95"/>
      <c r="BL270" s="95"/>
    </row>
    <row r="271" customFormat="false" ht="10.5" hidden="true" customHeight="true" outlineLevel="0" collapsed="false">
      <c r="A271" s="221" t="s">
        <v>169</v>
      </c>
      <c r="B271" s="242" t="str">
        <f aca="false">IF(B270=0,"",IF(B266="без мотора",3,2))</f>
        <v/>
      </c>
      <c r="C271" s="242" t="str">
        <f aca="false">IF(C270=0,"",IF(C266="без мотора",3,2))</f>
        <v/>
      </c>
      <c r="D271" s="242" t="str">
        <f aca="false">IF(D270=0,"",IF(D266="без мотора",3,2))</f>
        <v/>
      </c>
      <c r="E271" s="242" t="str">
        <f aca="false">IF(E270=0,"",IF(E266="без мотора",3,2))</f>
        <v/>
      </c>
      <c r="F271" s="242" t="str">
        <f aca="false">IF(F270=0,"",IF(F266="без мотора",3,2))</f>
        <v/>
      </c>
      <c r="G271" s="242" t="str">
        <f aca="false">IF(G270=0,"",IF(G266="без мотора",3,2))</f>
        <v/>
      </c>
      <c r="H271" s="242" t="str">
        <f aca="false">IF(H270=0,"",IF(H266="без мотора",3,2))</f>
        <v/>
      </c>
      <c r="I271" s="242" t="str">
        <f aca="false">IF(I270=0,"",IF(I266="без мотора",3,2))</f>
        <v/>
      </c>
      <c r="J271" s="242" t="str">
        <f aca="false">IF(J270=0,"",IF(J266="без мотора",3,2))</f>
        <v/>
      </c>
      <c r="K271" s="242" t="str">
        <f aca="false">IF(K270=0,"",IF(K266="без мотора",3,2))</f>
        <v/>
      </c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  <c r="BH271" s="95"/>
      <c r="BI271" s="95"/>
      <c r="BJ271" s="95"/>
      <c r="BK271" s="95"/>
      <c r="BL271" s="95"/>
    </row>
    <row r="272" customFormat="false" ht="10.5" hidden="false" customHeight="true" outlineLevel="0" collapsed="false">
      <c r="A272" s="213" t="s">
        <v>125</v>
      </c>
      <c r="B272" s="242" t="e">
        <f aca="false">HLOOKUP(B270,Услуги!$H$18:$I$20,B271,0)</f>
        <v>#VALUE!</v>
      </c>
      <c r="C272" s="242" t="e">
        <f aca="false">HLOOKUP(C270,Услуги!$H$18:$I$20,C271,0)</f>
        <v>#VALUE!</v>
      </c>
      <c r="D272" s="242" t="e">
        <f aca="false">HLOOKUP(D270,Услуги!$H$18:$I$20,D271,0)</f>
        <v>#VALUE!</v>
      </c>
      <c r="E272" s="242" t="e">
        <f aca="false">HLOOKUP(E270,Услуги!$H$18:$I$20,E271,0)</f>
        <v>#VALUE!</v>
      </c>
      <c r="F272" s="242" t="e">
        <f aca="false">HLOOKUP(F270,Услуги!$H$18:$I$20,F271,0)</f>
        <v>#VALUE!</v>
      </c>
      <c r="G272" s="242" t="e">
        <f aca="false">HLOOKUP(G270,Услуги!$H$18:$I$20,G271,0)</f>
        <v>#VALUE!</v>
      </c>
      <c r="H272" s="242" t="e">
        <f aca="false">HLOOKUP(H270,Услуги!$H$18:$I$20,H271,0)</f>
        <v>#VALUE!</v>
      </c>
      <c r="I272" s="242" t="e">
        <f aca="false">HLOOKUP(I270,Услуги!$H$18:$I$20,I271,0)</f>
        <v>#VALUE!</v>
      </c>
      <c r="J272" s="242" t="e">
        <f aca="false">HLOOKUP(J270,Услуги!$H$18:$I$20,J271,0)</f>
        <v>#VALUE!</v>
      </c>
      <c r="K272" s="242" t="e">
        <f aca="false">HLOOKUP(K270,Услуги!$H$18:$I$20,K271,0)</f>
        <v>#VALUE!</v>
      </c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  <c r="BH272" s="95"/>
      <c r="BI272" s="95"/>
      <c r="BJ272" s="95"/>
      <c r="BK272" s="95"/>
      <c r="BL272" s="95"/>
    </row>
    <row r="273" customFormat="false" ht="23.7" hidden="false" customHeight="true" outlineLevel="0" collapsed="false">
      <c r="A273" s="243" t="s">
        <v>170</v>
      </c>
      <c r="B273" s="180" t="e">
        <f aca="false">B268+B264</f>
        <v>#N/A</v>
      </c>
      <c r="C273" s="180" t="e">
        <f aca="false">C268+C264</f>
        <v>#N/A</v>
      </c>
      <c r="D273" s="180" t="e">
        <f aca="false">D268+D264</f>
        <v>#N/A</v>
      </c>
      <c r="E273" s="180" t="e">
        <f aca="false">E268+E264</f>
        <v>#N/A</v>
      </c>
      <c r="F273" s="180" t="e">
        <f aca="false">F268+F264</f>
        <v>#N/A</v>
      </c>
      <c r="G273" s="180" t="e">
        <f aca="false">G268+G264</f>
        <v>#N/A</v>
      </c>
      <c r="H273" s="180" t="e">
        <f aca="false">H268+H264</f>
        <v>#N/A</v>
      </c>
      <c r="I273" s="180" t="e">
        <f aca="false">I268+I264</f>
        <v>#N/A</v>
      </c>
      <c r="J273" s="180" t="e">
        <f aca="false">J268+J264</f>
        <v>#N/A</v>
      </c>
      <c r="K273" s="180" t="e">
        <f aca="false">K268+K264</f>
        <v>#N/A</v>
      </c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  <c r="BH273" s="95"/>
      <c r="BI273" s="95"/>
      <c r="BJ273" s="95"/>
      <c r="BK273" s="95"/>
      <c r="BL273" s="95"/>
    </row>
    <row r="274" customFormat="false" ht="23.7" hidden="false" customHeight="true" outlineLevel="0" collapsed="false">
      <c r="A274" s="244" t="s">
        <v>171</v>
      </c>
      <c r="B274" s="237" t="e">
        <f aca="false">B258+B268+B261+B263</f>
        <v>#N/A</v>
      </c>
      <c r="C274" s="237" t="e">
        <f aca="false">C258+C268+C261+C263</f>
        <v>#N/A</v>
      </c>
      <c r="D274" s="237" t="e">
        <f aca="false">D258+D268+D261+D263</f>
        <v>#N/A</v>
      </c>
      <c r="E274" s="237" t="e">
        <f aca="false">E258+E268+E261+E263</f>
        <v>#N/A</v>
      </c>
      <c r="F274" s="237" t="e">
        <f aca="false">F258+F268+F261+F263</f>
        <v>#N/A</v>
      </c>
      <c r="G274" s="237" t="e">
        <f aca="false">G258+G268+G261+G263</f>
        <v>#N/A</v>
      </c>
      <c r="H274" s="237" t="e">
        <f aca="false">H258+H268+H261+H263</f>
        <v>#N/A</v>
      </c>
      <c r="I274" s="237" t="e">
        <f aca="false">I258+I268+I261+I263</f>
        <v>#N/A</v>
      </c>
      <c r="J274" s="237" t="e">
        <f aca="false">J258+J268+J261+J263</f>
        <v>#N/A</v>
      </c>
      <c r="K274" s="237" t="e">
        <f aca="false">K258+K268+K261+K263</f>
        <v>#N/A</v>
      </c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  <c r="BH274" s="95"/>
      <c r="BI274" s="95"/>
      <c r="BJ274" s="95"/>
      <c r="BK274" s="95"/>
      <c r="BL274" s="95"/>
    </row>
    <row r="275" customFormat="false" ht="8.5" hidden="false" customHeight="true" outlineLevel="0" collapsed="false">
      <c r="A275" s="95"/>
      <c r="B275" s="225"/>
      <c r="C275" s="233"/>
      <c r="D275" s="233"/>
      <c r="E275" s="233"/>
      <c r="F275" s="233"/>
      <c r="G275" s="233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  <c r="BH275" s="95"/>
      <c r="BI275" s="95"/>
      <c r="BJ275" s="95"/>
      <c r="BK275" s="95"/>
      <c r="BL275" s="95"/>
    </row>
    <row r="276" customFormat="false" ht="12.45" hidden="false" customHeight="true" outlineLevel="0" collapsed="false">
      <c r="A276" s="116" t="s">
        <v>95</v>
      </c>
      <c r="B276" s="179"/>
      <c r="C276" s="179" t="s">
        <v>172</v>
      </c>
      <c r="D276" s="179"/>
      <c r="E276" s="179"/>
      <c r="F276" s="233"/>
      <c r="G276" s="233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  <c r="BH276" s="95"/>
      <c r="BI276" s="95"/>
      <c r="BJ276" s="95"/>
      <c r="BK276" s="95"/>
      <c r="BL276" s="95"/>
    </row>
    <row r="277" customFormat="false" ht="13.1" hidden="false" customHeight="true" outlineLevel="0" collapsed="false">
      <c r="A277" s="95"/>
      <c r="B277" s="180" t="e">
        <f aca="false">VLOOKUP(B276,'Управление и питание'!$C$66:$G$67,5,0)</f>
        <v>#N/A</v>
      </c>
      <c r="C277" s="180" t="n">
        <f aca="false">VLOOKUP(C276,'Управление и питание'!$C$66:$G$67,5,0)</f>
        <v>2335.2</v>
      </c>
      <c r="D277" s="180" t="e">
        <f aca="false">VLOOKUP(D276,'Управление и питание'!$C$66:$G$67,5,0)</f>
        <v>#N/A</v>
      </c>
      <c r="E277" s="180"/>
      <c r="F277" s="233"/>
      <c r="G277" s="233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  <c r="BH277" s="95"/>
      <c r="BI277" s="95"/>
      <c r="BJ277" s="95"/>
      <c r="BK277" s="95"/>
      <c r="BL277" s="95"/>
    </row>
    <row r="278" customFormat="false" ht="8.5" hidden="false" customHeight="true" outlineLevel="0" collapsed="false">
      <c r="A278" s="95"/>
      <c r="B278" s="225"/>
      <c r="C278" s="233"/>
      <c r="D278" s="233"/>
      <c r="E278" s="233"/>
      <c r="F278" s="233"/>
      <c r="G278" s="233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  <c r="BH278" s="95"/>
      <c r="BI278" s="95"/>
      <c r="BJ278" s="95"/>
      <c r="BK278" s="95"/>
      <c r="BL278" s="95"/>
    </row>
    <row r="279" customFormat="false" ht="28.6" hidden="false" customHeight="true" outlineLevel="0" collapsed="false">
      <c r="A279" s="245" t="s">
        <v>173</v>
      </c>
      <c r="B279" s="245"/>
      <c r="C279" s="245"/>
      <c r="D279" s="245"/>
      <c r="E279" s="245"/>
      <c r="F279" s="245"/>
      <c r="G279" s="245"/>
      <c r="H279" s="24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  <c r="BH279" s="95"/>
      <c r="BI279" s="95"/>
      <c r="BJ279" s="95"/>
      <c r="BK279" s="95"/>
      <c r="BL279" s="95"/>
    </row>
    <row r="280" customFormat="false" ht="8.5" hidden="false" customHeight="true" outlineLevel="0" collapsed="false">
      <c r="A280" s="95"/>
      <c r="B280" s="225"/>
      <c r="C280" s="233"/>
      <c r="D280" s="233"/>
      <c r="E280" s="233"/>
      <c r="F280" s="233"/>
      <c r="G280" s="233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  <c r="BH280" s="95"/>
      <c r="BI280" s="95"/>
      <c r="BJ280" s="95"/>
      <c r="BK280" s="95"/>
      <c r="BL280" s="95"/>
    </row>
    <row r="281" customFormat="false" ht="8.5" hidden="false" customHeight="true" outlineLevel="0" collapsed="false">
      <c r="A281" s="95"/>
      <c r="B281" s="225"/>
      <c r="C281" s="233"/>
      <c r="D281" s="233"/>
      <c r="E281" s="233"/>
      <c r="F281" s="233"/>
      <c r="G281" s="233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  <c r="BH281" s="95"/>
      <c r="BI281" s="95"/>
      <c r="BJ281" s="95"/>
      <c r="BK281" s="95"/>
      <c r="BL281" s="95"/>
    </row>
    <row r="282" customFormat="false" ht="26.95" hidden="false" customHeight="true" outlineLevel="0" collapsed="false">
      <c r="A282" s="121" t="s">
        <v>174</v>
      </c>
      <c r="B282" s="121"/>
      <c r="C282" s="121"/>
      <c r="D282" s="121"/>
      <c r="E282" s="121"/>
      <c r="F282" s="122"/>
      <c r="G282" s="233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  <c r="BH282" s="95"/>
      <c r="BI282" s="95"/>
      <c r="BJ282" s="95"/>
      <c r="BK282" s="95"/>
      <c r="BL282" s="95"/>
    </row>
    <row r="283" customFormat="false" ht="26.95" hidden="false" customHeight="true" outlineLevel="0" collapsed="false">
      <c r="A283" s="124" t="s">
        <v>100</v>
      </c>
      <c r="B283" s="125" t="s">
        <v>101</v>
      </c>
      <c r="C283" s="125" t="s">
        <v>102</v>
      </c>
      <c r="D283" s="125" t="s">
        <v>103</v>
      </c>
      <c r="E283" s="125" t="s">
        <v>104</v>
      </c>
      <c r="F283" s="125" t="s">
        <v>105</v>
      </c>
      <c r="G283" s="233"/>
      <c r="H283" s="246" t="s">
        <v>98</v>
      </c>
      <c r="I283" s="247" t="s">
        <v>99</v>
      </c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  <c r="BH283" s="95"/>
      <c r="BI283" s="95"/>
      <c r="BJ283" s="95"/>
      <c r="BK283" s="95"/>
      <c r="BL283" s="95"/>
    </row>
    <row r="284" customFormat="false" ht="17" hidden="false" customHeight="true" outlineLevel="0" collapsed="false">
      <c r="A284" s="127" t="e">
        <f aca="false">VLOOKUP(B276,'Управление и питание'!$C$66:$H$67,6,0)</f>
        <v>#N/A</v>
      </c>
      <c r="B284" s="128"/>
      <c r="C284" s="128"/>
      <c r="D284" s="128"/>
      <c r="E284" s="129" t="e">
        <f aca="false">B277</f>
        <v>#N/A</v>
      </c>
      <c r="F284" s="194" t="str">
        <f aca="false">IF(B284&lt;=0,"не указано кол-во",B284*E284)</f>
        <v>не указано кол-во</v>
      </c>
      <c r="G284" s="248" t="s">
        <v>106</v>
      </c>
      <c r="H284" s="248"/>
      <c r="I284" s="248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  <c r="BH284" s="95"/>
      <c r="BI284" s="95"/>
      <c r="BJ284" s="95"/>
      <c r="BK284" s="95"/>
      <c r="BL284" s="95"/>
    </row>
    <row r="285" customFormat="false" ht="17" hidden="false" customHeight="true" outlineLevel="0" collapsed="false">
      <c r="A285" s="127" t="e">
        <f aca="false">VLOOKUP(D276,'Управление и питание'!$C$66:$H$67,6,0)</f>
        <v>#N/A</v>
      </c>
      <c r="B285" s="128"/>
      <c r="C285" s="128"/>
      <c r="D285" s="128"/>
      <c r="E285" s="129" t="e">
        <f aca="false">D277</f>
        <v>#N/A</v>
      </c>
      <c r="F285" s="194" t="str">
        <f aca="false">IF(B285&lt;=0,"не указано кол-во",B285*E285)</f>
        <v>не указано кол-во</v>
      </c>
      <c r="G285" s="248" t="s">
        <v>106</v>
      </c>
      <c r="H285" s="248"/>
      <c r="I285" s="248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  <c r="BH285" s="95"/>
      <c r="BI285" s="95"/>
      <c r="BJ285" s="95"/>
      <c r="BK285" s="95"/>
      <c r="BL285" s="95"/>
    </row>
    <row r="286" customFormat="false" ht="20.35" hidden="false" customHeight="true" outlineLevel="0" collapsed="false">
      <c r="A286" s="139" t="e">
        <f aca="false">B239&amp;B267</f>
        <v>#N/A</v>
      </c>
      <c r="B286" s="140"/>
      <c r="C286" s="140" t="str">
        <f aca="false">B240*1000&amp;" х "&amp;B244*1000&amp;" мм"</f>
        <v>0 х 0 мм</v>
      </c>
      <c r="D286" s="207" t="str">
        <f aca="false">_xlfn.IFS(B260="Нет","",B260=0," ",B260="Да",A260&amp;". ")&amp;_xlfn.IFS(B262="Нет","",B262=0," ",B262="Да",A262&amp;".")</f>
        <v>  </v>
      </c>
      <c r="E286" s="141" t="e">
        <f aca="false">B273</f>
        <v>#N/A</v>
      </c>
      <c r="F286" s="194" t="str">
        <f aca="false">IF(B286&lt;=0,"не указано кол-во",B286*E286)</f>
        <v>не указано кол-во</v>
      </c>
      <c r="G286" s="249" t="s">
        <v>175</v>
      </c>
      <c r="H286" s="250" t="str">
        <f aca="false">IF(B286=0,"нет кол-ва",IF(ISNUMBER(B272),B272,""))</f>
        <v>нет кол-ва</v>
      </c>
      <c r="I286" s="251" t="str">
        <f aca="false">IF(ISNUMBER(H286),B286*H286,H286)</f>
        <v>нет кол-ва</v>
      </c>
      <c r="J286" s="252" t="s">
        <v>176</v>
      </c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  <c r="BH286" s="95"/>
      <c r="BI286" s="95"/>
      <c r="BJ286" s="95"/>
      <c r="BK286" s="95"/>
      <c r="BL286" s="95"/>
    </row>
    <row r="287" customFormat="false" ht="25.5" hidden="false" customHeight="true" outlineLevel="0" collapsed="false">
      <c r="A287" s="139" t="e">
        <f aca="false">C239&amp;C267</f>
        <v>#N/A</v>
      </c>
      <c r="B287" s="140"/>
      <c r="C287" s="140" t="str">
        <f aca="false">C240*1000&amp;" х "&amp;C244*1000&amp;" мм"</f>
        <v>0 х 0 мм</v>
      </c>
      <c r="D287" s="140" t="str">
        <f aca="false">_xlfn.IFS(C260="Нет","",C260=0," ",C260="Да",A260&amp;". ")&amp;_xlfn.IFS(C262="Нет","",C262=0," ",C262="Да",A262&amp;".")</f>
        <v>  </v>
      </c>
      <c r="E287" s="141" t="e">
        <f aca="false">C273</f>
        <v>#N/A</v>
      </c>
      <c r="F287" s="253" t="str">
        <f aca="false">IF(B287&lt;=0,"не указано кол-во",B287*E287)</f>
        <v>не указано кол-во</v>
      </c>
      <c r="G287" s="249" t="s">
        <v>175</v>
      </c>
      <c r="H287" s="250" t="str">
        <f aca="false">IF(B287=0,"нет кол-ва",IF(ISNUMBER(C272),C272,""))</f>
        <v>нет кол-ва</v>
      </c>
      <c r="I287" s="251" t="str">
        <f aca="false">IF(ISNUMBER(H287),B287*H287,H287)</f>
        <v>нет кол-ва</v>
      </c>
      <c r="J287" s="252" t="s">
        <v>177</v>
      </c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  <c r="BH287" s="95"/>
      <c r="BI287" s="95"/>
      <c r="BJ287" s="95"/>
      <c r="BK287" s="95"/>
      <c r="BL287" s="95"/>
    </row>
    <row r="288" customFormat="false" ht="25.5" hidden="false" customHeight="true" outlineLevel="0" collapsed="false">
      <c r="A288" s="139" t="e">
        <f aca="false">D239&amp;D267</f>
        <v>#N/A</v>
      </c>
      <c r="B288" s="140"/>
      <c r="C288" s="140" t="str">
        <f aca="false">D240*1000&amp;" х "&amp;D244*1000&amp;" мм"</f>
        <v>0 х 0 мм</v>
      </c>
      <c r="D288" s="140" t="str">
        <f aca="false">_xlfn.IFS(D260="Нет","",D260=0," ",D260="Да",A260&amp;". ")&amp;_xlfn.IFS(D262="Нет","",D262=0," ",D262="Да",A262&amp;".")</f>
        <v>  </v>
      </c>
      <c r="E288" s="141" t="e">
        <f aca="false">D273</f>
        <v>#N/A</v>
      </c>
      <c r="F288" s="253" t="str">
        <f aca="false">IF(B288&lt;=0,"не указано кол-во",B288*E288)</f>
        <v>не указано кол-во</v>
      </c>
      <c r="G288" s="249" t="s">
        <v>175</v>
      </c>
      <c r="H288" s="250" t="str">
        <f aca="false">IF(B288=0,"нет кол-ва",IF(ISNUMBER(D272),D272,""))</f>
        <v>нет кол-ва</v>
      </c>
      <c r="I288" s="251" t="str">
        <f aca="false">IF(ISNUMBER(H288),B288*H288,H288)</f>
        <v>нет кол-ва</v>
      </c>
      <c r="J288" s="252" t="s">
        <v>178</v>
      </c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  <c r="BH288" s="95"/>
      <c r="BI288" s="95"/>
      <c r="BJ288" s="95"/>
      <c r="BK288" s="95"/>
      <c r="BL288" s="95"/>
    </row>
    <row r="289" customFormat="false" ht="25.5" hidden="false" customHeight="true" outlineLevel="0" collapsed="false">
      <c r="A289" s="139" t="e">
        <f aca="false">E239&amp;E267</f>
        <v>#N/A</v>
      </c>
      <c r="B289" s="140"/>
      <c r="C289" s="140" t="str">
        <f aca="false">E240*1000&amp;" х "&amp;E244*1000&amp;" мм"</f>
        <v>0 х 0 мм</v>
      </c>
      <c r="D289" s="140" t="str">
        <f aca="false">_xlfn.IFS(E260="Нет","",E260=0," ",E260="Да",A260&amp;". ")&amp;_xlfn.IFS(E262="Нет","",E262=0," ",E262="Да",A262&amp;".")</f>
        <v>  </v>
      </c>
      <c r="E289" s="141" t="e">
        <f aca="false">E273</f>
        <v>#N/A</v>
      </c>
      <c r="F289" s="253" t="str">
        <f aca="false">IF(B289&lt;=0,"не указано кол-во",B289*E289)</f>
        <v>не указано кол-во</v>
      </c>
      <c r="G289" s="249" t="s">
        <v>175</v>
      </c>
      <c r="H289" s="250" t="str">
        <f aca="false">IF(B289=0,"нет кол-ва",IF(ISNUMBER(E272),E272,""))</f>
        <v>нет кол-ва</v>
      </c>
      <c r="I289" s="251" t="str">
        <f aca="false">IF(ISNUMBER(H289),B289*H289,H289)</f>
        <v>нет кол-ва</v>
      </c>
      <c r="J289" s="252" t="s">
        <v>179</v>
      </c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  <c r="BH289" s="95"/>
      <c r="BI289" s="95"/>
      <c r="BJ289" s="95"/>
      <c r="BK289" s="95"/>
      <c r="BL289" s="95"/>
    </row>
    <row r="290" customFormat="false" ht="25.5" hidden="false" customHeight="true" outlineLevel="0" collapsed="false">
      <c r="A290" s="139" t="e">
        <f aca="false">F239&amp;F267</f>
        <v>#N/A</v>
      </c>
      <c r="B290" s="140"/>
      <c r="C290" s="140" t="str">
        <f aca="false">F240*1000&amp;" х "&amp;F244*1000&amp;" мм"</f>
        <v>0 х 0 мм</v>
      </c>
      <c r="D290" s="140" t="str">
        <f aca="false">_xlfn.IFS(F260="Нет","",F260=0," ",F260="Да",A260&amp;". ")&amp;_xlfn.IFS(F262="Нет","",F262=0," ",F262="Да",A262&amp;".")</f>
        <v>  </v>
      </c>
      <c r="E290" s="141" t="e">
        <f aca="false">F273</f>
        <v>#N/A</v>
      </c>
      <c r="F290" s="253" t="str">
        <f aca="false">IF(B290&lt;=0,"не указано кол-во",B290*E290)</f>
        <v>не указано кол-во</v>
      </c>
      <c r="G290" s="249" t="s">
        <v>175</v>
      </c>
      <c r="H290" s="250" t="str">
        <f aca="false">IF(B290=0,"нет кол-ва",IF(ISNUMBER(F272),F272,""))</f>
        <v>нет кол-ва</v>
      </c>
      <c r="I290" s="251" t="str">
        <f aca="false">IF(ISNUMBER(H290),B290*H290,H290)</f>
        <v>нет кол-ва</v>
      </c>
      <c r="J290" s="252" t="s">
        <v>180</v>
      </c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  <c r="BH290" s="95"/>
      <c r="BI290" s="95"/>
      <c r="BJ290" s="95"/>
      <c r="BK290" s="95"/>
      <c r="BL290" s="95"/>
    </row>
    <row r="291" customFormat="false" ht="25.5" hidden="false" customHeight="true" outlineLevel="0" collapsed="false">
      <c r="A291" s="139" t="e">
        <f aca="false">G239&amp;G267</f>
        <v>#N/A</v>
      </c>
      <c r="B291" s="140"/>
      <c r="C291" s="140" t="str">
        <f aca="false">G240*1000&amp;" х "&amp;G244*1000&amp;" мм"</f>
        <v>0 х 0 мм</v>
      </c>
      <c r="D291" s="140" t="str">
        <f aca="false">_xlfn.IFS(G260="Нет","",G260=0," ",G260="Да",A260&amp;". ")&amp;_xlfn.IFS(G262="Нет","",G262=0," ",G262="Да",A262&amp;".")</f>
        <v>  </v>
      </c>
      <c r="E291" s="141" t="e">
        <f aca="false">G273</f>
        <v>#N/A</v>
      </c>
      <c r="F291" s="253" t="str">
        <f aca="false">IF(B291&lt;=0,"не указано кол-во",B291*E291)</f>
        <v>не указано кол-во</v>
      </c>
      <c r="G291" s="249" t="s">
        <v>175</v>
      </c>
      <c r="H291" s="250" t="str">
        <f aca="false">IF(B291=0,"нет кол-ва",IF(ISNUMBER(G272),G272,""))</f>
        <v>нет кол-ва</v>
      </c>
      <c r="I291" s="251" t="str">
        <f aca="false">IF(ISNUMBER(H291),B291*H291,H291)</f>
        <v>нет кол-ва</v>
      </c>
      <c r="J291" s="252" t="s">
        <v>181</v>
      </c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  <c r="BH291" s="95"/>
      <c r="BI291" s="95"/>
      <c r="BJ291" s="95"/>
      <c r="BK291" s="95"/>
      <c r="BL291" s="95"/>
    </row>
    <row r="292" customFormat="false" ht="25.5" hidden="false" customHeight="true" outlineLevel="0" collapsed="false">
      <c r="A292" s="139" t="e">
        <f aca="false">H239&amp;H267</f>
        <v>#N/A</v>
      </c>
      <c r="B292" s="140"/>
      <c r="C292" s="140" t="str">
        <f aca="false">H240*1000&amp;" х "&amp;H244*1000&amp;" мм"</f>
        <v>0 х 0 мм</v>
      </c>
      <c r="D292" s="140" t="str">
        <f aca="false">_xlfn.IFS(H260="Нет","",H260=0," ",H260="Да",A260&amp;". ")&amp;_xlfn.IFS(H262="Нет","",H262=0," ",H262="Да",A262&amp;".")</f>
        <v>  </v>
      </c>
      <c r="E292" s="141" t="e">
        <f aca="false">H273</f>
        <v>#N/A</v>
      </c>
      <c r="F292" s="253" t="str">
        <f aca="false">IF(B292&lt;=0,"не указано кол-во",B292*E292)</f>
        <v>не указано кол-во</v>
      </c>
      <c r="G292" s="249" t="s">
        <v>175</v>
      </c>
      <c r="H292" s="250" t="str">
        <f aca="false">IF(B292=0,"нет кол-ва",IF(ISNUMBER(H272),H272,""))</f>
        <v>нет кол-ва</v>
      </c>
      <c r="I292" s="251" t="str">
        <f aca="false">IF(ISNUMBER(H292),B292*H292,H292)</f>
        <v>нет кол-ва</v>
      </c>
      <c r="J292" s="252" t="s">
        <v>182</v>
      </c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  <c r="BH292" s="95"/>
      <c r="BI292" s="95"/>
      <c r="BJ292" s="95"/>
      <c r="BK292" s="95"/>
      <c r="BL292" s="95"/>
    </row>
    <row r="293" customFormat="false" ht="25.5" hidden="false" customHeight="true" outlineLevel="0" collapsed="false">
      <c r="A293" s="139" t="e">
        <f aca="false">I239&amp;I267</f>
        <v>#N/A</v>
      </c>
      <c r="B293" s="140"/>
      <c r="C293" s="140" t="str">
        <f aca="false">I240*1000&amp;" х "&amp;I244*1000&amp;" мм"</f>
        <v>0 х 0 мм</v>
      </c>
      <c r="D293" s="140" t="str">
        <f aca="false">_xlfn.IFS(I260="Нет","",I260=0," ",I260="Да",A260&amp;". ")&amp;_xlfn.IFS(I262="Нет","",I262=0," ",I262="Да",A262&amp;".")</f>
        <v>  </v>
      </c>
      <c r="E293" s="141" t="e">
        <f aca="false">I273</f>
        <v>#N/A</v>
      </c>
      <c r="F293" s="253" t="str">
        <f aca="false">IF(B293&lt;=0,"не указано кол-во",B293*E293)</f>
        <v>не указано кол-во</v>
      </c>
      <c r="G293" s="249" t="s">
        <v>175</v>
      </c>
      <c r="H293" s="250" t="str">
        <f aca="false">IF(B293=0,"нет кол-ва",IF(ISNUMBER(I272),I272,""))</f>
        <v>нет кол-ва</v>
      </c>
      <c r="I293" s="251" t="str">
        <f aca="false">IF(ISNUMBER(H293),B293*H293,H293)</f>
        <v>нет кол-ва</v>
      </c>
      <c r="J293" s="252" t="s">
        <v>183</v>
      </c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  <c r="BH293" s="95"/>
      <c r="BI293" s="95"/>
      <c r="BJ293" s="95"/>
      <c r="BK293" s="95"/>
      <c r="BL293" s="95"/>
    </row>
    <row r="294" customFormat="false" ht="25.5" hidden="false" customHeight="true" outlineLevel="0" collapsed="false">
      <c r="A294" s="139" t="e">
        <f aca="false">J239&amp;J267</f>
        <v>#N/A</v>
      </c>
      <c r="B294" s="140"/>
      <c r="C294" s="140" t="str">
        <f aca="false">J240*1000&amp;" х "&amp;J244*1000&amp;" мм"</f>
        <v>0 х 0 мм</v>
      </c>
      <c r="D294" s="140" t="str">
        <f aca="false">_xlfn.IFS(J260="Нет","",J260=0," ",J260="Да",A260&amp;". ")&amp;_xlfn.IFS(J262="Нет","",J262=0," ",J262="Да",A262&amp;".")</f>
        <v>  </v>
      </c>
      <c r="E294" s="141" t="e">
        <f aca="false">J273</f>
        <v>#N/A</v>
      </c>
      <c r="F294" s="194" t="str">
        <f aca="false">IF(B294&lt;=0,"не указано кол-во",B294*E294)</f>
        <v>не указано кол-во</v>
      </c>
      <c r="G294" s="249" t="s">
        <v>175</v>
      </c>
      <c r="H294" s="250" t="str">
        <f aca="false">IF(B294=0,"нет кол-ва",IF(ISNUMBER(J272),J272,""))</f>
        <v>нет кол-ва</v>
      </c>
      <c r="I294" s="251" t="str">
        <f aca="false">IF(ISNUMBER(H294),B294*H294,H294)</f>
        <v>нет кол-ва</v>
      </c>
      <c r="J294" s="252" t="s">
        <v>184</v>
      </c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  <c r="BH294" s="95"/>
      <c r="BI294" s="95"/>
      <c r="BJ294" s="95"/>
      <c r="BK294" s="95"/>
      <c r="BL294" s="95"/>
    </row>
    <row r="295" customFormat="false" ht="22.35" hidden="false" customHeight="true" outlineLevel="0" collapsed="false">
      <c r="A295" s="139" t="e">
        <f aca="false">K239&amp;K267</f>
        <v>#N/A</v>
      </c>
      <c r="B295" s="140"/>
      <c r="C295" s="140" t="str">
        <f aca="false">K240*1000&amp;" х "&amp;K244*1000&amp;" мм"</f>
        <v>0 х 0 мм</v>
      </c>
      <c r="D295" s="140" t="str">
        <f aca="false">_xlfn.IFS(K260="Нет","",K260=0," ",K260="Да",A260&amp;". ")&amp;_xlfn.IFS(K262="Нет","",K262=0," ",K262="Да",A262&amp;".")</f>
        <v>  </v>
      </c>
      <c r="E295" s="141" t="e">
        <f aca="false">K273</f>
        <v>#N/A</v>
      </c>
      <c r="F295" s="194" t="str">
        <f aca="false">IF(B295&lt;=0,"не указано кол-во",B295*E295)</f>
        <v>не указано кол-во</v>
      </c>
      <c r="G295" s="249" t="s">
        <v>175</v>
      </c>
      <c r="H295" s="250" t="str">
        <f aca="false">IF(B295=0,"нет кол-ва",IF(ISNUMBER(K272),K272,""))</f>
        <v>нет кол-ва</v>
      </c>
      <c r="I295" s="251" t="str">
        <f aca="false">IF(ISNUMBER(H295),B295*H295,H295)</f>
        <v>нет кол-ва</v>
      </c>
      <c r="J295" s="252" t="s">
        <v>185</v>
      </c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  <c r="BH295" s="95"/>
      <c r="BI295" s="95"/>
      <c r="BJ295" s="95"/>
      <c r="BK295" s="95"/>
      <c r="BL295" s="95"/>
    </row>
    <row r="296" customFormat="false" ht="13.7" hidden="false" customHeight="true" outlineLevel="0" collapsed="false">
      <c r="A296" s="95"/>
      <c r="B296" s="143"/>
      <c r="C296" s="95"/>
      <c r="D296" s="144"/>
      <c r="E296" s="145" t="s">
        <v>84</v>
      </c>
      <c r="F296" s="146" t="n">
        <f aca="false">SUM(F284:F295)</f>
        <v>0</v>
      </c>
      <c r="G296" s="95"/>
      <c r="H296" s="0"/>
      <c r="I296" s="254" t="n">
        <f aca="false">SUM(I286:I295)</f>
        <v>0</v>
      </c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  <c r="BH296" s="95"/>
      <c r="BI296" s="95"/>
      <c r="BJ296" s="95"/>
      <c r="BK296" s="95"/>
      <c r="BL296" s="95"/>
    </row>
    <row r="297" customFormat="false" ht="14.95" hidden="false" customHeight="true" outlineLevel="0" collapsed="false">
      <c r="A297" s="95"/>
      <c r="B297" s="143"/>
      <c r="C297" s="95"/>
      <c r="D297" s="145" t="s">
        <v>107</v>
      </c>
      <c r="E297" s="149"/>
      <c r="F297" s="146" t="n">
        <f aca="false">F296*E297</f>
        <v>0</v>
      </c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  <c r="BH297" s="95"/>
      <c r="BI297" s="95"/>
      <c r="BJ297" s="95"/>
      <c r="BK297" s="95"/>
      <c r="BL297" s="95"/>
    </row>
    <row r="298" customFormat="false" ht="14.95" hidden="false" customHeight="true" outlineLevel="0" collapsed="false">
      <c r="A298" s="95"/>
      <c r="B298" s="143"/>
      <c r="C298" s="95"/>
      <c r="D298" s="144"/>
      <c r="E298" s="145" t="s">
        <v>108</v>
      </c>
      <c r="F298" s="146" t="n">
        <f aca="false">F296-F297</f>
        <v>0</v>
      </c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  <c r="BH298" s="95"/>
      <c r="BI298" s="95"/>
      <c r="BJ298" s="95"/>
      <c r="BK298" s="95"/>
      <c r="BL298" s="95"/>
    </row>
    <row r="299" customFormat="false" ht="14.95" hidden="false" customHeight="true" outlineLevel="0" collapsed="false">
      <c r="A299" s="95"/>
      <c r="B299" s="143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  <c r="BH299" s="95"/>
      <c r="BI299" s="95"/>
      <c r="BJ299" s="95"/>
      <c r="BK299" s="95"/>
      <c r="BL299" s="95"/>
    </row>
    <row r="300" customFormat="false" ht="26.95" hidden="false" customHeight="true" outlineLevel="0" collapsed="false">
      <c r="A300" s="95"/>
      <c r="B300" s="204" t="s">
        <v>186</v>
      </c>
      <c r="C300" s="204"/>
      <c r="D300" s="204"/>
      <c r="E300" s="204"/>
      <c r="F300" s="204"/>
      <c r="G300" s="204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  <c r="BH300" s="95"/>
      <c r="BI300" s="95"/>
      <c r="BJ300" s="95"/>
      <c r="BK300" s="95"/>
      <c r="BL300" s="95"/>
    </row>
    <row r="301" customFormat="false" ht="15.65" hidden="true" customHeight="true" outlineLevel="0" collapsed="false">
      <c r="A301" s="255" t="s">
        <v>187</v>
      </c>
      <c r="B301" s="256" t="str">
        <f aca="false">IF(B302&gt;=0.75,_xlfn.IFS((ROUNDUP(B302,0)-B302)&lt;0.5,ROUNDUP(B302,0),(ROUNDUP(B302,0)-B302)=0.5,B302,(ROUNDUP(B302,0)-B302)&gt;0.5,ROUNDDOWN(B302,0)+0.5),"д.б. минимум 0,75")</f>
        <v>д.б. минимум 0,75</v>
      </c>
      <c r="C301" s="256" t="str">
        <f aca="false">IF(C302&gt;=0.75,_xlfn.IFS((ROUNDUP(C302,0)-C302)&lt;0.5,ROUNDUP(C302,0),(ROUNDUP(C302,0)-C302)=0.5,C302,(ROUNDUP(C302,0)-C302)&gt;0.5,ROUNDDOWN(C302,0)+0.5),"д.б. минимум 0,75")</f>
        <v>д.б. минимум 0,75</v>
      </c>
      <c r="D301" s="256" t="str">
        <f aca="false">IF(D302&gt;=0.75,_xlfn.IFS((ROUNDUP(D302,0)-D302)&lt;0.5,ROUNDUP(D302,0),(ROUNDUP(D302,0)-D302)=0.5,D302,(ROUNDUP(D302,0)-D302)&gt;0.5,ROUNDDOWN(D302,0)+0.5),"д.б. минимум 0,75")</f>
        <v>д.б. минимум 0,75</v>
      </c>
      <c r="E301" s="256" t="str">
        <f aca="false">IF(E302&gt;=0.75,_xlfn.IFS((ROUNDUP(E302,0)-E302)&lt;0.5,ROUNDUP(E302,0),(ROUNDUP(E302,0)-E302)=0.5,E302,(ROUNDUP(E302,0)-E302)&gt;0.5,ROUNDDOWN(E302,0)+0.5),"д.б. минимум 0,75")</f>
        <v>д.б. минимум 0,75</v>
      </c>
      <c r="F301" s="256" t="str">
        <f aca="false">IF(F302&gt;=0.75,_xlfn.IFS((ROUNDUP(F302,0)-F302)&lt;0.5,ROUNDUP(F302,0),(ROUNDUP(F302,0)-F302)=0.5,F302,(ROUNDUP(F302,0)-F302)&gt;0.5,ROUNDDOWN(F302,0)+0.5),"д.б. минимум 0,75")</f>
        <v>д.б. минимум 0,75</v>
      </c>
      <c r="G301" s="256" t="str">
        <f aca="false">IF(G302&gt;=0.75,_xlfn.IFS((ROUNDUP(G302,0)-G302)&lt;0.5,ROUNDUP(G302,0),(ROUNDUP(G302,0)-G302)=0.5,G302,(ROUNDUP(G302,0)-G302)&gt;0.5,ROUNDDOWN(G302,0)+0.5),"д.б. минимум 0,75")</f>
        <v>д.б. минимум 0,75</v>
      </c>
      <c r="H301" s="256" t="str">
        <f aca="false">IF(H302&gt;=0.75,_xlfn.IFS((ROUNDUP(H302,0)-H302)&lt;0.5,ROUNDUP(H302,0),(ROUNDUP(H302,0)-H302)=0.5,H302,(ROUNDUP(H302,0)-H302)&gt;0.5,ROUNDDOWN(H302,0)+0.5),"д.б. минимум 0,75")</f>
        <v>д.б. минимум 0,75</v>
      </c>
      <c r="I301" s="256" t="str">
        <f aca="false">IF(I302&gt;=0.75,_xlfn.IFS((ROUNDUP(I302,0)-I302)&lt;0.5,ROUNDUP(I302,0),(ROUNDUP(I302,0)-I302)=0.5,I302,(ROUNDUP(I302,0)-I302)&gt;0.5,ROUNDDOWN(I302,0)+0.5),"д.б. минимум 0,75")</f>
        <v>д.б. минимум 0,75</v>
      </c>
      <c r="J301" s="256" t="str">
        <f aca="false">IF(J302&gt;=0.75,_xlfn.IFS((ROUNDUP(J302,0)-J302)&lt;0.5,ROUNDUP(J302,0),(ROUNDUP(J302,0)-J302)=0.5,J302,(ROUNDUP(J302,0)-J302)&gt;0.5,ROUNDDOWN(J302,0)+0.5),"д.б. минимум 0,75")</f>
        <v>д.б. минимум 0,75</v>
      </c>
      <c r="K301" s="256" t="str">
        <f aca="false">IF(K302&gt;=0.75,_xlfn.IFS((ROUNDUP(K302,0)-K302)&lt;0.5,ROUNDUP(K302,0),(ROUNDUP(K302,0)-K302)=0.5,K302,(ROUNDUP(K302,0)-K302)&gt;0.5,ROUNDDOWN(K302,0)+0.5),"д.б. минимум 0,75")</f>
        <v>д.б. минимум 0,75</v>
      </c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  <c r="BH301" s="95"/>
      <c r="BI301" s="95"/>
      <c r="BJ301" s="95"/>
      <c r="BK301" s="95"/>
      <c r="BL301" s="95"/>
    </row>
    <row r="302" customFormat="false" ht="12.45" hidden="false" customHeight="true" outlineLevel="0" collapsed="false">
      <c r="A302" s="257" t="s">
        <v>188</v>
      </c>
      <c r="B302" s="258"/>
      <c r="C302" s="258"/>
      <c r="D302" s="258"/>
      <c r="E302" s="258"/>
      <c r="F302" s="258"/>
      <c r="G302" s="258"/>
      <c r="H302" s="258"/>
      <c r="I302" s="258"/>
      <c r="J302" s="258"/>
      <c r="K302" s="258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  <c r="BH302" s="95"/>
      <c r="BI302" s="95"/>
      <c r="BJ302" s="95"/>
      <c r="BK302" s="95"/>
      <c r="BL302" s="95"/>
    </row>
    <row r="303" customFormat="false" ht="12.45" hidden="false" customHeight="true" outlineLevel="0" collapsed="false">
      <c r="A303" s="257" t="s">
        <v>189</v>
      </c>
      <c r="B303" s="259" t="str">
        <f aca="false">IF(ISTEXT(B301),"",IF(AND(B302&lt;1,B302&gt;=0.75),2,IF(B301=0,"",HLOOKUP(B301,'данные по римским HS'!$J$10:$Q$26,17,0))))</f>
        <v/>
      </c>
      <c r="C303" s="259" t="str">
        <f aca="false">IF(ISTEXT(C301),"",IF(AND(C302&lt;1,C302&gt;=0.75),2,IF(C301=0,"",HLOOKUP(C301,'данные по римским HS'!$J$10:$Q$26,17,0))))</f>
        <v/>
      </c>
      <c r="D303" s="259" t="str">
        <f aca="false">IF(ISTEXT(D301),"",IF(AND(D302&lt;1,D302&gt;=0.75),2,IF(D301=0,"",HLOOKUP(D301,'данные по римским HS'!$J$10:$Q$26,17,0))))</f>
        <v/>
      </c>
      <c r="E303" s="259" t="str">
        <f aca="false">IF(ISTEXT(E301),"",IF(AND(E302&lt;1,E302&gt;=0.75),2,IF(E301=0,"",HLOOKUP(E301,'данные по римским HS'!$J$10:$Q$26,17,0))))</f>
        <v/>
      </c>
      <c r="F303" s="259" t="str">
        <f aca="false">IF(ISTEXT(F301),"",IF(AND(F302&lt;1,F302&gt;=0.75),2,IF(F301=0,"",HLOOKUP(F301,'данные по римским HS'!$J$10:$Q$26,17,0))))</f>
        <v/>
      </c>
      <c r="G303" s="259" t="str">
        <f aca="false">IF(ISTEXT(G301),"",IF(AND(G302&lt;1,G302&gt;=0.75),2,IF(G301=0,"",HLOOKUP(G301,'данные по римским HS'!$J$10:$Q$26,17,0))))</f>
        <v/>
      </c>
      <c r="H303" s="259" t="str">
        <f aca="false">IF(ISTEXT(H301),"",IF(AND(H302&lt;1,H302&gt;=0.75),2,IF(H301=0,"",HLOOKUP(H301,'данные по римским HS'!$J$10:$Q$26,17,0))))</f>
        <v/>
      </c>
      <c r="I303" s="259" t="str">
        <f aca="false">IF(ISTEXT(I301),"",IF(AND(I302&lt;1,I302&gt;=0.75),2,IF(I301=0,"",HLOOKUP(I301,'данные по римским HS'!$J$10:$Q$26,17,0))))</f>
        <v/>
      </c>
      <c r="J303" s="259" t="str">
        <f aca="false">IF(ISTEXT(J301),"",IF(AND(J302&lt;1,J302&gt;=0.75),2,IF(J301=0,"",HLOOKUP(J301,'данные по римским HS'!$J$10:$Q$26,17,0))))</f>
        <v/>
      </c>
      <c r="K303" s="259" t="str">
        <f aca="false">IF(ISTEXT(K301),"",IF(AND(K302&lt;1,K302&gt;=0.75),2,IF(K301=0,"",HLOOKUP(K301,'данные по римским HS'!$J$10:$Q$26,17,0))))</f>
        <v/>
      </c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  <c r="BH303" s="95"/>
      <c r="BI303" s="95"/>
      <c r="BJ303" s="95"/>
      <c r="BK303" s="95"/>
      <c r="BL303" s="95"/>
    </row>
    <row r="304" customFormat="false" ht="12.45" hidden="true" customHeight="true" outlineLevel="0" collapsed="false">
      <c r="A304" s="260" t="s">
        <v>190</v>
      </c>
      <c r="B304" s="261" t="n">
        <f aca="false">'данные по римским HS'!$D$68</f>
        <v>428.96592094</v>
      </c>
      <c r="C304" s="261" t="n">
        <f aca="false">'данные по римским HS'!$D$68</f>
        <v>428.96592094</v>
      </c>
      <c r="D304" s="261" t="n">
        <f aca="false">'данные по римским HS'!$D$68</f>
        <v>428.96592094</v>
      </c>
      <c r="E304" s="261" t="n">
        <f aca="false">'данные по римским HS'!$D$68</f>
        <v>428.96592094</v>
      </c>
      <c r="F304" s="261" t="n">
        <f aca="false">'данные по римским HS'!$D$68</f>
        <v>428.96592094</v>
      </c>
      <c r="G304" s="261" t="n">
        <f aca="false">'данные по римским HS'!$D$68</f>
        <v>428.96592094</v>
      </c>
      <c r="H304" s="261" t="n">
        <f aca="false">'данные по римским HS'!$D$68</f>
        <v>428.96592094</v>
      </c>
      <c r="I304" s="261" t="n">
        <f aca="false">'данные по римским HS'!$D$68</f>
        <v>428.96592094</v>
      </c>
      <c r="J304" s="261" t="n">
        <f aca="false">'данные по римским HS'!$D$68</f>
        <v>428.96592094</v>
      </c>
      <c r="K304" s="261" t="n">
        <f aca="false">'данные по римским HS'!$D$68</f>
        <v>428.96592094</v>
      </c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  <c r="BH304" s="95"/>
      <c r="BI304" s="95"/>
      <c r="BJ304" s="95"/>
      <c r="BK304" s="95"/>
      <c r="BL304" s="95"/>
    </row>
    <row r="305" customFormat="false" ht="12.45" hidden="false" customHeight="true" outlineLevel="0" collapsed="false">
      <c r="A305" s="257" t="s">
        <v>109</v>
      </c>
      <c r="B305" s="258"/>
      <c r="C305" s="258"/>
      <c r="D305" s="258"/>
      <c r="E305" s="258"/>
      <c r="F305" s="258"/>
      <c r="G305" s="258"/>
      <c r="H305" s="258"/>
      <c r="I305" s="258"/>
      <c r="J305" s="258"/>
      <c r="K305" s="258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  <c r="BH305" s="95"/>
      <c r="BI305" s="95"/>
      <c r="BJ305" s="95"/>
      <c r="BK305" s="95"/>
      <c r="BL305" s="95"/>
    </row>
    <row r="306" customFormat="false" ht="12.45" hidden="false" customHeight="true" outlineLevel="0" collapsed="false">
      <c r="A306" s="255" t="s">
        <v>19</v>
      </c>
      <c r="B306" s="262" t="e">
        <f aca="false">VLOOKUP(B305,'данные по римским HS'!$D$11:$F$25,3,0)</f>
        <v>#N/A</v>
      </c>
      <c r="C306" s="262" t="e">
        <f aca="false">VLOOKUP(C305,'данные по римским HS'!$D$11:$F$25,3,0)</f>
        <v>#N/A</v>
      </c>
      <c r="D306" s="262" t="e">
        <f aca="false">VLOOKUP(D305,'данные по римским HS'!$D$11:$F$25,3,0)</f>
        <v>#N/A</v>
      </c>
      <c r="E306" s="262" t="e">
        <f aca="false">VLOOKUP(E305,'данные по римским HS'!$D$11:$F$25,3,0)</f>
        <v>#N/A</v>
      </c>
      <c r="F306" s="262" t="e">
        <f aca="false">VLOOKUP(F305,'данные по римским HS'!$D$11:$F$25,3,0)</f>
        <v>#N/A</v>
      </c>
      <c r="G306" s="262" t="e">
        <f aca="false">VLOOKUP(G305,'данные по римским HS'!$D$11:$F$25,3,0)</f>
        <v>#N/A</v>
      </c>
      <c r="H306" s="262" t="e">
        <f aca="false">VLOOKUP(H305,'данные по римским HS'!$D$11:$F$25,3,0)</f>
        <v>#N/A</v>
      </c>
      <c r="I306" s="262" t="e">
        <f aca="false">VLOOKUP(I305,'данные по римским HS'!$D$11:$F$25,3,0)</f>
        <v>#N/A</v>
      </c>
      <c r="J306" s="262" t="e">
        <f aca="false">VLOOKUP(J305,'данные по римским HS'!$D$11:$F$25,3,0)</f>
        <v>#N/A</v>
      </c>
      <c r="K306" s="262" t="e">
        <f aca="false">VLOOKUP(K305,'данные по римским HS'!$D$11:$F$25,3,0)</f>
        <v>#N/A</v>
      </c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  <c r="BH306" s="95"/>
      <c r="BI306" s="95"/>
      <c r="BJ306" s="95"/>
      <c r="BK306" s="95"/>
      <c r="BL306" s="95"/>
    </row>
    <row r="307" customFormat="false" ht="12.45" hidden="true" customHeight="true" outlineLevel="0" collapsed="false">
      <c r="A307" s="260" t="s">
        <v>191</v>
      </c>
      <c r="B307" s="263" t="e">
        <f aca="false">HLOOKUP(B301,'данные по римским HS'!$J$10:$Q$11,2,0)</f>
        <v>#N/A</v>
      </c>
      <c r="C307" s="263" t="e">
        <f aca="false">HLOOKUP(C301,'данные по римским HS'!$J$10:$Q$11,2,0)</f>
        <v>#N/A</v>
      </c>
      <c r="D307" s="263" t="e">
        <f aca="false">HLOOKUP(D301,'данные по римским HS'!$J$10:$Q$11,2,0)</f>
        <v>#N/A</v>
      </c>
      <c r="E307" s="263" t="e">
        <f aca="false">HLOOKUP(E301,'данные по римским HS'!$J$10:$Q$11,2,0)</f>
        <v>#N/A</v>
      </c>
      <c r="F307" s="263" t="e">
        <f aca="false">HLOOKUP(F301,'данные по римским HS'!$J$10:$Q$11,2,0)</f>
        <v>#N/A</v>
      </c>
      <c r="G307" s="263" t="e">
        <f aca="false">HLOOKUP(G301,'данные по римским HS'!$J$10:$Q$11,2,0)</f>
        <v>#N/A</v>
      </c>
      <c r="H307" s="263" t="e">
        <f aca="false">HLOOKUP(H301,'данные по римским HS'!$J$10:$Q$11,2,0)</f>
        <v>#N/A</v>
      </c>
      <c r="I307" s="263" t="e">
        <f aca="false">HLOOKUP(I301,'данные по римским HS'!$J$10:$Q$11,2,0)</f>
        <v>#N/A</v>
      </c>
      <c r="J307" s="263" t="e">
        <f aca="false">HLOOKUP(J301,'данные по римским HS'!$J$10:$Q$11,2,0)</f>
        <v>#N/A</v>
      </c>
      <c r="K307" s="263" t="e">
        <f aca="false">HLOOKUP(K301,'данные по римским HS'!$J$10:$Q$11,2,0)</f>
        <v>#N/A</v>
      </c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  <c r="BH307" s="95"/>
      <c r="BI307" s="95"/>
      <c r="BJ307" s="95"/>
      <c r="BK307" s="95"/>
      <c r="BL307" s="95"/>
    </row>
    <row r="308" customFormat="false" ht="12.45" hidden="false" customHeight="true" outlineLevel="0" collapsed="false">
      <c r="A308" s="255" t="s">
        <v>192</v>
      </c>
      <c r="B308" s="264" t="e">
        <f aca="false">ROUNDUP((B307+(B303*B304)+B306),1)</f>
        <v>#VALUE!</v>
      </c>
      <c r="C308" s="264" t="e">
        <f aca="false">ROUNDUP((C307+(C303*C304)+C306),1)</f>
        <v>#VALUE!</v>
      </c>
      <c r="D308" s="264" t="e">
        <f aca="false">ROUNDUP((D307+(D303*D304)+D306),1)</f>
        <v>#VALUE!</v>
      </c>
      <c r="E308" s="264" t="e">
        <f aca="false">ROUNDUP((E307+(E303*E304)+E306),1)</f>
        <v>#VALUE!</v>
      </c>
      <c r="F308" s="264" t="e">
        <f aca="false">ROUNDUP((F307+(F303*F304)+F306),1)</f>
        <v>#VALUE!</v>
      </c>
      <c r="G308" s="264" t="e">
        <f aca="false">ROUNDUP((G307+(G303*G304)+G306),1)</f>
        <v>#VALUE!</v>
      </c>
      <c r="H308" s="264" t="e">
        <f aca="false">ROUNDUP((H307+(H303*H304)+H306),1)</f>
        <v>#VALUE!</v>
      </c>
      <c r="I308" s="264" t="e">
        <f aca="false">ROUNDUP((I307+(I303*I304)+I306),1)</f>
        <v>#VALUE!</v>
      </c>
      <c r="J308" s="264" t="e">
        <f aca="false">ROUNDUP((J307+(J303*J304)+J306),1)</f>
        <v>#VALUE!</v>
      </c>
      <c r="K308" s="264" t="e">
        <f aca="false">ROUNDUP((K307+(K303*K304)+K306),1)</f>
        <v>#VALUE!</v>
      </c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  <c r="BH308" s="95"/>
      <c r="BI308" s="95"/>
      <c r="BJ308" s="95"/>
      <c r="BK308" s="95"/>
      <c r="BL308" s="95"/>
    </row>
    <row r="309" customFormat="false" ht="9.9" hidden="false" customHeight="true" outlineLevel="0" collapsed="false">
      <c r="A309" s="92" t="s">
        <v>82</v>
      </c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  <c r="BH309" s="95"/>
      <c r="BI309" s="95"/>
      <c r="BJ309" s="95"/>
      <c r="BK309" s="95"/>
      <c r="BL309" s="95"/>
    </row>
    <row r="310" customFormat="false" ht="12.45" hidden="false" customHeight="true" outlineLevel="0" collapsed="false">
      <c r="A310" s="255"/>
      <c r="B310" s="264" t="e">
        <f aca="false">HLOOKUP(B309,Услуги!$H$4:$I$6,3,0)</f>
        <v>#N/A</v>
      </c>
      <c r="C310" s="264" t="e">
        <f aca="false">HLOOKUP(C309,Услуги!$H$4:$I$6,3,0)</f>
        <v>#N/A</v>
      </c>
      <c r="D310" s="264" t="e">
        <f aca="false">HLOOKUP(D309,Услуги!$H$4:$I$6,3,0)</f>
        <v>#N/A</v>
      </c>
      <c r="E310" s="264" t="e">
        <f aca="false">HLOOKUP(E309,Услуги!$H$4:$I$6,3,0)</f>
        <v>#N/A</v>
      </c>
      <c r="F310" s="264" t="e">
        <f aca="false">HLOOKUP(F309,Услуги!$H$4:$I$6,3,0)</f>
        <v>#N/A</v>
      </c>
      <c r="G310" s="264" t="e">
        <f aca="false">HLOOKUP(G309,Услуги!$H$4:$I$6,3,0)</f>
        <v>#N/A</v>
      </c>
      <c r="H310" s="264" t="e">
        <f aca="false">HLOOKUP(H309,Услуги!$H$4:$I$6,3,0)</f>
        <v>#N/A</v>
      </c>
      <c r="I310" s="264" t="e">
        <f aca="false">HLOOKUP(I309,Услуги!$H$4:$I$6,3,0)</f>
        <v>#N/A</v>
      </c>
      <c r="J310" s="264" t="e">
        <f aca="false">HLOOKUP(J309,Услуги!$H$4:$I$6,3,0)</f>
        <v>#N/A</v>
      </c>
      <c r="K310" s="264" t="e">
        <f aca="false">HLOOKUP(K309,Услуги!$H$4:$I$6,3,0)</f>
        <v>#N/A</v>
      </c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  <c r="BH310" s="95"/>
      <c r="BI310" s="95"/>
      <c r="BJ310" s="95"/>
      <c r="BK310" s="95"/>
      <c r="BL310" s="95"/>
    </row>
    <row r="311" customFormat="false" ht="12.45" hidden="false" customHeight="true" outlineLevel="0" collapsed="false">
      <c r="A311" s="151"/>
      <c r="B311" s="122"/>
      <c r="C311" s="151"/>
      <c r="D311" s="151"/>
      <c r="E311" s="151"/>
      <c r="F311" s="151"/>
      <c r="G311" s="151"/>
      <c r="H311" s="151"/>
      <c r="I311" s="151"/>
      <c r="J311" s="151"/>
      <c r="K311" s="151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  <c r="BH311" s="95"/>
      <c r="BI311" s="95"/>
      <c r="BJ311" s="95"/>
      <c r="BK311" s="95"/>
      <c r="BL311" s="95"/>
    </row>
    <row r="312" customFormat="false" ht="12.45" hidden="false" customHeight="true" outlineLevel="0" collapsed="false">
      <c r="A312" s="116" t="s">
        <v>95</v>
      </c>
      <c r="B312" s="265"/>
      <c r="C312" s="265"/>
      <c r="D312" s="265"/>
      <c r="E312" s="265"/>
    </row>
    <row r="313" customFormat="false" ht="12.45" hidden="false" customHeight="true" outlineLevel="0" collapsed="false">
      <c r="A313" s="151"/>
      <c r="B313" s="266" t="e">
        <f aca="false">VLOOKUP(B312,'Управление и питание'!$C$66:$G$67,5,0)</f>
        <v>#N/A</v>
      </c>
      <c r="C313" s="266"/>
      <c r="D313" s="266" t="e">
        <f aca="false">VLOOKUP(D312,'Управление и питание'!$C$66:$G$67,5,0)</f>
        <v>#N/A</v>
      </c>
      <c r="E313" s="266"/>
      <c r="F313" s="151"/>
      <c r="G313" s="151"/>
      <c r="H313" s="151"/>
      <c r="I313" s="151"/>
      <c r="J313" s="151"/>
      <c r="K313" s="151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  <c r="BH313" s="95"/>
      <c r="BI313" s="95"/>
      <c r="BJ313" s="95"/>
      <c r="BK313" s="95"/>
      <c r="BL313" s="95"/>
    </row>
    <row r="314" customFormat="false" ht="12.45" hidden="false" customHeight="true" outlineLevel="0" collapsed="false">
      <c r="A314" s="151"/>
      <c r="B314" s="122"/>
      <c r="C314" s="151"/>
      <c r="D314" s="151"/>
      <c r="E314" s="151"/>
      <c r="F314" s="151"/>
      <c r="G314" s="151"/>
      <c r="H314" s="151"/>
      <c r="I314" s="151"/>
      <c r="J314" s="151"/>
      <c r="K314" s="151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  <c r="BH314" s="95"/>
      <c r="BI314" s="95"/>
      <c r="BJ314" s="95"/>
      <c r="BK314" s="95"/>
      <c r="BL314" s="95"/>
    </row>
    <row r="315" customFormat="false" ht="21.1" hidden="false" customHeight="true" outlineLevel="0" collapsed="false">
      <c r="A315" s="121" t="s">
        <v>193</v>
      </c>
      <c r="B315" s="121"/>
      <c r="C315" s="121"/>
      <c r="D315" s="121"/>
      <c r="E315" s="121"/>
      <c r="F315" s="122"/>
      <c r="G315" s="233"/>
      <c r="H315" s="95"/>
      <c r="I315" s="95"/>
      <c r="J315" s="151"/>
      <c r="K315" s="151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  <c r="BH315" s="95"/>
      <c r="BI315" s="95"/>
      <c r="BJ315" s="95"/>
      <c r="BK315" s="95"/>
      <c r="BL315" s="95"/>
    </row>
    <row r="316" customFormat="false" ht="12.45" hidden="false" customHeight="true" outlineLevel="0" collapsed="false">
      <c r="A316" s="124" t="s">
        <v>100</v>
      </c>
      <c r="B316" s="125" t="s">
        <v>101</v>
      </c>
      <c r="C316" s="125" t="s">
        <v>102</v>
      </c>
      <c r="D316" s="125" t="s">
        <v>103</v>
      </c>
      <c r="E316" s="125" t="s">
        <v>104</v>
      </c>
      <c r="F316" s="125" t="s">
        <v>105</v>
      </c>
      <c r="G316" s="246" t="s">
        <v>98</v>
      </c>
      <c r="H316" s="247" t="s">
        <v>99</v>
      </c>
      <c r="I316" s="95"/>
      <c r="J316" s="151"/>
      <c r="K316" s="151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  <c r="BH316" s="95"/>
      <c r="BI316" s="95"/>
      <c r="BJ316" s="95"/>
      <c r="BK316" s="95"/>
      <c r="BL316" s="95"/>
    </row>
    <row r="317" customFormat="false" ht="17" hidden="false" customHeight="true" outlineLevel="0" collapsed="false">
      <c r="A317" s="127" t="e">
        <f aca="false">VLOOKUP(B312,'Управление и питание'!$C$66:$H$67,6,0)</f>
        <v>#N/A</v>
      </c>
      <c r="B317" s="128"/>
      <c r="C317" s="128"/>
      <c r="D317" s="128"/>
      <c r="E317" s="129" t="e">
        <f aca="false">B313</f>
        <v>#N/A</v>
      </c>
      <c r="F317" s="194" t="str">
        <f aca="false">IF(B317&lt;=0,"не указано кол-во",B317*E317)</f>
        <v>не указано кол-во</v>
      </c>
      <c r="G317" s="248" t="s">
        <v>106</v>
      </c>
      <c r="H317" s="248"/>
      <c r="I317" s="248"/>
      <c r="J317" s="151"/>
      <c r="K317" s="151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  <c r="BH317" s="95"/>
      <c r="BI317" s="95"/>
      <c r="BJ317" s="95"/>
      <c r="BK317" s="95"/>
      <c r="BL317" s="95"/>
    </row>
    <row r="318" customFormat="false" ht="17" hidden="false" customHeight="true" outlineLevel="0" collapsed="false">
      <c r="A318" s="127" t="e">
        <f aca="false">VLOOKUP(D312,'Управление и питание'!$C$66:$H$67,6,0)</f>
        <v>#N/A</v>
      </c>
      <c r="B318" s="128"/>
      <c r="C318" s="128"/>
      <c r="D318" s="128"/>
      <c r="E318" s="129" t="e">
        <f aca="false">D313</f>
        <v>#N/A</v>
      </c>
      <c r="F318" s="194" t="str">
        <f aca="false">IF(B318&lt;=0,"не указано кол-во",B318*E318)</f>
        <v>не указано кол-во</v>
      </c>
      <c r="G318" s="248" t="s">
        <v>106</v>
      </c>
      <c r="H318" s="248"/>
      <c r="I318" s="248"/>
      <c r="J318" s="267"/>
      <c r="K318" s="267"/>
    </row>
    <row r="319" customFormat="false" ht="62.4" hidden="false" customHeight="true" outlineLevel="0" collapsed="false">
      <c r="A319" s="132" t="e">
        <f aca="false">VLOOKUP(B305,'данные по римским HS'!$D$11:$E$25,2,0)&amp;" до "&amp;B301&amp;" м"</f>
        <v>#N/A</v>
      </c>
      <c r="B319" s="268"/>
      <c r="C319" s="269" t="str">
        <f aca="false">B302*1000&amp;" мм"</f>
        <v>0 мм</v>
      </c>
      <c r="D319" s="269"/>
      <c r="E319" s="270" t="e">
        <f aca="false">B308</f>
        <v>#VALUE!</v>
      </c>
      <c r="F319" s="194" t="str">
        <f aca="false">IF(B319&lt;=0,"не указано кол-во",B319*E319)</f>
        <v>не указано кол-во</v>
      </c>
      <c r="G319" s="271" t="str">
        <f aca="false">IF(B319=0,"нет кол-ва",IF(ISNUMBER(B310),B310,""))</f>
        <v>нет кол-ва</v>
      </c>
      <c r="H319" s="272" t="str">
        <f aca="false">IF(ISNUMBER(G319),G319*B319,G319)</f>
        <v>нет кол-ва</v>
      </c>
      <c r="I319" s="252" t="s">
        <v>176</v>
      </c>
      <c r="J319" s="267"/>
      <c r="K319" s="267"/>
    </row>
    <row r="320" customFormat="false" ht="17" hidden="false" customHeight="true" outlineLevel="0" collapsed="false">
      <c r="A320" s="132" t="e">
        <f aca="false">VLOOKUP(C305,'данные по римским HS'!$D$11:$E$25,2,0)&amp;" до "&amp;C301&amp;" м"</f>
        <v>#N/A</v>
      </c>
      <c r="B320" s="268"/>
      <c r="C320" s="269" t="str">
        <f aca="false">C302*1000&amp;" мм"</f>
        <v>0 мм</v>
      </c>
      <c r="D320" s="269"/>
      <c r="E320" s="270" t="e">
        <f aca="false">C308</f>
        <v>#VALUE!</v>
      </c>
      <c r="F320" s="194" t="str">
        <f aca="false">IF(B320&lt;=0,"не указано кол-во",B320*E320)</f>
        <v>не указано кол-во</v>
      </c>
      <c r="G320" s="271" t="str">
        <f aca="false">IF(B320=0,"нет кол-ва",IF(ISNUMBER(C310),C310,""))</f>
        <v>нет кол-ва</v>
      </c>
      <c r="H320" s="273" t="str">
        <f aca="false">IF(ISNUMBER(G320),G320*B320,G320)</f>
        <v>нет кол-ва</v>
      </c>
      <c r="I320" s="252" t="s">
        <v>177</v>
      </c>
      <c r="J320" s="267"/>
      <c r="K320" s="267"/>
    </row>
    <row r="321" customFormat="false" ht="17" hidden="false" customHeight="true" outlineLevel="0" collapsed="false">
      <c r="A321" s="132" t="e">
        <f aca="false">VLOOKUP(D305,'данные по римским HS'!$D$11:$E$25,2,0)&amp;" до "&amp;D301&amp;" м"</f>
        <v>#N/A</v>
      </c>
      <c r="B321" s="268"/>
      <c r="C321" s="269" t="str">
        <f aca="false">D302*1000&amp;" мм"</f>
        <v>0 мм</v>
      </c>
      <c r="D321" s="269"/>
      <c r="E321" s="270" t="e">
        <f aca="false">D308</f>
        <v>#VALUE!</v>
      </c>
      <c r="F321" s="194" t="str">
        <f aca="false">IF(B321&lt;=0,"не указано кол-во",B321*E321)</f>
        <v>не указано кол-во</v>
      </c>
      <c r="G321" s="271" t="str">
        <f aca="false">IF(B321=0,"нет кол-ва",IF(ISNUMBER(D310),D310,""))</f>
        <v>нет кол-ва</v>
      </c>
      <c r="H321" s="273" t="str">
        <f aca="false">IF(ISNUMBER(G321),G321*B321,G321)</f>
        <v>нет кол-ва</v>
      </c>
      <c r="I321" s="252" t="s">
        <v>178</v>
      </c>
      <c r="J321" s="267"/>
      <c r="K321" s="267"/>
    </row>
    <row r="322" customFormat="false" ht="17" hidden="false" customHeight="true" outlineLevel="0" collapsed="false">
      <c r="A322" s="132" t="e">
        <f aca="false">VLOOKUP(E305,'данные по римским HS'!$D$11:$E$25,2,0)&amp;" до "&amp;E301&amp;" м"</f>
        <v>#N/A</v>
      </c>
      <c r="B322" s="268"/>
      <c r="C322" s="269" t="str">
        <f aca="false">E302*1000&amp;" мм"</f>
        <v>0 мм</v>
      </c>
      <c r="D322" s="269"/>
      <c r="E322" s="270" t="e">
        <f aca="false">E308</f>
        <v>#VALUE!</v>
      </c>
      <c r="F322" s="194" t="str">
        <f aca="false">IF(B322&lt;=0,"не указано кол-во",B322*E322)</f>
        <v>не указано кол-во</v>
      </c>
      <c r="G322" s="271" t="str">
        <f aca="false">IF(B322=0,"нет кол-ва",IF(ISNUMBER(E310),E310,""))</f>
        <v>нет кол-ва</v>
      </c>
      <c r="H322" s="273" t="str">
        <f aca="false">IF(ISNUMBER(G322),G322*B322,G322)</f>
        <v>нет кол-ва</v>
      </c>
      <c r="I322" s="252" t="s">
        <v>179</v>
      </c>
      <c r="J322" s="267"/>
      <c r="K322" s="267"/>
    </row>
    <row r="323" customFormat="false" ht="17" hidden="false" customHeight="true" outlineLevel="0" collapsed="false">
      <c r="A323" s="132" t="e">
        <f aca="false">VLOOKUP(F305,'данные по римским HS'!$D$11:$E$25,2,0)&amp;" до "&amp;F301&amp;" м"</f>
        <v>#N/A</v>
      </c>
      <c r="B323" s="268"/>
      <c r="C323" s="269" t="str">
        <f aca="false">F302*1000&amp;" мм"</f>
        <v>0 мм</v>
      </c>
      <c r="D323" s="269"/>
      <c r="E323" s="270" t="e">
        <f aca="false">F308</f>
        <v>#VALUE!</v>
      </c>
      <c r="F323" s="194" t="str">
        <f aca="false">IF(B323&lt;=0,"не указано кол-во",B323*E323)</f>
        <v>не указано кол-во</v>
      </c>
      <c r="G323" s="271" t="str">
        <f aca="false">IF(B323=0,"нет кол-ва",IF(ISNUMBER(F310),F310,""))</f>
        <v>нет кол-ва</v>
      </c>
      <c r="H323" s="273" t="str">
        <f aca="false">IF(ISNUMBER(G323),G323*B323,G323)</f>
        <v>нет кол-ва</v>
      </c>
      <c r="I323" s="252" t="s">
        <v>180</v>
      </c>
      <c r="J323" s="267"/>
      <c r="K323" s="267"/>
    </row>
    <row r="324" customFormat="false" ht="17" hidden="false" customHeight="true" outlineLevel="0" collapsed="false">
      <c r="A324" s="132" t="e">
        <f aca="false">VLOOKUP(G305,'данные по римским HS'!$D$11:$E$25,2,0)&amp;" до "&amp;G301&amp;" м"</f>
        <v>#N/A</v>
      </c>
      <c r="B324" s="268"/>
      <c r="C324" s="269" t="str">
        <f aca="false">G302*1000&amp;" мм"</f>
        <v>0 мм</v>
      </c>
      <c r="D324" s="269"/>
      <c r="E324" s="270" t="e">
        <f aca="false">G308</f>
        <v>#VALUE!</v>
      </c>
      <c r="F324" s="194" t="str">
        <f aca="false">IF(B324&lt;=0,"не указано кол-во",B324*E324)</f>
        <v>не указано кол-во</v>
      </c>
      <c r="G324" s="271" t="str">
        <f aca="false">IF(B324=0,"нет кол-ва",IF(ISNUMBER(G310),G310,""))</f>
        <v>нет кол-ва</v>
      </c>
      <c r="H324" s="273" t="str">
        <f aca="false">IF(ISNUMBER(G324),G324*B324,G324)</f>
        <v>нет кол-ва</v>
      </c>
      <c r="I324" s="252" t="s">
        <v>181</v>
      </c>
    </row>
    <row r="325" customFormat="false" ht="17" hidden="false" customHeight="true" outlineLevel="0" collapsed="false">
      <c r="A325" s="132" t="e">
        <f aca="false">VLOOKUP(H305,'данные по римским HS'!$D$11:$E$25,2,0)&amp;" до "&amp;H301&amp;" м"</f>
        <v>#N/A</v>
      </c>
      <c r="B325" s="268"/>
      <c r="C325" s="269" t="str">
        <f aca="false">H302*1000&amp;" мм"</f>
        <v>0 мм</v>
      </c>
      <c r="D325" s="269"/>
      <c r="E325" s="270" t="e">
        <f aca="false">H308</f>
        <v>#VALUE!</v>
      </c>
      <c r="F325" s="194" t="str">
        <f aca="false">IF(B325&lt;=0,"не указано кол-во",B325*E325)</f>
        <v>не указано кол-во</v>
      </c>
      <c r="G325" s="271" t="str">
        <f aca="false">IF(B325=0,"нет кол-ва",IF(ISNUMBER(H310),H310,""))</f>
        <v>нет кол-ва</v>
      </c>
      <c r="H325" s="273" t="str">
        <f aca="false">IF(ISNUMBER(G325),G325*B325,G325)</f>
        <v>нет кол-ва</v>
      </c>
      <c r="I325" s="252" t="s">
        <v>182</v>
      </c>
    </row>
    <row r="326" customFormat="false" ht="17" hidden="false" customHeight="true" outlineLevel="0" collapsed="false">
      <c r="A326" s="132" t="e">
        <f aca="false">VLOOKUP(I305,'данные по римским HS'!$D$11:$E$25,2,0)&amp;" до "&amp;I301&amp;" м"</f>
        <v>#N/A</v>
      </c>
      <c r="B326" s="268"/>
      <c r="C326" s="269" t="str">
        <f aca="false">I302*1000&amp;" мм"</f>
        <v>0 мм</v>
      </c>
      <c r="D326" s="269"/>
      <c r="E326" s="270" t="e">
        <f aca="false">I308</f>
        <v>#VALUE!</v>
      </c>
      <c r="F326" s="194" t="str">
        <f aca="false">IF(B326&lt;=0,"не указано кол-во",B326*E326)</f>
        <v>не указано кол-во</v>
      </c>
      <c r="G326" s="271" t="str">
        <f aca="false">IF(B326=0,"нет кол-ва",IF(ISNUMBER(I310),I310,""))</f>
        <v>нет кол-ва</v>
      </c>
      <c r="H326" s="273" t="str">
        <f aca="false">IF(ISNUMBER(G326),G326*B326,G326)</f>
        <v>нет кол-ва</v>
      </c>
      <c r="I326" s="252" t="s">
        <v>183</v>
      </c>
    </row>
    <row r="327" customFormat="false" ht="17" hidden="false" customHeight="true" outlineLevel="0" collapsed="false">
      <c r="A327" s="132" t="e">
        <f aca="false">VLOOKUP(J305,'данные по римским HS'!$D$11:$E$25,2,0)&amp;" до "&amp;J301&amp;" м"</f>
        <v>#N/A</v>
      </c>
      <c r="B327" s="268"/>
      <c r="C327" s="269" t="str">
        <f aca="false">J302*1000&amp;" мм"</f>
        <v>0 мм</v>
      </c>
      <c r="D327" s="269"/>
      <c r="E327" s="270" t="e">
        <f aca="false">J308</f>
        <v>#VALUE!</v>
      </c>
      <c r="F327" s="194" t="str">
        <f aca="false">IF(B327&lt;=0,"не указано кол-во",B327*E327)</f>
        <v>не указано кол-во</v>
      </c>
      <c r="G327" s="271" t="str">
        <f aca="false">IF(B327=0,"нет кол-ва",IF(ISNUMBER(J310),J310,""))</f>
        <v>нет кол-ва</v>
      </c>
      <c r="H327" s="273" t="str">
        <f aca="false">IF(ISNUMBER(G327),G327*B327,G327)</f>
        <v>нет кол-ва</v>
      </c>
      <c r="I327" s="252" t="s">
        <v>184</v>
      </c>
    </row>
    <row r="328" customFormat="false" ht="17" hidden="false" customHeight="true" outlineLevel="0" collapsed="false">
      <c r="A328" s="132" t="e">
        <f aca="false">VLOOKUP(K305,'данные по римским HS'!$D$11:$E$25,2,0)&amp;" до "&amp;K301&amp;" м"</f>
        <v>#N/A</v>
      </c>
      <c r="B328" s="268"/>
      <c r="C328" s="269" t="str">
        <f aca="false">K302*1000&amp;" мм"</f>
        <v>0 мм</v>
      </c>
      <c r="D328" s="269"/>
      <c r="E328" s="270" t="e">
        <f aca="false">K308</f>
        <v>#VALUE!</v>
      </c>
      <c r="F328" s="194" t="str">
        <f aca="false">IF(B328&lt;=0,"не указано кол-во",B328*E328)</f>
        <v>не указано кол-во</v>
      </c>
      <c r="G328" s="271" t="str">
        <f aca="false">IF(B328=0,"нет кол-ва",IF(ISNUMBER(K310),K310,""))</f>
        <v>нет кол-ва</v>
      </c>
      <c r="H328" s="273" t="str">
        <f aca="false">IF(ISNUMBER(G328),G328*B328,G328)</f>
        <v>нет кол-ва</v>
      </c>
      <c r="I328" s="252" t="s">
        <v>185</v>
      </c>
    </row>
    <row r="329" customFormat="false" ht="12.45" hidden="false" customHeight="true" outlineLevel="0" collapsed="false">
      <c r="D329" s="144"/>
      <c r="E329" s="145" t="s">
        <v>84</v>
      </c>
      <c r="F329" s="146" t="n">
        <f aca="false">SUM(F317:F328)</f>
        <v>0</v>
      </c>
      <c r="G329" s="274"/>
      <c r="H329" s="274" t="n">
        <f aca="false">SUM(H319:H328)</f>
        <v>0</v>
      </c>
    </row>
    <row r="330" customFormat="false" ht="12.45" hidden="false" customHeight="true" outlineLevel="0" collapsed="false">
      <c r="A330" s="0"/>
      <c r="B330" s="0"/>
      <c r="C330" s="0"/>
      <c r="D330" s="145" t="s">
        <v>107</v>
      </c>
      <c r="E330" s="149"/>
      <c r="F330" s="146" t="n">
        <f aca="false">F329*E330</f>
        <v>0</v>
      </c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</row>
    <row r="331" customFormat="false" ht="12.45" hidden="false" customHeight="true" outlineLevel="0" collapsed="false">
      <c r="D331" s="144"/>
      <c r="E331" s="145" t="s">
        <v>108</v>
      </c>
      <c r="F331" s="146" t="n">
        <f aca="false">F329-F330</f>
        <v>0</v>
      </c>
    </row>
    <row r="332" customFormat="false" ht="12.45" hidden="false" customHeight="true" outlineLevel="0" collapsed="false"/>
    <row r="333" customFormat="false" ht="12.45" hidden="false" customHeight="true" outlineLevel="0" collapsed="false"/>
    <row r="334" customFormat="false" ht="23.7" hidden="false" customHeight="true" outlineLevel="0" collapsed="false">
      <c r="A334" s="211"/>
      <c r="B334" s="204" t="s">
        <v>194</v>
      </c>
      <c r="C334" s="204"/>
      <c r="D334" s="204"/>
      <c r="E334" s="204"/>
      <c r="F334" s="204"/>
      <c r="G334" s="204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  <c r="BH334" s="95"/>
      <c r="BI334" s="95"/>
      <c r="BJ334" s="95"/>
      <c r="BK334" s="95"/>
      <c r="BL334" s="95"/>
    </row>
    <row r="335" customFormat="false" ht="18.1" hidden="false" customHeight="true" outlineLevel="0" collapsed="false">
      <c r="A335" s="112" t="s">
        <v>91</v>
      </c>
      <c r="B335" s="113" t="s">
        <v>92</v>
      </c>
      <c r="C335" s="113"/>
      <c r="D335" s="114" t="s">
        <v>93</v>
      </c>
      <c r="E335" s="114"/>
      <c r="F335" s="114" t="s">
        <v>94</v>
      </c>
      <c r="G335" s="114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  <c r="AA335" s="151"/>
      <c r="AB335" s="151"/>
      <c r="AC335" s="151"/>
      <c r="AD335" s="151"/>
      <c r="AE335" s="151"/>
      <c r="AF335" s="151"/>
      <c r="AG335" s="151"/>
      <c r="AH335" s="151"/>
      <c r="AI335" s="151"/>
      <c r="AJ335" s="151"/>
      <c r="AK335" s="151"/>
      <c r="AL335" s="151"/>
      <c r="AM335" s="151"/>
      <c r="AN335" s="151"/>
      <c r="AO335" s="151"/>
      <c r="AP335" s="151"/>
      <c r="AQ335" s="151"/>
      <c r="AR335" s="151"/>
      <c r="AS335" s="151"/>
      <c r="AT335" s="151"/>
      <c r="AU335" s="151"/>
      <c r="AV335" s="151"/>
      <c r="AW335" s="151"/>
      <c r="AX335" s="151"/>
      <c r="AY335" s="151"/>
      <c r="AZ335" s="151"/>
      <c r="BA335" s="151"/>
      <c r="BB335" s="151"/>
      <c r="BC335" s="151"/>
      <c r="BD335" s="151"/>
      <c r="BE335" s="151"/>
      <c r="BF335" s="151"/>
      <c r="BG335" s="151"/>
      <c r="BH335" s="151"/>
      <c r="BI335" s="151"/>
      <c r="BJ335" s="151"/>
      <c r="BK335" s="151"/>
      <c r="BL335" s="151"/>
    </row>
    <row r="336" customFormat="false" ht="24.35" hidden="false" customHeight="true" outlineLevel="0" collapsed="false">
      <c r="A336" s="116" t="s">
        <v>139</v>
      </c>
      <c r="B336" s="212"/>
      <c r="C336" s="212"/>
      <c r="D336" s="212"/>
      <c r="E336" s="212"/>
      <c r="F336" s="212"/>
      <c r="G336" s="212"/>
      <c r="H336" s="212"/>
      <c r="I336" s="212"/>
      <c r="J336" s="212"/>
      <c r="K336" s="212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  <c r="BH336" s="95"/>
      <c r="BI336" s="95"/>
      <c r="BJ336" s="95"/>
      <c r="BK336" s="95"/>
      <c r="BL336" s="95"/>
    </row>
    <row r="337" customFormat="false" ht="32.45" hidden="true" customHeight="true" outlineLevel="0" collapsed="false">
      <c r="A337" s="213" t="s">
        <v>140</v>
      </c>
      <c r="B337" s="214" t="e">
        <f aca="false">VLOOKUP(B336,'данные ГЖ алюм 16,25,50'!$D$5:$E$103,2,0)</f>
        <v>#N/A</v>
      </c>
      <c r="C337" s="214" t="e">
        <f aca="false">VLOOKUP(C336,'данные ГЖ алюм 16,25,50'!$D$5:$E$103,2,0)</f>
        <v>#N/A</v>
      </c>
      <c r="D337" s="214" t="e">
        <f aca="false">VLOOKUP(D336,'данные ГЖ алюм 16,25,50'!$D$5:$E$103,2,0)</f>
        <v>#N/A</v>
      </c>
      <c r="E337" s="214" t="e">
        <f aca="false">VLOOKUP(E336,'данные ГЖ алюм 16,25,50'!$D$5:$E$103,2,0)</f>
        <v>#N/A</v>
      </c>
      <c r="F337" s="214" t="e">
        <f aca="false">VLOOKUP(F336,'данные ГЖ алюм 16,25,50'!$D$5:$E$103,2,0)</f>
        <v>#N/A</v>
      </c>
      <c r="G337" s="214" t="e">
        <f aca="false">VLOOKUP(G336,'данные ГЖ алюм 16,25,50'!$D$5:$E$103,2,0)</f>
        <v>#N/A</v>
      </c>
      <c r="H337" s="214" t="e">
        <f aca="false">VLOOKUP(H336,'данные ГЖ алюм 16,25,50'!$D$5:$E$103,2,0)</f>
        <v>#N/A</v>
      </c>
      <c r="I337" s="214" t="e">
        <f aca="false">VLOOKUP(I336,'данные ГЖ алюм 16,25,50'!$D$5:$E$103,2,0)</f>
        <v>#N/A</v>
      </c>
      <c r="J337" s="214" t="e">
        <f aca="false">VLOOKUP(J336,'данные ГЖ алюм 16,25,50'!$D$5:$E$103,2,0)</f>
        <v>#N/A</v>
      </c>
      <c r="K337" s="214" t="e">
        <f aca="false">VLOOKUP(K336,'данные ГЖ алюм 16,25,50'!$D$5:$E$103,2,0)</f>
        <v>#N/A</v>
      </c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  <c r="BH337" s="95"/>
      <c r="BI337" s="95"/>
      <c r="BJ337" s="95"/>
      <c r="BK337" s="95"/>
      <c r="BL337" s="95"/>
    </row>
    <row r="338" customFormat="false" ht="10.5" hidden="false" customHeight="true" outlineLevel="0" collapsed="false">
      <c r="A338" s="116" t="s">
        <v>141</v>
      </c>
      <c r="B338" s="215"/>
      <c r="C338" s="215"/>
      <c r="D338" s="215"/>
      <c r="E338" s="215"/>
      <c r="F338" s="215"/>
      <c r="G338" s="215"/>
      <c r="H338" s="216"/>
      <c r="I338" s="216"/>
      <c r="J338" s="216"/>
      <c r="K338" s="216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  <c r="BH338" s="95"/>
      <c r="BI338" s="95"/>
      <c r="BJ338" s="95"/>
      <c r="BK338" s="95"/>
      <c r="BL338" s="95"/>
    </row>
    <row r="339" customFormat="false" ht="10.5" hidden="true" customHeight="true" outlineLevel="0" collapsed="false">
      <c r="A339" s="217" t="s">
        <v>142</v>
      </c>
      <c r="B339" s="218" t="n">
        <f aca="false">IF(B345="ок",1,0)</f>
        <v>0</v>
      </c>
      <c r="C339" s="218" t="n">
        <f aca="false">IF(C345="ок",1,0)</f>
        <v>0</v>
      </c>
      <c r="D339" s="218" t="n">
        <f aca="false">IF(D345="ок",1,0)</f>
        <v>0</v>
      </c>
      <c r="E339" s="218" t="n">
        <f aca="false">IF(E345="ок",1,0)</f>
        <v>0</v>
      </c>
      <c r="F339" s="218" t="n">
        <f aca="false">IF(F345="ок",1,0)</f>
        <v>0</v>
      </c>
      <c r="G339" s="218" t="n">
        <f aca="false">IF(G345="ок",1,0)</f>
        <v>0</v>
      </c>
      <c r="H339" s="218" t="n">
        <f aca="false">IF(H345="ок",1,0)</f>
        <v>0</v>
      </c>
      <c r="I339" s="218" t="n">
        <f aca="false">IF(I345="ок",1,0)</f>
        <v>0</v>
      </c>
      <c r="J339" s="218" t="n">
        <f aca="false">IF(J345="ок",1,0)</f>
        <v>0</v>
      </c>
      <c r="K339" s="218" t="n">
        <f aca="false">IF(K345="ок",1,0)</f>
        <v>0</v>
      </c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  <c r="BH339" s="95"/>
      <c r="BI339" s="95"/>
      <c r="BJ339" s="95"/>
      <c r="BK339" s="95"/>
      <c r="BL339" s="95"/>
    </row>
    <row r="340" customFormat="false" ht="10.5" hidden="true" customHeight="true" outlineLevel="0" collapsed="false">
      <c r="A340" s="217" t="s">
        <v>143</v>
      </c>
      <c r="B340" s="219" t="e">
        <f aca="false">VLOOKUP(B336,'данные ГЖ алюм 16,25,50'!$D$5:$F$103,3,0)</f>
        <v>#N/A</v>
      </c>
      <c r="C340" s="219" t="e">
        <f aca="false">VLOOKUP(C336,'данные ГЖ алюм 16,25,50'!$D$5:$F$103,3,0)</f>
        <v>#N/A</v>
      </c>
      <c r="D340" s="219" t="e">
        <f aca="false">VLOOKUP(D336,'данные ГЖ алюм 16,25,50'!$D$5:$F$103,3,0)</f>
        <v>#N/A</v>
      </c>
      <c r="E340" s="219" t="e">
        <f aca="false">VLOOKUP(E336,'данные ГЖ алюм 16,25,50'!$D$5:$F$103,3,0)</f>
        <v>#N/A</v>
      </c>
      <c r="F340" s="219" t="e">
        <f aca="false">VLOOKUP(F336,'данные ГЖ алюм 16,25,50'!$D$5:$F$103,3,0)</f>
        <v>#N/A</v>
      </c>
      <c r="G340" s="219" t="e">
        <f aca="false">VLOOKUP(G336,'данные ГЖ алюм 16,25,50'!$D$5:$F$103,3,0)</f>
        <v>#N/A</v>
      </c>
      <c r="H340" s="219" t="e">
        <f aca="false">VLOOKUP(H336,'данные ГЖ алюм 16,25,50'!$D$5:$F$103,3,0)</f>
        <v>#N/A</v>
      </c>
      <c r="I340" s="219" t="e">
        <f aca="false">VLOOKUP(I336,'данные ГЖ алюм 16,25,50'!$D$5:$F$103,3,0)</f>
        <v>#N/A</v>
      </c>
      <c r="J340" s="219" t="e">
        <f aca="false">VLOOKUP(J336,'данные ГЖ алюм 16,25,50'!$D$5:$F$103,3,0)</f>
        <v>#N/A</v>
      </c>
      <c r="K340" s="219" t="e">
        <f aca="false">VLOOKUP(K336,'данные ГЖ алюм 16,25,50'!$D$5:$F$103,3,0)</f>
        <v>#N/A</v>
      </c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  <c r="BH340" s="95"/>
      <c r="BI340" s="95"/>
      <c r="BJ340" s="95"/>
      <c r="BK340" s="95"/>
      <c r="BL340" s="95"/>
    </row>
    <row r="341" customFormat="false" ht="10.5" hidden="true" customHeight="true" outlineLevel="0" collapsed="false">
      <c r="A341" s="217" t="s">
        <v>144</v>
      </c>
      <c r="B341" s="219" t="e">
        <f aca="false">VLOOKUP(B336,'данные ГЖ алюм 16,25,50'!$D$5:$G$103,4,0)</f>
        <v>#N/A</v>
      </c>
      <c r="C341" s="219" t="e">
        <f aca="false">VLOOKUP(C336,'данные ГЖ алюм 16,25,50'!$D$5:$G$103,4,0)</f>
        <v>#N/A</v>
      </c>
      <c r="D341" s="219" t="e">
        <f aca="false">VLOOKUP(D336,'данные ГЖ алюм 16,25,50'!$D$5:$G$103,4,0)</f>
        <v>#N/A</v>
      </c>
      <c r="E341" s="219" t="e">
        <f aca="false">VLOOKUP(E336,'данные ГЖ алюм 16,25,50'!$D$5:$G$103,4,0)</f>
        <v>#N/A</v>
      </c>
      <c r="F341" s="219" t="e">
        <f aca="false">VLOOKUP(F336,'данные ГЖ алюм 16,25,50'!$D$5:$G$103,4,0)</f>
        <v>#N/A</v>
      </c>
      <c r="G341" s="219" t="e">
        <f aca="false">VLOOKUP(G336,'данные ГЖ алюм 16,25,50'!$D$5:$G$103,4,0)</f>
        <v>#N/A</v>
      </c>
      <c r="H341" s="219" t="e">
        <f aca="false">VLOOKUP(H336,'данные ГЖ алюм 16,25,50'!$D$5:$G$103,4,0)</f>
        <v>#N/A</v>
      </c>
      <c r="I341" s="219" t="e">
        <f aca="false">VLOOKUP(I336,'данные ГЖ алюм 16,25,50'!$D$5:$G$103,4,0)</f>
        <v>#N/A</v>
      </c>
      <c r="J341" s="219" t="e">
        <f aca="false">VLOOKUP(J336,'данные ГЖ алюм 16,25,50'!$D$5:$G$103,4,0)</f>
        <v>#N/A</v>
      </c>
      <c r="K341" s="219" t="e">
        <f aca="false">VLOOKUP(K336,'данные ГЖ алюм 16,25,50'!$D$5:$G$103,4,0)</f>
        <v>#N/A</v>
      </c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  <c r="BH341" s="95"/>
      <c r="BI341" s="95"/>
      <c r="BJ341" s="95"/>
      <c r="BK341" s="95"/>
      <c r="BL341" s="95"/>
    </row>
    <row r="342" customFormat="false" ht="10.5" hidden="false" customHeight="true" outlineLevel="0" collapsed="false">
      <c r="A342" s="116" t="s">
        <v>145</v>
      </c>
      <c r="B342" s="215"/>
      <c r="C342" s="215"/>
      <c r="D342" s="215"/>
      <c r="E342" s="215"/>
      <c r="F342" s="215"/>
      <c r="G342" s="215"/>
      <c r="H342" s="220"/>
      <c r="I342" s="220"/>
      <c r="J342" s="220"/>
      <c r="K342" s="220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  <c r="BH342" s="95"/>
      <c r="BI342" s="95"/>
      <c r="BJ342" s="95"/>
      <c r="BK342" s="95"/>
      <c r="BL342" s="95"/>
    </row>
    <row r="343" customFormat="false" ht="10.5" hidden="true" customHeight="true" outlineLevel="0" collapsed="false">
      <c r="A343" s="115" t="s">
        <v>146</v>
      </c>
      <c r="B343" s="219" t="e">
        <f aca="false">VLOOKUP(B336,'данные ГЖ алюм 16,25,50'!$D$5:$H$103,5,0)</f>
        <v>#N/A</v>
      </c>
      <c r="C343" s="219" t="e">
        <f aca="false">VLOOKUP(C336,'данные ГЖ алюм 16,25,50'!$D$5:$H$103,5,0)</f>
        <v>#N/A</v>
      </c>
      <c r="D343" s="219" t="e">
        <f aca="false">VLOOKUP(D336,'данные ГЖ алюм 16,25,50'!$D$5:$H$103,5,0)</f>
        <v>#N/A</v>
      </c>
      <c r="E343" s="219" t="e">
        <f aca="false">VLOOKUP(E336,'данные ГЖ алюм 16,25,50'!$D$5:$H$103,5,0)</f>
        <v>#N/A</v>
      </c>
      <c r="F343" s="219" t="e">
        <f aca="false">VLOOKUP(F336,'данные ГЖ алюм 16,25,50'!$D$5:$H$103,5,0)</f>
        <v>#N/A</v>
      </c>
      <c r="G343" s="219" t="e">
        <f aca="false">VLOOKUP(G336,'данные ГЖ алюм 16,25,50'!$D$5:$H$103,5,0)</f>
        <v>#N/A</v>
      </c>
      <c r="H343" s="219" t="e">
        <f aca="false">VLOOKUP(H336,'данные ГЖ алюм 16,25,50'!$D$5:$H$103,5,0)</f>
        <v>#N/A</v>
      </c>
      <c r="I343" s="219" t="e">
        <f aca="false">VLOOKUP(I336,'данные ГЖ алюм 16,25,50'!$D$5:$H$103,5,0)</f>
        <v>#N/A</v>
      </c>
      <c r="J343" s="219" t="e">
        <f aca="false">VLOOKUP(J336,'данные ГЖ алюм 16,25,50'!$D$5:$H$103,5,0)</f>
        <v>#N/A</v>
      </c>
      <c r="K343" s="219" t="e">
        <f aca="false">VLOOKUP(K336,'данные ГЖ алюм 16,25,50'!$D$5:$H$103,5,0)</f>
        <v>#N/A</v>
      </c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  <c r="BH343" s="95"/>
      <c r="BI343" s="95"/>
      <c r="BJ343" s="95"/>
      <c r="BK343" s="95"/>
      <c r="BL343" s="95"/>
    </row>
    <row r="344" customFormat="false" ht="10.5" hidden="true" customHeight="true" outlineLevel="0" collapsed="false">
      <c r="A344" s="221" t="s">
        <v>147</v>
      </c>
      <c r="B344" s="209" t="n">
        <f aca="false">IF(B346="ок",1,0)</f>
        <v>0</v>
      </c>
      <c r="C344" s="209" t="n">
        <f aca="false">IF(C346="ок",1,0)</f>
        <v>0</v>
      </c>
      <c r="D344" s="209" t="n">
        <f aca="false">IF(D346="ок",1,0)</f>
        <v>0</v>
      </c>
      <c r="E344" s="209" t="n">
        <f aca="false">IF(E346="ок",1,0)</f>
        <v>0</v>
      </c>
      <c r="F344" s="209" t="n">
        <f aca="false">IF(F346="ок",1,0)</f>
        <v>0</v>
      </c>
      <c r="G344" s="209" t="n">
        <f aca="false">IF(G346="ок",1,0)</f>
        <v>0</v>
      </c>
      <c r="H344" s="209" t="n">
        <f aca="false">IF(H346="ок",1,0)</f>
        <v>0</v>
      </c>
      <c r="I344" s="209" t="n">
        <f aca="false">IF(I346="ок",1,0)</f>
        <v>0</v>
      </c>
      <c r="J344" s="209" t="n">
        <f aca="false">IF(J346="ок",1,0)</f>
        <v>0</v>
      </c>
      <c r="K344" s="209" t="n">
        <f aca="false">IF(K346="ок",1,0)</f>
        <v>0</v>
      </c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  <c r="BH344" s="95"/>
      <c r="BI344" s="95"/>
      <c r="BJ344" s="95"/>
      <c r="BK344" s="95"/>
      <c r="BL344" s="95"/>
    </row>
    <row r="345" customFormat="false" ht="10.5" hidden="false" customHeight="true" outlineLevel="0" collapsed="false">
      <c r="A345" s="221" t="s">
        <v>148</v>
      </c>
      <c r="B345" s="222" t="str">
        <f aca="false">_xlfn.IFS(B338="","",B338&lt;B340,"!!! д.б. свыше "&amp;B340,B338&gt;B341,"!!! д.б. меньше, чем "&amp;B341,1,"ок")</f>
        <v/>
      </c>
      <c r="C345" s="222" t="str">
        <f aca="false">_xlfn.IFS(C338="","",C338&lt;C340,"!!! д.б. свыше "&amp;C340,C338&gt;C341,"!!! д.б. меньше, чем "&amp;C341,1,"ок")</f>
        <v/>
      </c>
      <c r="D345" s="222" t="str">
        <f aca="false">_xlfn.IFS(D338="","",D338&lt;D340,"!!! д.б. свыше "&amp;D340,D338&gt;D341,"!!! д.б. меньше, чем "&amp;D341,1,"ок")</f>
        <v/>
      </c>
      <c r="E345" s="222" t="str">
        <f aca="false">_xlfn.IFS(E338="","",E338&lt;E340,"!!! д.б. свыше "&amp;E340,E338&gt;E341,"!!! д.б. меньше, чем "&amp;E341,1,"ок")</f>
        <v/>
      </c>
      <c r="F345" s="222" t="str">
        <f aca="false">_xlfn.IFS(F338="","",F338&lt;F340,"!!! д.б. свыше "&amp;F340,F338&gt;F341,"!!! д.б. меньше, чем "&amp;F341,1,"ок")</f>
        <v/>
      </c>
      <c r="G345" s="222" t="str">
        <f aca="false">_xlfn.IFS(G338="","",G338&lt;G340,"!!! д.б. свыше "&amp;G340,G338&gt;G341,"!!! д.б. меньше, чем "&amp;G341,1,"ок")</f>
        <v/>
      </c>
      <c r="H345" s="222" t="str">
        <f aca="false">_xlfn.IFS(H338="","",H338&lt;H340,"!!! д.б. свыше "&amp;H340,H338&gt;H341,"!!! д.б. меньше, чем "&amp;H341,1,"ок")</f>
        <v/>
      </c>
      <c r="I345" s="222" t="str">
        <f aca="false">_xlfn.IFS(I338="","",I338&lt;I340,"!!! д.б. свыше "&amp;I340,I338&gt;I341,"!!! д.б. меньше, чем "&amp;I341,1,"ок")</f>
        <v/>
      </c>
      <c r="J345" s="222" t="str">
        <f aca="false">_xlfn.IFS(J338="","",J338&lt;J340,"!!! д.б. свыше "&amp;J340,J338&gt;J341,"!!! д.б. меньше, чем "&amp;J341,1,"ок")</f>
        <v/>
      </c>
      <c r="K345" s="222" t="str">
        <f aca="false">_xlfn.IFS(K338="","",K338&lt;K340,"!!! д.б. свыше "&amp;K340,K338&gt;K341,"!!! д.б. меньше, чем "&amp;K341,1,"ок")</f>
        <v/>
      </c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  <c r="BG345" s="95"/>
      <c r="BH345" s="95"/>
      <c r="BI345" s="95"/>
      <c r="BJ345" s="95"/>
      <c r="BK345" s="95"/>
      <c r="BL345" s="95"/>
    </row>
    <row r="346" customFormat="false" ht="10.5" hidden="false" customHeight="true" outlineLevel="0" collapsed="false">
      <c r="A346" s="115" t="s">
        <v>149</v>
      </c>
      <c r="B346" s="223" t="str">
        <f aca="false">_xlfn.IFS(B342=0,"",B342&lt;=B343,"ок",B342&gt;B343,"!!! д.б. меньше, чем "&amp;B343)</f>
        <v/>
      </c>
      <c r="C346" s="223" t="str">
        <f aca="false">_xlfn.IFS(C342=0,"",C342&lt;=C343,"ок",C342&gt;C343,"!!! д.б. меньше, чем "&amp;C343)</f>
        <v/>
      </c>
      <c r="D346" s="223" t="str">
        <f aca="false">_xlfn.IFS(D342=0,"",D342&lt;=D343,"ок",D342&gt;D343,"!!! д.б. меньше, чем "&amp;D343)</f>
        <v/>
      </c>
      <c r="E346" s="223" t="str">
        <f aca="false">_xlfn.IFS(E342=0,"",E342&lt;=E343,"ок",E342&gt;E343,"!!! д.б. меньше, чем "&amp;E343)</f>
        <v/>
      </c>
      <c r="F346" s="223" t="str">
        <f aca="false">_xlfn.IFS(F342=0,"",F342&lt;=F343,"ок",F342&gt;F343,"!!! д.б. меньше, чем "&amp;F343)</f>
        <v/>
      </c>
      <c r="G346" s="223" t="str">
        <f aca="false">_xlfn.IFS(G342=0,"",G342&lt;=G343,"ок",G342&gt;G343,"!!! д.б. меньше, чем "&amp;G343)</f>
        <v/>
      </c>
      <c r="H346" s="223" t="str">
        <f aca="false">_xlfn.IFS(H342=0,"",H342&lt;=H343,"ок",H342&gt;H343,"!!! д.б. меньше, чем "&amp;H343)</f>
        <v/>
      </c>
      <c r="I346" s="223" t="str">
        <f aca="false">_xlfn.IFS(I342=0,"",I342&lt;=I343,"ок",I342&gt;I343,"!!! д.б. меньше, чем "&amp;I343)</f>
        <v/>
      </c>
      <c r="J346" s="223" t="str">
        <f aca="false">_xlfn.IFS(J342=0,"",J342&lt;=J343,"ок",J342&gt;J343,"!!! д.б. меньше, чем "&amp;J343)</f>
        <v/>
      </c>
      <c r="K346" s="223" t="str">
        <f aca="false">_xlfn.IFS(K342=0,"",K342&lt;=K343,"ок",K342&gt;K343,"!!! д.б. меньше, чем "&amp;K343)</f>
        <v/>
      </c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  <c r="AA346" s="151"/>
      <c r="AB346" s="151"/>
      <c r="AC346" s="151"/>
      <c r="AD346" s="151"/>
      <c r="AE346" s="151"/>
      <c r="AF346" s="151"/>
      <c r="AG346" s="151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</row>
    <row r="347" customFormat="false" ht="10.5" hidden="false" customHeight="true" outlineLevel="0" collapsed="false">
      <c r="A347" s="221" t="s">
        <v>150</v>
      </c>
      <c r="B347" s="224" t="n">
        <f aca="false">B338*B342</f>
        <v>0</v>
      </c>
      <c r="C347" s="224" t="n">
        <f aca="false">C338*C342</f>
        <v>0</v>
      </c>
      <c r="D347" s="224" t="n">
        <f aca="false">D338*D342</f>
        <v>0</v>
      </c>
      <c r="E347" s="224" t="n">
        <f aca="false">E338*E342</f>
        <v>0</v>
      </c>
      <c r="F347" s="224" t="n">
        <f aca="false">F338*F342</f>
        <v>0</v>
      </c>
      <c r="G347" s="224" t="n">
        <f aca="false">G338*G342</f>
        <v>0</v>
      </c>
      <c r="H347" s="224" t="n">
        <f aca="false">H338*H342</f>
        <v>0</v>
      </c>
      <c r="I347" s="224" t="n">
        <f aca="false">I338*I342</f>
        <v>0</v>
      </c>
      <c r="J347" s="224" t="n">
        <f aca="false">J338*J342</f>
        <v>0</v>
      </c>
      <c r="K347" s="224" t="n">
        <f aca="false">K338*K342</f>
        <v>0</v>
      </c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</row>
    <row r="348" customFormat="false" ht="10.5" hidden="true" customHeight="true" outlineLevel="0" collapsed="false">
      <c r="A348" s="221" t="s">
        <v>151</v>
      </c>
      <c r="B348" s="225" t="e">
        <f aca="false">VLOOKUP(B336,'данные ГЖ алюм 16,25,50'!$D$5:$I$103,6,0)</f>
        <v>#N/A</v>
      </c>
      <c r="C348" s="225" t="e">
        <f aca="false">VLOOKUP(C336,'данные ГЖ алюм 16,25,50'!$D$5:$I$103,6,0)</f>
        <v>#N/A</v>
      </c>
      <c r="D348" s="225" t="e">
        <f aca="false">VLOOKUP(D336,'данные ГЖ алюм 16,25,50'!$D$5:$I$103,6,0)</f>
        <v>#N/A</v>
      </c>
      <c r="E348" s="225" t="e">
        <f aca="false">VLOOKUP(E336,'данные ГЖ алюм 16,25,50'!$D$5:$I$103,6,0)</f>
        <v>#N/A</v>
      </c>
      <c r="F348" s="225" t="e">
        <f aca="false">VLOOKUP(F336,'данные ГЖ алюм 16,25,50'!$D$5:$I$103,6,0)</f>
        <v>#N/A</v>
      </c>
      <c r="G348" s="225" t="e">
        <f aca="false">VLOOKUP(G336,'данные ГЖ алюм 16,25,50'!$D$5:$I$103,6,0)</f>
        <v>#N/A</v>
      </c>
      <c r="H348" s="225" t="e">
        <f aca="false">VLOOKUP(H336,'данные ГЖ алюм 16,25,50'!$D$5:$I$103,6,0)</f>
        <v>#N/A</v>
      </c>
      <c r="I348" s="225" t="e">
        <f aca="false">VLOOKUP(I336,'данные ГЖ алюм 16,25,50'!$D$5:$I$103,6,0)</f>
        <v>#N/A</v>
      </c>
      <c r="J348" s="225" t="e">
        <f aca="false">VLOOKUP(J336,'данные ГЖ алюм 16,25,50'!$D$5:$I$103,6,0)</f>
        <v>#N/A</v>
      </c>
      <c r="K348" s="225" t="e">
        <f aca="false">VLOOKUP(K336,'данные ГЖ алюм 16,25,50'!$D$5:$I$103,6,0)</f>
        <v>#N/A</v>
      </c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  <c r="BG348" s="95"/>
      <c r="BH348" s="95"/>
      <c r="BI348" s="95"/>
      <c r="BJ348" s="95"/>
      <c r="BK348" s="95"/>
      <c r="BL348" s="95"/>
    </row>
    <row r="349" customFormat="false" ht="10.5" hidden="false" customHeight="true" outlineLevel="0" collapsed="false">
      <c r="A349" s="221" t="s">
        <v>152</v>
      </c>
      <c r="B349" s="224" t="str">
        <f aca="false">_xlfn.IFS(B347=0,"",B347&lt;=B348,"ок",B347&gt;B348,"!!! д.б. меньше, чем "&amp;B348)</f>
        <v/>
      </c>
      <c r="C349" s="224" t="str">
        <f aca="false">_xlfn.IFS(C347=0,"",C347&lt;=C348,"ок",C347&gt;C348,"!!! д.б. меньше, чем "&amp;C348)</f>
        <v/>
      </c>
      <c r="D349" s="224" t="str">
        <f aca="false">_xlfn.IFS(D347=0,"",D347&lt;=D348,"ок",D347&gt;D348,"!!! д.б. меньше, чем "&amp;D348)</f>
        <v/>
      </c>
      <c r="E349" s="224" t="str">
        <f aca="false">_xlfn.IFS(E347=0,"",E347&lt;=E348,"ок",E347&gt;E348,"!!! д.б. меньше, чем "&amp;E348)</f>
        <v/>
      </c>
      <c r="F349" s="224" t="str">
        <f aca="false">_xlfn.IFS(F347=0,"",F347&lt;=F348,"ок",F347&gt;F348,"!!! д.б. меньше, чем "&amp;F348)</f>
        <v/>
      </c>
      <c r="G349" s="224" t="str">
        <f aca="false">_xlfn.IFS(G347=0,"",G347&lt;=G348,"ок",G347&gt;G348,"!!! д.б. меньше, чем "&amp;G348)</f>
        <v/>
      </c>
      <c r="H349" s="224" t="str">
        <f aca="false">_xlfn.IFS(H347=0,"",H347&lt;=H348,"ок",H347&gt;H348,"!!! д.б. меньше, чем "&amp;H348)</f>
        <v/>
      </c>
      <c r="I349" s="224" t="str">
        <f aca="false">_xlfn.IFS(I347=0,"",I347&lt;=I348,"ок",I347&gt;I348,"!!! д.б. меньше, чем "&amp;I348)</f>
        <v/>
      </c>
      <c r="J349" s="224" t="str">
        <f aca="false">_xlfn.IFS(J347=0,"",J347&lt;=J348,"ок",J347&gt;J348,"!!! д.б. меньше, чем "&amp;J348)</f>
        <v/>
      </c>
      <c r="K349" s="224" t="str">
        <f aca="false">_xlfn.IFS(K347=0,"",K347&lt;=K348,"ок",K347&gt;K348,"!!! д.б. меньше, чем "&amp;K348)</f>
        <v/>
      </c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  <c r="BH349" s="95"/>
      <c r="BI349" s="95"/>
      <c r="BJ349" s="95"/>
      <c r="BK349" s="95"/>
      <c r="BL349" s="95"/>
    </row>
    <row r="350" customFormat="false" ht="10.5" hidden="true" customHeight="true" outlineLevel="0" collapsed="false">
      <c r="A350" s="221" t="s">
        <v>153</v>
      </c>
      <c r="B350" s="225" t="n">
        <f aca="false">IF(B349="ок",1,0)</f>
        <v>0</v>
      </c>
      <c r="C350" s="225" t="n">
        <f aca="false">IF(C349="ок",1,0)</f>
        <v>0</v>
      </c>
      <c r="D350" s="225" t="n">
        <f aca="false">IF(D349="ок",1,0)</f>
        <v>0</v>
      </c>
      <c r="E350" s="225" t="n">
        <f aca="false">IF(E349="ок",1,0)</f>
        <v>0</v>
      </c>
      <c r="F350" s="225" t="n">
        <f aca="false">IF(F349="ок",1,0)</f>
        <v>0</v>
      </c>
      <c r="G350" s="225" t="n">
        <f aca="false">IF(G349="ок",1,0)</f>
        <v>0</v>
      </c>
      <c r="H350" s="225" t="n">
        <f aca="false">IF(H349="ок",1,0)</f>
        <v>0</v>
      </c>
      <c r="I350" s="225" t="n">
        <f aca="false">IF(I349="ок",1,0)</f>
        <v>0</v>
      </c>
      <c r="J350" s="225" t="n">
        <f aca="false">IF(J349="ок",1,0)</f>
        <v>0</v>
      </c>
      <c r="K350" s="225" t="n">
        <f aca="false">IF(K349="ок",1,0)</f>
        <v>0</v>
      </c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  <c r="BG350" s="95"/>
      <c r="BH350" s="95"/>
      <c r="BI350" s="95"/>
      <c r="BJ350" s="95"/>
      <c r="BK350" s="95"/>
      <c r="BL350" s="95"/>
    </row>
    <row r="351" customFormat="false" ht="10.5" hidden="true" customHeight="true" outlineLevel="0" collapsed="false">
      <c r="A351" s="221" t="s">
        <v>154</v>
      </c>
      <c r="B351" s="225" t="n">
        <f aca="false">B339+B344+B350</f>
        <v>0</v>
      </c>
      <c r="C351" s="225" t="n">
        <f aca="false">C339+C344+C350</f>
        <v>0</v>
      </c>
      <c r="D351" s="225" t="n">
        <f aca="false">D339+D344+D350</f>
        <v>0</v>
      </c>
      <c r="E351" s="225" t="n">
        <f aca="false">E339+E344+E350</f>
        <v>0</v>
      </c>
      <c r="F351" s="225" t="n">
        <f aca="false">F339+F344+F350</f>
        <v>0</v>
      </c>
      <c r="G351" s="225" t="n">
        <f aca="false">G339+G344+G350</f>
        <v>0</v>
      </c>
      <c r="H351" s="225" t="n">
        <f aca="false">H339+H344+H350</f>
        <v>0</v>
      </c>
      <c r="I351" s="225" t="n">
        <f aca="false">I339+I344+I350</f>
        <v>0</v>
      </c>
      <c r="J351" s="225" t="n">
        <f aca="false">J339+J344+J350</f>
        <v>0</v>
      </c>
      <c r="K351" s="225" t="n">
        <f aca="false">K339+K344+K350</f>
        <v>0</v>
      </c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  <c r="BG351" s="95"/>
      <c r="BH351" s="95"/>
      <c r="BI351" s="95"/>
      <c r="BJ351" s="95"/>
      <c r="BK351" s="95"/>
      <c r="BL351" s="95"/>
    </row>
    <row r="352" customFormat="false" ht="10.5" hidden="false" customHeight="true" outlineLevel="0" collapsed="false">
      <c r="A352" s="221" t="s">
        <v>155</v>
      </c>
      <c r="B352" s="226" t="str">
        <f aca="false">IF(B351=3,"ОК","НЕДОПУСТИМЫЙ РАЗМЕР")</f>
        <v>НЕДОПУСТИМЫЙ РАЗМЕР</v>
      </c>
      <c r="C352" s="226" t="str">
        <f aca="false">IF(C351=3,"ОК","НЕДОПУСТИМЫЙ РАЗМЕР")</f>
        <v>НЕДОПУСТИМЫЙ РАЗМЕР</v>
      </c>
      <c r="D352" s="226" t="str">
        <f aca="false">IF(D351=3,"ОК","НЕДОПУСТИМЫЙ РАЗМЕР")</f>
        <v>НЕДОПУСТИМЫЙ РАЗМЕР</v>
      </c>
      <c r="E352" s="226" t="str">
        <f aca="false">IF(E351=3,"ОК","НЕДОПУСТИМЫЙ РАЗМЕР")</f>
        <v>НЕДОПУСТИМЫЙ РАЗМЕР</v>
      </c>
      <c r="F352" s="226" t="str">
        <f aca="false">IF(F351=3,"ОК","НЕДОПУСТИМЫЙ РАЗМЕР")</f>
        <v>НЕДОПУСТИМЫЙ РАЗМЕР</v>
      </c>
      <c r="G352" s="226" t="str">
        <f aca="false">IF(G351=3,"ОК","НЕДОПУСТИМЫЙ РАЗМЕР")</f>
        <v>НЕДОПУСТИМЫЙ РАЗМЕР</v>
      </c>
      <c r="H352" s="226" t="str">
        <f aca="false">IF(H351=3,"ОК","НЕДОПУСТИМЫЙ РАЗМЕР")</f>
        <v>НЕДОПУСТИМЫЙ РАЗМЕР</v>
      </c>
      <c r="I352" s="226" t="str">
        <f aca="false">IF(I351=3,"ОК","НЕДОПУСТИМЫЙ РАЗМЕР")</f>
        <v>НЕДОПУСТИМЫЙ РАЗМЕР</v>
      </c>
      <c r="J352" s="226" t="str">
        <f aca="false">IF(J351=3,"ОК","НЕДОПУСТИМЫЙ РАЗМЕР")</f>
        <v>НЕДОПУСТИМЫЙ РАЗМЕР</v>
      </c>
      <c r="K352" s="226" t="str">
        <f aca="false">IF(K351=3,"ОК","НЕДОПУСТИМЫЙ РАЗМЕР")</f>
        <v>НЕДОПУСТИМЫЙ РАЗМЕР</v>
      </c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  <c r="BG352" s="95"/>
      <c r="BH352" s="95"/>
      <c r="BI352" s="95"/>
      <c r="BJ352" s="95"/>
      <c r="BK352" s="95"/>
      <c r="BL352" s="95"/>
    </row>
    <row r="353" customFormat="false" ht="10.5" hidden="true" customHeight="true" outlineLevel="0" collapsed="false">
      <c r="A353" s="221" t="s">
        <v>156</v>
      </c>
      <c r="B353" s="227" t="n">
        <v>500</v>
      </c>
      <c r="C353" s="227" t="n">
        <v>500</v>
      </c>
      <c r="D353" s="227" t="n">
        <v>500</v>
      </c>
      <c r="E353" s="227" t="n">
        <v>500</v>
      </c>
      <c r="F353" s="227" t="n">
        <v>500</v>
      </c>
      <c r="G353" s="227" t="n">
        <v>500</v>
      </c>
      <c r="H353" s="227" t="n">
        <v>500</v>
      </c>
      <c r="I353" s="227" t="n">
        <v>500</v>
      </c>
      <c r="J353" s="227" t="n">
        <v>500</v>
      </c>
      <c r="K353" s="227" t="n">
        <v>500</v>
      </c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  <c r="BH353" s="95"/>
      <c r="BI353" s="95"/>
      <c r="BJ353" s="95"/>
      <c r="BK353" s="95"/>
      <c r="BL353" s="95"/>
    </row>
    <row r="354" customFormat="false" ht="10.5" hidden="true" customHeight="true" outlineLevel="0" collapsed="false">
      <c r="A354" s="182" t="s">
        <v>157</v>
      </c>
      <c r="B354" s="228" t="e">
        <f aca="false">ROUNDUP(VLOOKUP(B336,'данные ГЖ алюм 16,25,50'!$D$5:$M$103,10,0),0)</f>
        <v>#N/A</v>
      </c>
      <c r="C354" s="228" t="e">
        <f aca="false">ROUNDUP(VLOOKUP(C336,'данные ГЖ алюм 16,25,50'!$D$5:$M$103,10,0),0)</f>
        <v>#N/A</v>
      </c>
      <c r="D354" s="228" t="e">
        <f aca="false">ROUNDUP(VLOOKUP(D336,'данные ГЖ алюм 16,25,50'!$D$5:$M$103,10,0),0)</f>
        <v>#N/A</v>
      </c>
      <c r="E354" s="228" t="e">
        <f aca="false">ROUNDUP(VLOOKUP(E336,'данные ГЖ алюм 16,25,50'!$D$5:$M$103,10,0),0)</f>
        <v>#N/A</v>
      </c>
      <c r="F354" s="228" t="e">
        <f aca="false">ROUNDUP(VLOOKUP(F336,'данные ГЖ алюм 16,25,50'!$D$5:$M$103,10,0),0)</f>
        <v>#N/A</v>
      </c>
      <c r="G354" s="228" t="e">
        <f aca="false">ROUNDUP(VLOOKUP(G336,'данные ГЖ алюм 16,25,50'!$D$5:$M$103,10,0),0)</f>
        <v>#N/A</v>
      </c>
      <c r="H354" s="228" t="e">
        <f aca="false">ROUNDUP(VLOOKUP(H336,'данные ГЖ алюм 16,25,50'!$D$5:$M$103,10,0),0)</f>
        <v>#N/A</v>
      </c>
      <c r="I354" s="228" t="e">
        <f aca="false">ROUNDUP(VLOOKUP(I336,'данные ГЖ алюм 16,25,50'!$D$5:$M$103,10,0),0)</f>
        <v>#N/A</v>
      </c>
      <c r="J354" s="228" t="e">
        <f aca="false">ROUNDUP(VLOOKUP(J336,'данные ГЖ алюм 16,25,50'!$D$5:$M$103,10,0),0)</f>
        <v>#N/A</v>
      </c>
      <c r="K354" s="228" t="e">
        <f aca="false">ROUNDUP(VLOOKUP(K336,'данные ГЖ алюм 16,25,50'!$D$5:$M$103,10,0),0)</f>
        <v>#N/A</v>
      </c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  <c r="BH354" s="95"/>
      <c r="BI354" s="95"/>
      <c r="BJ354" s="95"/>
      <c r="BK354" s="95"/>
      <c r="BL354" s="95"/>
    </row>
    <row r="355" customFormat="false" ht="20.6" hidden="false" customHeight="true" outlineLevel="0" collapsed="false">
      <c r="A355" s="229" t="s">
        <v>158</v>
      </c>
      <c r="B355" s="230" t="str">
        <f aca="false">IF(B352="ОК",IF(B347&gt;1,(B354*B347)+B353,B354),"недопустимый размер")</f>
        <v>недопустимый размер</v>
      </c>
      <c r="C355" s="230" t="str">
        <f aca="false">IF(C352="ОК",IF(C347&gt;1,(C354*C347)+C353,C354),"недопустимый размер")</f>
        <v>недопустимый размер</v>
      </c>
      <c r="D355" s="230" t="str">
        <f aca="false">IF(D352="ОК",IF(D347&gt;1,(D354*D347)+D353,D354),"недопустимый размер")</f>
        <v>недопустимый размер</v>
      </c>
      <c r="E355" s="230" t="str">
        <f aca="false">IF(E352="ОК",IF(E347&gt;1,(E354*E347)+E353,E354),"недопустимый размер")</f>
        <v>недопустимый размер</v>
      </c>
      <c r="F355" s="230" t="str">
        <f aca="false">IF(F352="ОК",IF(F347&gt;1,(F354*F347)+F353,F354),"недопустимый размер")</f>
        <v>недопустимый размер</v>
      </c>
      <c r="G355" s="230" t="str">
        <f aca="false">IF(G352="ОК",IF(G347&gt;1,(G354*G347)+G353,G354),"недопустимый размер")</f>
        <v>недопустимый размер</v>
      </c>
      <c r="H355" s="230" t="str">
        <f aca="false">IF(H352="ОК",IF(H347&gt;1,(H354*H347)+H353,H354),"недопустимый размер")</f>
        <v>недопустимый размер</v>
      </c>
      <c r="I355" s="230" t="str">
        <f aca="false">IF(I352="ОК",IF(I347&gt;1,(I354*I347)+I353,I354),"недопустимый размер")</f>
        <v>недопустимый размер</v>
      </c>
      <c r="J355" s="230" t="str">
        <f aca="false">IF(J352="ОК",IF(J347&gt;1,(J354*J347)+J353,J354),"недопустимый размер")</f>
        <v>недопустимый размер</v>
      </c>
      <c r="K355" s="230" t="str">
        <f aca="false">IF(K352="ОК",IF(K347&gt;1,(K354*K347)+K353,K354),"недопустимый размер")</f>
        <v>недопустимый размер</v>
      </c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  <c r="BH355" s="95"/>
      <c r="BI355" s="95"/>
      <c r="BJ355" s="95"/>
      <c r="BK355" s="95"/>
      <c r="BL355" s="95"/>
    </row>
    <row r="356" customFormat="false" ht="10.5" hidden="false" customHeight="true" outlineLevel="0" collapsed="false">
      <c r="A356" s="221" t="s">
        <v>159</v>
      </c>
      <c r="B356" s="231" t="e">
        <f aca="false">IF(B352="ОК","",(B354*B347)+B353+B359+B361+B363)</f>
        <v>#N/A</v>
      </c>
      <c r="C356" s="231" t="e">
        <f aca="false">IF(C352="ОК","",(C354*C347)+C353+C359+C361+C363)</f>
        <v>#N/A</v>
      </c>
      <c r="D356" s="231" t="e">
        <f aca="false">IF(D352="ОК","",(D354*D347)+D353+D359+D361+D363)</f>
        <v>#N/A</v>
      </c>
      <c r="E356" s="231" t="e">
        <f aca="false">IF(E352="ОК","",(E354*E347)+E353+E359+E361+E363)</f>
        <v>#N/A</v>
      </c>
      <c r="F356" s="231" t="e">
        <f aca="false">IF(F352="ОК","",(F354*F347)+F353+F359+F361+F363)</f>
        <v>#N/A</v>
      </c>
      <c r="G356" s="231" t="e">
        <f aca="false">IF(G352="ОК","",(G354*G347)+G353+G359+G361+G363)</f>
        <v>#N/A</v>
      </c>
      <c r="H356" s="231" t="e">
        <f aca="false">IF(H352="ОК","",(H354*H347)+H353+H359+H361+H363)</f>
        <v>#N/A</v>
      </c>
      <c r="I356" s="231" t="e">
        <f aca="false">IF(I352="ОК","",(I354*I347)+I353+I359+I361+I363)</f>
        <v>#N/A</v>
      </c>
      <c r="J356" s="231" t="e">
        <f aca="false">IF(J352="ОК","",(J354*J347)+J353+J359+J361+J363)</f>
        <v>#N/A</v>
      </c>
      <c r="K356" s="231" t="e">
        <f aca="false">IF(K352="ОК","",(K354*K347)+K353+K359+K361+K363)</f>
        <v>#N/A</v>
      </c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  <c r="BH356" s="95"/>
      <c r="BI356" s="95"/>
      <c r="BJ356" s="95"/>
      <c r="BK356" s="95"/>
      <c r="BL356" s="95"/>
    </row>
    <row r="357" customFormat="false" ht="10.5" hidden="false" customHeight="true" outlineLevel="0" collapsed="false">
      <c r="A357" s="221"/>
      <c r="B357" s="232"/>
      <c r="C357" s="233"/>
      <c r="D357" s="233"/>
      <c r="E357" s="233"/>
      <c r="F357" s="233"/>
      <c r="G357" s="233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  <c r="BH357" s="95"/>
      <c r="BI357" s="95"/>
      <c r="BJ357" s="95"/>
      <c r="BK357" s="95"/>
      <c r="BL357" s="95"/>
    </row>
    <row r="358" customFormat="false" ht="12.45" hidden="false" customHeight="true" outlineLevel="0" collapsed="false">
      <c r="A358" s="234" t="s">
        <v>195</v>
      </c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  <c r="BH358" s="95"/>
      <c r="BI358" s="95"/>
      <c r="BJ358" s="95"/>
      <c r="BK358" s="95"/>
      <c r="BL358" s="95"/>
    </row>
    <row r="359" customFormat="false" ht="10.5" hidden="false" customHeight="true" outlineLevel="0" collapsed="false">
      <c r="A359" s="221" t="s">
        <v>196</v>
      </c>
      <c r="B359" s="236" t="n">
        <f aca="false">IF(B358="Да",'данные ГЖ алюм 16,25,50'!$M$123,0)</f>
        <v>0</v>
      </c>
      <c r="C359" s="236" t="n">
        <f aca="false">IF(C358="Да",'данные ГЖ алюм 16,25,50'!$M$123,0)</f>
        <v>0</v>
      </c>
      <c r="D359" s="236" t="n">
        <f aca="false">IF(D358="Да",'данные ГЖ алюм 16,25,50'!$M$123,0)</f>
        <v>0</v>
      </c>
      <c r="E359" s="236" t="n">
        <f aca="false">IF(E358="Да",'данные ГЖ алюм 16,25,50'!$M$123,0)</f>
        <v>0</v>
      </c>
      <c r="F359" s="236" t="n">
        <f aca="false">IF(F358="Да",'данные ГЖ алюм 16,25,50'!$M$123,0)</f>
        <v>0</v>
      </c>
      <c r="G359" s="236" t="n">
        <f aca="false">IF(G358="Да",'данные ГЖ алюм 16,25,50'!$M$123,0)</f>
        <v>0</v>
      </c>
      <c r="H359" s="236" t="n">
        <f aca="false">IF(H358="Да",'данные ГЖ алюм 16,25,50'!$M$123,0)</f>
        <v>0</v>
      </c>
      <c r="I359" s="236" t="n">
        <f aca="false">IF(I358="Да",'данные ГЖ алюм 16,25,50'!$M$123,0)</f>
        <v>0</v>
      </c>
      <c r="J359" s="236" t="n">
        <f aca="false">IF(J358="Да",'данные ГЖ алюм 16,25,50'!$M$123,0)</f>
        <v>0</v>
      </c>
      <c r="K359" s="236" t="n">
        <f aca="false">IF(K358="Да",'данные ГЖ алюм 16,25,50'!$M$123,0)</f>
        <v>0</v>
      </c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  <c r="BH359" s="95"/>
      <c r="BI359" s="95"/>
      <c r="BJ359" s="95"/>
      <c r="BK359" s="95"/>
      <c r="BL359" s="95"/>
    </row>
    <row r="360" customFormat="false" ht="10.5" hidden="false" customHeight="true" outlineLevel="0" collapsed="false">
      <c r="A360" s="217" t="s">
        <v>162</v>
      </c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  <c r="BH360" s="95"/>
      <c r="BI360" s="95"/>
      <c r="BJ360" s="95"/>
      <c r="BK360" s="95"/>
      <c r="BL360" s="95"/>
    </row>
    <row r="361" customFormat="false" ht="10.5" hidden="false" customHeight="true" outlineLevel="0" collapsed="false">
      <c r="A361" s="221" t="s">
        <v>163</v>
      </c>
      <c r="B361" s="237" t="n">
        <f aca="false">IF(B360="Да",'данные ГЖ алюм 16,25,50'!$M$124+('данные ГЖ алюм 16,25,50'!$M$126*ROUNDUP(B347,0)),0)</f>
        <v>0</v>
      </c>
      <c r="C361" s="237" t="n">
        <f aca="false">IF(C360="Да",'данные ГЖ алюм 16,25,50'!$M$124+('данные ГЖ алюм 16,25,50'!$M$126*ROUNDUP(C347,0)),0)</f>
        <v>0</v>
      </c>
      <c r="D361" s="237" t="n">
        <f aca="false">IF(D360="Да",'данные ГЖ алюм 16,25,50'!$M$124+('данные ГЖ алюм 16,25,50'!$M$126*ROUNDUP(D347,0)),0)</f>
        <v>0</v>
      </c>
      <c r="E361" s="237" t="n">
        <f aca="false">IF(E360="Да",'данные ГЖ алюм 16,25,50'!$M$124+('данные ГЖ алюм 16,25,50'!$M$126*ROUNDUP(E347,0)),0)</f>
        <v>0</v>
      </c>
      <c r="F361" s="237" t="n">
        <f aca="false">IF(F360="Да",'данные ГЖ алюм 16,25,50'!$M$124+('данные ГЖ алюм 16,25,50'!$M$126*ROUNDUP(F347,0)),0)</f>
        <v>0</v>
      </c>
      <c r="G361" s="237" t="n">
        <f aca="false">IF(G360="Да",'данные ГЖ алюм 16,25,50'!$M$124+('данные ГЖ алюм 16,25,50'!$M$126*ROUNDUP(G347,0)),0)</f>
        <v>0</v>
      </c>
      <c r="H361" s="237" t="n">
        <f aca="false">IF(H360="Да",'данные ГЖ алюм 16,25,50'!$M$124+('данные ГЖ алюм 16,25,50'!$M$126*ROUNDUP(H347,0)),0)</f>
        <v>0</v>
      </c>
      <c r="I361" s="237" t="n">
        <f aca="false">IF(I360="Да",'данные ГЖ алюм 16,25,50'!$M$124+('данные ГЖ алюм 16,25,50'!$M$126*ROUNDUP(I347,0)),0)</f>
        <v>0</v>
      </c>
      <c r="J361" s="237" t="n">
        <f aca="false">IF(J360="Да",'данные ГЖ алюм 16,25,50'!$M$124+('данные ГЖ алюм 16,25,50'!$M$126*ROUNDUP(J347,0)),0)</f>
        <v>0</v>
      </c>
      <c r="K361" s="237" t="n">
        <f aca="false">IF(K360="Да",'данные ГЖ алюм 16,25,50'!$M$124+('данные ГЖ алюм 16,25,50'!$M$126*ROUNDUP(K347,0)),0)</f>
        <v>0</v>
      </c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  <c r="BH361" s="95"/>
      <c r="BI361" s="95"/>
      <c r="BJ361" s="95"/>
      <c r="BK361" s="95"/>
      <c r="BL361" s="95"/>
    </row>
    <row r="362" customFormat="false" ht="10.5" hidden="false" customHeight="true" outlineLevel="0" collapsed="false">
      <c r="A362" s="234" t="s">
        <v>197</v>
      </c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95"/>
      <c r="M362" s="95"/>
      <c r="N362" s="151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  <c r="BH362" s="95"/>
      <c r="BI362" s="95"/>
      <c r="BJ362" s="95"/>
      <c r="BK362" s="95"/>
      <c r="BL362" s="95"/>
    </row>
    <row r="363" customFormat="false" ht="10.5" hidden="false" customHeight="true" outlineLevel="0" collapsed="false">
      <c r="A363" s="221" t="s">
        <v>198</v>
      </c>
      <c r="B363" s="237" t="n">
        <f aca="false">IF(B362="Да",'данные ГЖ алюм 16,25,50'!$M$125,0)</f>
        <v>0</v>
      </c>
      <c r="C363" s="237" t="n">
        <f aca="false">IF(C362="Да",'данные ГЖ алюм 16,25,50'!$M$125,0)</f>
        <v>0</v>
      </c>
      <c r="D363" s="237" t="n">
        <f aca="false">IF(D362="Да",'данные ГЖ алюм 16,25,50'!$M$125,0)</f>
        <v>0</v>
      </c>
      <c r="E363" s="237" t="n">
        <f aca="false">IF(E362="Да",'данные ГЖ алюм 16,25,50'!$M$125,0)</f>
        <v>0</v>
      </c>
      <c r="F363" s="237" t="n">
        <f aca="false">IF(F362="Да",'данные ГЖ алюм 16,25,50'!$M$125,0)</f>
        <v>0</v>
      </c>
      <c r="G363" s="237" t="n">
        <f aca="false">IF(G362="Да",'данные ГЖ алюм 16,25,50'!$M$125,0)</f>
        <v>0</v>
      </c>
      <c r="H363" s="237" t="n">
        <f aca="false">IF(H362="Да",'данные ГЖ алюм 16,25,50'!$M$125,0)</f>
        <v>0</v>
      </c>
      <c r="I363" s="237" t="n">
        <f aca="false">IF(I362="Да",'данные ГЖ алюм 16,25,50'!$M$125,0)</f>
        <v>0</v>
      </c>
      <c r="J363" s="237" t="n">
        <f aca="false">IF(J362="Да",'данные ГЖ алюм 16,25,50'!$M$125,0)</f>
        <v>0</v>
      </c>
      <c r="K363" s="237" t="n">
        <f aca="false">IF(K362="Да",'данные ГЖ алюм 16,25,50'!$M$125,0)</f>
        <v>0</v>
      </c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  <c r="BH363" s="95"/>
      <c r="BI363" s="95"/>
      <c r="BJ363" s="95"/>
      <c r="BK363" s="95"/>
      <c r="BL363" s="95"/>
    </row>
    <row r="364" customFormat="false" ht="20.6" hidden="false" customHeight="true" outlineLevel="0" collapsed="false">
      <c r="A364" s="238" t="s">
        <v>164</v>
      </c>
      <c r="B364" s="239" t="e">
        <f aca="false">ROUNDUP(B355+B359+B361+B353+B359+B361+B363,0)</f>
        <v>#VALUE!</v>
      </c>
      <c r="C364" s="239" t="e">
        <f aca="false">ROUNDUP(C355+C359+C361+C353+C359+C361+C363,0)</f>
        <v>#VALUE!</v>
      </c>
      <c r="D364" s="239" t="e">
        <f aca="false">ROUNDUP(D355+D359+D361+D353+D359+D361+D363,0)</f>
        <v>#VALUE!</v>
      </c>
      <c r="E364" s="239" t="e">
        <f aca="false">ROUNDUP(E355+E359+E361+E353+E359+E361+E363,0)</f>
        <v>#VALUE!</v>
      </c>
      <c r="F364" s="239" t="e">
        <f aca="false">ROUNDUP(F355+F359+F361+F353+F359+F361+F363,0)</f>
        <v>#VALUE!</v>
      </c>
      <c r="G364" s="239" t="e">
        <f aca="false">ROUNDUP(G355+G359+G361+G353+G359+G361+G363,0)</f>
        <v>#VALUE!</v>
      </c>
      <c r="H364" s="239" t="e">
        <f aca="false">ROUNDUP(H355+H359+H361+H353+H359+H361+H363,0)</f>
        <v>#VALUE!</v>
      </c>
      <c r="I364" s="239" t="e">
        <f aca="false">ROUNDUP(I355+I359+I361+I353+I359+I361+I363,0)</f>
        <v>#VALUE!</v>
      </c>
      <c r="J364" s="239" t="e">
        <f aca="false">ROUNDUP(J355+J359+J361+J353+J359+J361+J363,0)</f>
        <v>#VALUE!</v>
      </c>
      <c r="K364" s="239" t="e">
        <f aca="false">ROUNDUP(K355+K359+K361+K353+K359+K361+K363,0)</f>
        <v>#VALUE!</v>
      </c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  <c r="BH364" s="95"/>
      <c r="BI364" s="95"/>
      <c r="BJ364" s="95"/>
      <c r="BK364" s="95"/>
      <c r="BL364" s="95"/>
    </row>
    <row r="365" customFormat="false" ht="10.5" hidden="false" customHeight="true" outlineLevel="0" collapsed="false">
      <c r="A365" s="0"/>
      <c r="B365" s="225"/>
      <c r="C365" s="233"/>
      <c r="D365" s="233"/>
      <c r="E365" s="233"/>
      <c r="F365" s="233"/>
      <c r="G365" s="233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  <c r="AY365" s="95"/>
      <c r="AZ365" s="95"/>
      <c r="BA365" s="95"/>
      <c r="BB365" s="95"/>
      <c r="BC365" s="95"/>
      <c r="BD365" s="95"/>
      <c r="BE365" s="95"/>
      <c r="BF365" s="95"/>
      <c r="BG365" s="95"/>
      <c r="BH365" s="95"/>
      <c r="BI365" s="95"/>
      <c r="BJ365" s="95"/>
      <c r="BK365" s="95"/>
      <c r="BL365" s="95"/>
    </row>
    <row r="366" customFormat="false" ht="10.5" hidden="false" customHeight="true" outlineLevel="0" collapsed="false">
      <c r="A366" s="217" t="s">
        <v>165</v>
      </c>
      <c r="B366" s="240"/>
      <c r="C366" s="240" t="s">
        <v>166</v>
      </c>
      <c r="D366" s="240" t="s">
        <v>166</v>
      </c>
      <c r="E366" s="240" t="s">
        <v>166</v>
      </c>
      <c r="F366" s="240" t="s">
        <v>166</v>
      </c>
      <c r="G366" s="240" t="s">
        <v>166</v>
      </c>
      <c r="H366" s="240" t="s">
        <v>166</v>
      </c>
      <c r="I366" s="240" t="s">
        <v>166</v>
      </c>
      <c r="J366" s="240" t="s">
        <v>166</v>
      </c>
      <c r="K366" s="240" t="s">
        <v>166</v>
      </c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  <c r="AL366" s="95"/>
      <c r="AM366" s="95"/>
      <c r="AN366" s="95"/>
      <c r="AO366" s="95"/>
      <c r="AP366" s="95"/>
      <c r="AQ366" s="95"/>
      <c r="AR366" s="95"/>
      <c r="AS366" s="95"/>
      <c r="AT366" s="95"/>
      <c r="AU366" s="95"/>
      <c r="AV366" s="95"/>
      <c r="AW366" s="95"/>
      <c r="AX366" s="95"/>
      <c r="AY366" s="95"/>
      <c r="AZ366" s="95"/>
      <c r="BA366" s="95"/>
      <c r="BB366" s="95"/>
      <c r="BC366" s="95"/>
      <c r="BD366" s="95"/>
      <c r="BE366" s="95"/>
      <c r="BF366" s="95"/>
      <c r="BG366" s="95"/>
      <c r="BH366" s="95"/>
      <c r="BI366" s="95"/>
      <c r="BJ366" s="95"/>
      <c r="BK366" s="95"/>
      <c r="BL366" s="95"/>
    </row>
    <row r="367" customFormat="false" ht="21.7" hidden="true" customHeight="true" outlineLevel="0" collapsed="false">
      <c r="A367" s="241" t="s">
        <v>167</v>
      </c>
      <c r="B367" s="218" t="e">
        <f aca="false">VLOOKUP(B366,'данные ГЖ алюм 16,25,50'!$D$108:$M$121,2,0)</f>
        <v>#N/A</v>
      </c>
      <c r="C367" s="218" t="e">
        <f aca="false">VLOOKUP(C366,'данные ГЖ алюм 16,25,50'!$D$108:$M$121,2,0)</f>
        <v>#N/A</v>
      </c>
      <c r="D367" s="218" t="e">
        <f aca="false">VLOOKUP(D366,'данные ГЖ алюм 16,25,50'!$D$108:$M$121,2,0)</f>
        <v>#N/A</v>
      </c>
      <c r="E367" s="218" t="e">
        <f aca="false">VLOOKUP(E366,'данные ГЖ алюм 16,25,50'!$D$108:$M$121,2,0)</f>
        <v>#N/A</v>
      </c>
      <c r="F367" s="218" t="e">
        <f aca="false">VLOOKUP(F366,'данные ГЖ алюм 16,25,50'!$D$108:$M$121,2,0)</f>
        <v>#N/A</v>
      </c>
      <c r="G367" s="218" t="e">
        <f aca="false">VLOOKUP(G366,'данные ГЖ алюм 16,25,50'!$D$108:$M$121,2,0)</f>
        <v>#N/A</v>
      </c>
      <c r="H367" s="218" t="e">
        <f aca="false">VLOOKUP(H366,'данные ГЖ алюм 16,25,50'!$D$108:$M$121,2,0)</f>
        <v>#N/A</v>
      </c>
      <c r="I367" s="218" t="e">
        <f aca="false">VLOOKUP(I366,'данные ГЖ алюм 16,25,50'!$D$108:$M$121,2,0)</f>
        <v>#N/A</v>
      </c>
      <c r="J367" s="218" t="e">
        <f aca="false">VLOOKUP(J366,'данные ГЖ алюм 16,25,50'!$D$108:$M$121,2,0)</f>
        <v>#N/A</v>
      </c>
      <c r="K367" s="218" t="e">
        <f aca="false">VLOOKUP(K366,'данные ГЖ алюм 16,25,50'!$D$108:$M$121,2,0)</f>
        <v>#N/A</v>
      </c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  <c r="AL367" s="95"/>
      <c r="AM367" s="95"/>
      <c r="AN367" s="95"/>
      <c r="AO367" s="95"/>
      <c r="AP367" s="95"/>
      <c r="AQ367" s="95"/>
      <c r="AR367" s="95"/>
      <c r="AS367" s="95"/>
      <c r="AT367" s="95"/>
      <c r="AU367" s="95"/>
      <c r="AV367" s="95"/>
      <c r="AW367" s="95"/>
      <c r="AX367" s="95"/>
      <c r="AY367" s="95"/>
      <c r="AZ367" s="95"/>
      <c r="BA367" s="95"/>
      <c r="BB367" s="95"/>
      <c r="BC367" s="95"/>
      <c r="BD367" s="95"/>
      <c r="BE367" s="95"/>
      <c r="BF367" s="95"/>
      <c r="BG367" s="95"/>
      <c r="BH367" s="95"/>
      <c r="BI367" s="95"/>
      <c r="BJ367" s="95"/>
      <c r="BK367" s="95"/>
      <c r="BL367" s="95"/>
    </row>
    <row r="368" customFormat="false" ht="10.5" hidden="false" customHeight="true" outlineLevel="0" collapsed="false">
      <c r="A368" s="221" t="s">
        <v>168</v>
      </c>
      <c r="B368" s="237" t="e">
        <f aca="false">VLOOKUP(B366,'данные ГЖ алюм 16,25,50'!$D$108:$M$121,10,0)</f>
        <v>#N/A</v>
      </c>
      <c r="C368" s="237" t="e">
        <f aca="false">VLOOKUP(C366,'данные ГЖ алюм 16,25,50'!$D$108:$M$121,10,0)</f>
        <v>#N/A</v>
      </c>
      <c r="D368" s="237" t="e">
        <f aca="false">VLOOKUP(D366,'данные ГЖ алюм 16,25,50'!$D$108:$M$121,10,0)</f>
        <v>#N/A</v>
      </c>
      <c r="E368" s="237" t="e">
        <f aca="false">VLOOKUP(E366,'данные ГЖ алюм 16,25,50'!$D$108:$M$121,10,0)</f>
        <v>#N/A</v>
      </c>
      <c r="F368" s="237" t="e">
        <f aca="false">VLOOKUP(F366,'данные ГЖ алюм 16,25,50'!$D$108:$M$121,10,0)</f>
        <v>#N/A</v>
      </c>
      <c r="G368" s="237" t="e">
        <f aca="false">VLOOKUP(G366,'данные ГЖ алюм 16,25,50'!$D$108:$M$121,10,0)</f>
        <v>#N/A</v>
      </c>
      <c r="H368" s="237" t="e">
        <f aca="false">VLOOKUP(H366,'данные ГЖ алюм 16,25,50'!$D$108:$M$121,10,0)</f>
        <v>#N/A</v>
      </c>
      <c r="I368" s="237" t="e">
        <f aca="false">VLOOKUP(I366,'данные ГЖ алюм 16,25,50'!$D$108:$M$121,10,0)</f>
        <v>#N/A</v>
      </c>
      <c r="J368" s="237" t="e">
        <f aca="false">VLOOKUP(J366,'данные ГЖ алюм 16,25,50'!$D$108:$M$121,10,0)</f>
        <v>#N/A</v>
      </c>
      <c r="K368" s="237" t="e">
        <f aca="false">VLOOKUP(K366,'данные ГЖ алюм 16,25,50'!$D$108:$M$121,10,0)</f>
        <v>#N/A</v>
      </c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  <c r="AL368" s="95"/>
      <c r="AM368" s="95"/>
      <c r="AN368" s="95"/>
      <c r="AO368" s="95"/>
      <c r="AP368" s="95"/>
      <c r="AQ368" s="95"/>
      <c r="AR368" s="95"/>
      <c r="AS368" s="95"/>
      <c r="AT368" s="95"/>
      <c r="AU368" s="95"/>
      <c r="AV368" s="95"/>
      <c r="AW368" s="95"/>
      <c r="AX368" s="95"/>
      <c r="AY368" s="95"/>
      <c r="AZ368" s="95"/>
      <c r="BA368" s="95"/>
      <c r="BB368" s="95"/>
      <c r="BC368" s="95"/>
      <c r="BD368" s="95"/>
      <c r="BE368" s="95"/>
      <c r="BF368" s="95"/>
      <c r="BG368" s="95"/>
      <c r="BH368" s="95"/>
      <c r="BI368" s="95"/>
      <c r="BJ368" s="95"/>
      <c r="BK368" s="95"/>
      <c r="BL368" s="95"/>
    </row>
    <row r="369" customFormat="false" ht="10.5" hidden="false" customHeight="true" outlineLevel="0" collapsed="false">
      <c r="A369" s="0"/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</row>
    <row r="370" customFormat="false" ht="10.5" hidden="false" customHeight="true" outlineLevel="0" collapsed="false">
      <c r="A370" s="173" t="s">
        <v>82</v>
      </c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  <c r="AL370" s="95"/>
      <c r="AM370" s="95"/>
      <c r="AN370" s="95"/>
      <c r="AO370" s="95"/>
      <c r="AP370" s="95"/>
      <c r="AQ370" s="95"/>
      <c r="AR370" s="95"/>
      <c r="AS370" s="95"/>
      <c r="AT370" s="95"/>
      <c r="AU370" s="95"/>
      <c r="AV370" s="95"/>
      <c r="AW370" s="95"/>
      <c r="AX370" s="95"/>
      <c r="AY370" s="95"/>
      <c r="AZ370" s="95"/>
      <c r="BA370" s="95"/>
      <c r="BB370" s="95"/>
      <c r="BC370" s="95"/>
      <c r="BD370" s="95"/>
      <c r="BE370" s="95"/>
      <c r="BF370" s="95"/>
      <c r="BG370" s="95"/>
      <c r="BH370" s="95"/>
      <c r="BI370" s="95"/>
      <c r="BJ370" s="95"/>
      <c r="BK370" s="95"/>
      <c r="BL370" s="95"/>
    </row>
    <row r="371" customFormat="false" ht="10.5" hidden="false" customHeight="true" outlineLevel="0" collapsed="false">
      <c r="A371" s="221" t="s">
        <v>169</v>
      </c>
      <c r="B371" s="242" t="str">
        <f aca="false">IF(B370=0,"",IF(B366="без мотора",3,2))</f>
        <v/>
      </c>
      <c r="C371" s="242" t="str">
        <f aca="false">IF(C370=0,"",IF(C366="без мотора",3,2))</f>
        <v/>
      </c>
      <c r="D371" s="242" t="str">
        <f aca="false">IF(D370=0,"",IF(D366="без мотора",3,2))</f>
        <v/>
      </c>
      <c r="E371" s="242" t="str">
        <f aca="false">IF(E370=0,"",IF(E366="без мотора",3,2))</f>
        <v/>
      </c>
      <c r="F371" s="242" t="str">
        <f aca="false">IF(F370=0,"",IF(F366="без мотора",3,2))</f>
        <v/>
      </c>
      <c r="G371" s="242" t="str">
        <f aca="false">IF(G370=0,"",IF(G366="без мотора",3,2))</f>
        <v/>
      </c>
      <c r="H371" s="242" t="str">
        <f aca="false">IF(H370=0,"",IF(H366="без мотора",3,2))</f>
        <v/>
      </c>
      <c r="I371" s="242" t="str">
        <f aca="false">IF(I370=0,"",IF(I366="без мотора",3,2))</f>
        <v/>
      </c>
      <c r="J371" s="242" t="str">
        <f aca="false">IF(J370=0,"",IF(J366="без мотора",3,2))</f>
        <v/>
      </c>
      <c r="K371" s="242" t="str">
        <f aca="false">IF(K370=0,"",IF(K366="без мотора",3,2))</f>
        <v/>
      </c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  <c r="AL371" s="95"/>
      <c r="AM371" s="95"/>
      <c r="AN371" s="95"/>
      <c r="AO371" s="95"/>
      <c r="AP371" s="95"/>
      <c r="AQ371" s="95"/>
      <c r="AR371" s="95"/>
      <c r="AS371" s="95"/>
      <c r="AT371" s="95"/>
      <c r="AU371" s="95"/>
      <c r="AV371" s="95"/>
      <c r="AW371" s="95"/>
      <c r="AX371" s="95"/>
      <c r="AY371" s="95"/>
      <c r="AZ371" s="95"/>
      <c r="BA371" s="95"/>
      <c r="BB371" s="95"/>
      <c r="BC371" s="95"/>
      <c r="BD371" s="95"/>
      <c r="BE371" s="95"/>
      <c r="BF371" s="95"/>
      <c r="BG371" s="95"/>
      <c r="BH371" s="95"/>
      <c r="BI371" s="95"/>
      <c r="BJ371" s="95"/>
      <c r="BK371" s="95"/>
      <c r="BL371" s="95"/>
    </row>
    <row r="372" customFormat="false" ht="10.5" hidden="false" customHeight="true" outlineLevel="0" collapsed="false">
      <c r="A372" s="213" t="s">
        <v>125</v>
      </c>
      <c r="B372" s="242" t="e">
        <f aca="false">HLOOKUP(B370,Услуги!$H$18:$I$20,B371,0)</f>
        <v>#VALUE!</v>
      </c>
      <c r="C372" s="242" t="e">
        <f aca="false">HLOOKUP(C370,Услуги!$H$18:$I$20,C371,0)</f>
        <v>#VALUE!</v>
      </c>
      <c r="D372" s="242" t="e">
        <f aca="false">HLOOKUP(D370,Услуги!$H$18:$I$20,D371,0)</f>
        <v>#VALUE!</v>
      </c>
      <c r="E372" s="242" t="e">
        <f aca="false">HLOOKUP(E370,Услуги!$H$18:$I$20,E371,0)</f>
        <v>#VALUE!</v>
      </c>
      <c r="F372" s="242" t="e">
        <f aca="false">HLOOKUP(F370,Услуги!$H$18:$I$20,F371,0)</f>
        <v>#VALUE!</v>
      </c>
      <c r="G372" s="242" t="e">
        <f aca="false">HLOOKUP(G370,Услуги!$H$18:$I$20,G371,0)</f>
        <v>#VALUE!</v>
      </c>
      <c r="H372" s="242" t="e">
        <f aca="false">HLOOKUP(H370,Услуги!$H$18:$I$20,H371,0)</f>
        <v>#VALUE!</v>
      </c>
      <c r="I372" s="242" t="e">
        <f aca="false">HLOOKUP(I370,Услуги!$H$18:$I$20,I371,0)</f>
        <v>#VALUE!</v>
      </c>
      <c r="J372" s="242" t="e">
        <f aca="false">HLOOKUP(J370,Услуги!$H$18:$I$20,J371,0)</f>
        <v>#VALUE!</v>
      </c>
      <c r="K372" s="242" t="e">
        <f aca="false">HLOOKUP(K370,Услуги!$H$18:$I$20,K371,0)</f>
        <v>#VALUE!</v>
      </c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  <c r="AL372" s="95"/>
      <c r="AM372" s="95"/>
      <c r="AN372" s="95"/>
      <c r="AO372" s="95"/>
      <c r="AP372" s="95"/>
      <c r="AQ372" s="95"/>
      <c r="AR372" s="95"/>
      <c r="AS372" s="95"/>
      <c r="AT372" s="95"/>
      <c r="AU372" s="95"/>
      <c r="AV372" s="95"/>
      <c r="AW372" s="95"/>
      <c r="AX372" s="95"/>
      <c r="AY372" s="95"/>
      <c r="AZ372" s="95"/>
      <c r="BA372" s="95"/>
      <c r="BB372" s="95"/>
      <c r="BC372" s="95"/>
      <c r="BD372" s="95"/>
      <c r="BE372" s="95"/>
      <c r="BF372" s="95"/>
      <c r="BG372" s="95"/>
      <c r="BH372" s="95"/>
      <c r="BI372" s="95"/>
      <c r="BJ372" s="95"/>
      <c r="BK372" s="95"/>
      <c r="BL372" s="95"/>
    </row>
    <row r="373" customFormat="false" ht="23.7" hidden="false" customHeight="true" outlineLevel="0" collapsed="false">
      <c r="A373" s="243" t="s">
        <v>170</v>
      </c>
      <c r="B373" s="180" t="e">
        <f aca="false">B368+B364</f>
        <v>#N/A</v>
      </c>
      <c r="C373" s="180" t="e">
        <f aca="false">C368+C364</f>
        <v>#N/A</v>
      </c>
      <c r="D373" s="180" t="e">
        <f aca="false">D368+D364</f>
        <v>#N/A</v>
      </c>
      <c r="E373" s="180" t="e">
        <f aca="false">E368+E364</f>
        <v>#N/A</v>
      </c>
      <c r="F373" s="180" t="e">
        <f aca="false">F368+F364</f>
        <v>#N/A</v>
      </c>
      <c r="G373" s="180" t="e">
        <f aca="false">G368+G364</f>
        <v>#N/A</v>
      </c>
      <c r="H373" s="180" t="e">
        <f aca="false">H368+H364</f>
        <v>#N/A</v>
      </c>
      <c r="I373" s="180" t="e">
        <f aca="false">I368+I364</f>
        <v>#N/A</v>
      </c>
      <c r="J373" s="180" t="e">
        <f aca="false">J368+J364</f>
        <v>#N/A</v>
      </c>
      <c r="K373" s="180" t="e">
        <f aca="false">K368+K364</f>
        <v>#N/A</v>
      </c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  <c r="AL373" s="95"/>
      <c r="AM373" s="95"/>
      <c r="AN373" s="95"/>
      <c r="AO373" s="95"/>
      <c r="AP373" s="95"/>
      <c r="AQ373" s="95"/>
      <c r="AR373" s="95"/>
      <c r="AS373" s="95"/>
      <c r="AT373" s="95"/>
      <c r="AU373" s="95"/>
      <c r="AV373" s="95"/>
      <c r="AW373" s="95"/>
      <c r="AX373" s="95"/>
      <c r="AY373" s="95"/>
      <c r="AZ373" s="95"/>
      <c r="BA373" s="95"/>
      <c r="BB373" s="95"/>
      <c r="BC373" s="95"/>
      <c r="BD373" s="95"/>
      <c r="BE373" s="95"/>
      <c r="BF373" s="95"/>
      <c r="BG373" s="95"/>
      <c r="BH373" s="95"/>
      <c r="BI373" s="95"/>
      <c r="BJ373" s="95"/>
      <c r="BK373" s="95"/>
      <c r="BL373" s="95"/>
    </row>
    <row r="374" customFormat="false" ht="23.7" hidden="false" customHeight="true" outlineLevel="0" collapsed="false">
      <c r="A374" s="244" t="s">
        <v>171</v>
      </c>
      <c r="B374" s="237" t="e">
        <f aca="false">B356+B368</f>
        <v>#N/A</v>
      </c>
      <c r="C374" s="237" t="e">
        <f aca="false">C356+C368</f>
        <v>#N/A</v>
      </c>
      <c r="D374" s="237" t="e">
        <f aca="false">D356+D368</f>
        <v>#N/A</v>
      </c>
      <c r="E374" s="237" t="e">
        <f aca="false">E356+E368</f>
        <v>#N/A</v>
      </c>
      <c r="F374" s="237" t="e">
        <f aca="false">F356+F368</f>
        <v>#N/A</v>
      </c>
      <c r="G374" s="237" t="e">
        <f aca="false">G356+G368</f>
        <v>#N/A</v>
      </c>
      <c r="H374" s="237" t="e">
        <f aca="false">H356+H368</f>
        <v>#N/A</v>
      </c>
      <c r="I374" s="237" t="e">
        <f aca="false">I356+I368</f>
        <v>#N/A</v>
      </c>
      <c r="J374" s="237" t="e">
        <f aca="false">J356+J368</f>
        <v>#N/A</v>
      </c>
      <c r="K374" s="237" t="e">
        <f aca="false">K356+K368</f>
        <v>#N/A</v>
      </c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  <c r="AL374" s="95"/>
      <c r="AM374" s="95"/>
      <c r="AN374" s="95"/>
      <c r="AO374" s="95"/>
      <c r="AP374" s="95"/>
      <c r="AQ374" s="95"/>
      <c r="AR374" s="95"/>
      <c r="AS374" s="95"/>
      <c r="AT374" s="95"/>
      <c r="AU374" s="95"/>
      <c r="AV374" s="95"/>
      <c r="AW374" s="95"/>
      <c r="AX374" s="95"/>
      <c r="AY374" s="95"/>
      <c r="AZ374" s="95"/>
      <c r="BA374" s="95"/>
      <c r="BB374" s="95"/>
      <c r="BC374" s="95"/>
      <c r="BD374" s="95"/>
      <c r="BE374" s="95"/>
      <c r="BF374" s="95"/>
      <c r="BG374" s="95"/>
      <c r="BH374" s="95"/>
      <c r="BI374" s="95"/>
      <c r="BJ374" s="95"/>
      <c r="BK374" s="95"/>
      <c r="BL374" s="95"/>
    </row>
    <row r="375" customFormat="false" ht="8.5" hidden="false" customHeight="true" outlineLevel="0" collapsed="false">
      <c r="A375" s="95"/>
      <c r="B375" s="225"/>
      <c r="C375" s="233"/>
      <c r="D375" s="233"/>
      <c r="E375" s="233"/>
      <c r="F375" s="233"/>
      <c r="G375" s="233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  <c r="AP375" s="95"/>
      <c r="AQ375" s="95"/>
      <c r="AR375" s="95"/>
      <c r="AS375" s="95"/>
      <c r="AT375" s="95"/>
      <c r="AU375" s="95"/>
      <c r="AV375" s="95"/>
      <c r="AW375" s="95"/>
      <c r="AX375" s="95"/>
      <c r="AY375" s="95"/>
      <c r="AZ375" s="95"/>
      <c r="BA375" s="95"/>
      <c r="BB375" s="95"/>
      <c r="BC375" s="95"/>
      <c r="BD375" s="95"/>
      <c r="BE375" s="95"/>
      <c r="BF375" s="95"/>
      <c r="BG375" s="95"/>
      <c r="BH375" s="95"/>
      <c r="BI375" s="95"/>
      <c r="BJ375" s="95"/>
      <c r="BK375" s="95"/>
      <c r="BL375" s="95"/>
    </row>
    <row r="376" customFormat="false" ht="12.45" hidden="false" customHeight="true" outlineLevel="0" collapsed="false">
      <c r="A376" s="116" t="s">
        <v>95</v>
      </c>
      <c r="B376" s="179"/>
      <c r="C376" s="179" t="s">
        <v>172</v>
      </c>
      <c r="D376" s="179"/>
      <c r="E376" s="179"/>
      <c r="F376" s="233"/>
      <c r="G376" s="233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  <c r="AL376" s="95"/>
      <c r="AM376" s="95"/>
      <c r="AN376" s="95"/>
      <c r="AO376" s="95"/>
      <c r="AP376" s="95"/>
      <c r="AQ376" s="95"/>
      <c r="AR376" s="95"/>
      <c r="AS376" s="95"/>
      <c r="AT376" s="95"/>
      <c r="AU376" s="95"/>
      <c r="AV376" s="95"/>
      <c r="AW376" s="95"/>
      <c r="AX376" s="95"/>
      <c r="AY376" s="95"/>
      <c r="AZ376" s="95"/>
      <c r="BA376" s="95"/>
      <c r="BB376" s="95"/>
      <c r="BC376" s="95"/>
      <c r="BD376" s="95"/>
      <c r="BE376" s="95"/>
      <c r="BF376" s="95"/>
      <c r="BG376" s="95"/>
      <c r="BH376" s="95"/>
      <c r="BI376" s="95"/>
      <c r="BJ376" s="95"/>
      <c r="BK376" s="95"/>
      <c r="BL376" s="95"/>
    </row>
    <row r="377" customFormat="false" ht="13.1" hidden="false" customHeight="true" outlineLevel="0" collapsed="false">
      <c r="A377" s="95"/>
      <c r="B377" s="180" t="e">
        <f aca="false">VLOOKUP(B376,'Управление и питание'!$C$66:$G$67,5,0)</f>
        <v>#N/A</v>
      </c>
      <c r="C377" s="180" t="n">
        <f aca="false">VLOOKUP(C376,'Управление и питание'!$C$66:$G$67,5,0)</f>
        <v>2335.2</v>
      </c>
      <c r="D377" s="180" t="e">
        <f aca="false">VLOOKUP(D376,'Управление и питание'!$C$66:$G$67,5,0)</f>
        <v>#N/A</v>
      </c>
      <c r="E377" s="180"/>
      <c r="F377" s="233"/>
      <c r="G377" s="233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  <c r="AL377" s="95"/>
      <c r="AM377" s="95"/>
      <c r="AN377" s="95"/>
      <c r="AO377" s="95"/>
      <c r="AP377" s="95"/>
      <c r="AQ377" s="95"/>
      <c r="AR377" s="95"/>
      <c r="AS377" s="95"/>
      <c r="AT377" s="95"/>
      <c r="AU377" s="95"/>
      <c r="AV377" s="95"/>
      <c r="AW377" s="95"/>
      <c r="AX377" s="95"/>
      <c r="AY377" s="95"/>
      <c r="AZ377" s="95"/>
      <c r="BA377" s="95"/>
      <c r="BB377" s="95"/>
      <c r="BC377" s="95"/>
      <c r="BD377" s="95"/>
      <c r="BE377" s="95"/>
      <c r="BF377" s="95"/>
      <c r="BG377" s="95"/>
      <c r="BH377" s="95"/>
      <c r="BI377" s="95"/>
      <c r="BJ377" s="95"/>
      <c r="BK377" s="95"/>
      <c r="BL377" s="95"/>
    </row>
    <row r="378" customFormat="false" ht="8.5" hidden="false" customHeight="true" outlineLevel="0" collapsed="false">
      <c r="A378" s="95"/>
      <c r="B378" s="225"/>
      <c r="C378" s="233"/>
      <c r="D378" s="233"/>
      <c r="E378" s="233"/>
      <c r="F378" s="233"/>
      <c r="G378" s="233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  <c r="AL378" s="95"/>
      <c r="AM378" s="95"/>
      <c r="AN378" s="95"/>
      <c r="AO378" s="95"/>
      <c r="AP378" s="95"/>
      <c r="AQ378" s="95"/>
      <c r="AR378" s="95"/>
      <c r="AS378" s="95"/>
      <c r="AT378" s="95"/>
      <c r="AU378" s="95"/>
      <c r="AV378" s="95"/>
      <c r="AW378" s="95"/>
      <c r="AX378" s="95"/>
      <c r="AY378" s="95"/>
      <c r="AZ378" s="95"/>
      <c r="BA378" s="95"/>
      <c r="BB378" s="95"/>
      <c r="BC378" s="95"/>
      <c r="BD378" s="95"/>
      <c r="BE378" s="95"/>
      <c r="BF378" s="95"/>
      <c r="BG378" s="95"/>
      <c r="BH378" s="95"/>
      <c r="BI378" s="95"/>
      <c r="BJ378" s="95"/>
      <c r="BK378" s="95"/>
      <c r="BL378" s="95"/>
    </row>
    <row r="379" customFormat="false" ht="28.6" hidden="false" customHeight="true" outlineLevel="0" collapsed="false">
      <c r="A379" s="245" t="s">
        <v>173</v>
      </c>
      <c r="B379" s="245"/>
      <c r="C379" s="245"/>
      <c r="D379" s="245"/>
      <c r="E379" s="245"/>
      <c r="F379" s="245"/>
      <c r="G379" s="245"/>
      <c r="H379" s="24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  <c r="AL379" s="95"/>
      <c r="AM379" s="95"/>
      <c r="AN379" s="95"/>
      <c r="AO379" s="95"/>
      <c r="AP379" s="95"/>
      <c r="AQ379" s="95"/>
      <c r="AR379" s="95"/>
      <c r="AS379" s="95"/>
      <c r="AT379" s="95"/>
      <c r="AU379" s="95"/>
      <c r="AV379" s="95"/>
      <c r="AW379" s="95"/>
      <c r="AX379" s="95"/>
      <c r="AY379" s="95"/>
      <c r="AZ379" s="95"/>
      <c r="BA379" s="95"/>
      <c r="BB379" s="95"/>
      <c r="BC379" s="95"/>
      <c r="BD379" s="95"/>
      <c r="BE379" s="95"/>
      <c r="BF379" s="95"/>
      <c r="BG379" s="95"/>
      <c r="BH379" s="95"/>
      <c r="BI379" s="95"/>
      <c r="BJ379" s="95"/>
      <c r="BK379" s="95"/>
      <c r="BL379" s="95"/>
    </row>
    <row r="381" customFormat="false" ht="28.35" hidden="false" customHeight="true" outlineLevel="0" collapsed="false">
      <c r="A381" s="121" t="s">
        <v>199</v>
      </c>
      <c r="B381" s="121"/>
      <c r="C381" s="121"/>
      <c r="D381" s="121"/>
      <c r="E381" s="121"/>
      <c r="F381" s="122"/>
      <c r="G381" s="233"/>
      <c r="H381" s="95"/>
      <c r="I381" s="95"/>
      <c r="J381" s="95"/>
    </row>
    <row r="382" customFormat="false" ht="28.35" hidden="false" customHeight="true" outlineLevel="0" collapsed="false">
      <c r="A382" s="124" t="s">
        <v>100</v>
      </c>
      <c r="B382" s="125" t="s">
        <v>101</v>
      </c>
      <c r="C382" s="125" t="s">
        <v>102</v>
      </c>
      <c r="D382" s="125" t="s">
        <v>103</v>
      </c>
      <c r="E382" s="125" t="s">
        <v>104</v>
      </c>
      <c r="F382" s="125" t="s">
        <v>105</v>
      </c>
      <c r="G382" s="233"/>
      <c r="H382" s="246" t="s">
        <v>98</v>
      </c>
      <c r="I382" s="247" t="s">
        <v>99</v>
      </c>
      <c r="J382" s="95"/>
    </row>
    <row r="383" customFormat="false" ht="28.35" hidden="false" customHeight="true" outlineLevel="0" collapsed="false">
      <c r="A383" s="127" t="e">
        <f aca="false">VLOOKUP(B375,'Управление и питание'!$C$66:$H$67,6,0)</f>
        <v>#N/A</v>
      </c>
      <c r="B383" s="128"/>
      <c r="C383" s="128"/>
      <c r="D383" s="128"/>
      <c r="E383" s="129" t="n">
        <f aca="false">B376</f>
        <v>0</v>
      </c>
      <c r="F383" s="194" t="str">
        <f aca="false">IF(B383&lt;=0,"не указано кол-во",B383*E383)</f>
        <v>не указано кол-во</v>
      </c>
      <c r="G383" s="248" t="s">
        <v>106</v>
      </c>
      <c r="H383" s="248"/>
      <c r="I383" s="248"/>
      <c r="J383" s="95"/>
    </row>
    <row r="384" customFormat="false" ht="28.35" hidden="false" customHeight="true" outlineLevel="0" collapsed="false">
      <c r="A384" s="127" t="e">
        <f aca="false">VLOOKUP(D375,'Управление и питание'!$C$66:$H$67,6,0)</f>
        <v>#N/A</v>
      </c>
      <c r="B384" s="128"/>
      <c r="C384" s="128"/>
      <c r="D384" s="128"/>
      <c r="E384" s="129" t="n">
        <f aca="false">D376</f>
        <v>0</v>
      </c>
      <c r="F384" s="194" t="str">
        <f aca="false">IF(B384&lt;=0,"не указано кол-во",B384*E384)</f>
        <v>не указано кол-во</v>
      </c>
      <c r="G384" s="248" t="s">
        <v>106</v>
      </c>
      <c r="H384" s="248"/>
      <c r="I384" s="248"/>
      <c r="J384" s="95"/>
    </row>
    <row r="385" customFormat="false" ht="29.15" hidden="false" customHeight="true" outlineLevel="0" collapsed="false">
      <c r="A385" s="139" t="e">
        <f aca="false">B337&amp;B367</f>
        <v>#N/A</v>
      </c>
      <c r="B385" s="140"/>
      <c r="C385" s="140" t="str">
        <f aca="false">B338*1000&amp;" х "&amp;B342*1000&amp;" мм"</f>
        <v>0 х 0 мм</v>
      </c>
      <c r="D385" s="207" t="str">
        <f aca="false">_xlfn.IFS(B358="Нет","",B358=0," ",B358="Да",A358&amp;". ")&amp;_xlfn.IFS(B360="Нет","",B360=0," ",B360="Да",A360&amp;". ")&amp;_xlfn.IFS(B362="Нет","",B362=0," ",B362="Да",A362&amp;". ")</f>
        <v>   </v>
      </c>
      <c r="E385" s="141" t="e">
        <f aca="false">B373</f>
        <v>#N/A</v>
      </c>
      <c r="F385" s="194" t="str">
        <f aca="false">IF(B385&lt;=0,"не указано кол-во",B385*E385)</f>
        <v>не указано кол-во</v>
      </c>
      <c r="G385" s="249" t="s">
        <v>200</v>
      </c>
      <c r="H385" s="250" t="str">
        <f aca="false">IF(B385=0,"нет кол-ва",IF(ISNUMBER(B371),B371,""))</f>
        <v>нет кол-ва</v>
      </c>
      <c r="I385" s="251" t="str">
        <f aca="false">IF(ISNUMBER(H385),B385*H385,H385)</f>
        <v>нет кол-ва</v>
      </c>
      <c r="J385" s="252" t="s">
        <v>176</v>
      </c>
    </row>
    <row r="386" customFormat="false" ht="28.35" hidden="false" customHeight="true" outlineLevel="0" collapsed="false">
      <c r="A386" s="139" t="e">
        <f aca="false">C337&amp;C367</f>
        <v>#N/A</v>
      </c>
      <c r="B386" s="140"/>
      <c r="C386" s="140" t="str">
        <f aca="false">C338*1000&amp;" х "&amp;C342*1000&amp;" мм"</f>
        <v>0 х 0 мм</v>
      </c>
      <c r="D386" s="140" t="str">
        <f aca="false">_xlfn.IFS(C358="Нет","",C358=0," ",C358="Да",A358&amp;". ")&amp;_xlfn.IFS(C360="Нет","",C360=0," ",C360="Да",A360&amp;". ")&amp;_xlfn.IFS(C362="Нет","",C362=0," ",C362="Да",A362&amp;". ")</f>
        <v>   </v>
      </c>
      <c r="E386" s="141" t="e">
        <f aca="false">C373</f>
        <v>#N/A</v>
      </c>
      <c r="F386" s="253" t="str">
        <f aca="false">IF(B386&lt;=0,"не указано кол-во",B386*E386)</f>
        <v>не указано кол-во</v>
      </c>
      <c r="G386" s="249" t="s">
        <v>200</v>
      </c>
      <c r="H386" s="250" t="str">
        <f aca="false">IF(B386=0,"нет кол-ва",IF(ISNUMBER(C371),C371,""))</f>
        <v>нет кол-ва</v>
      </c>
      <c r="I386" s="251" t="str">
        <f aca="false">IF(ISNUMBER(H386),B386*H386,H386)</f>
        <v>нет кол-ва</v>
      </c>
      <c r="J386" s="252" t="s">
        <v>177</v>
      </c>
    </row>
    <row r="387" customFormat="false" ht="28.35" hidden="false" customHeight="true" outlineLevel="0" collapsed="false">
      <c r="A387" s="139" t="e">
        <f aca="false">D337&amp;D367</f>
        <v>#N/A</v>
      </c>
      <c r="B387" s="140"/>
      <c r="C387" s="140" t="str">
        <f aca="false">D338*1000&amp;" х "&amp;D342*1000&amp;" мм"</f>
        <v>0 х 0 мм</v>
      </c>
      <c r="D387" s="140" t="str">
        <f aca="false">_xlfn.IFS(D358="Нет","",D358=0," ",D358="Да",A358&amp;". ")&amp;_xlfn.IFS(D360="Нет","",D360=0," ",D360="Да",A360&amp;". ")&amp;_xlfn.IFS(D362="Нет","",D362=0," ",D362="Да",A362&amp;". ")</f>
        <v>   </v>
      </c>
      <c r="E387" s="141" t="e">
        <f aca="false">D373</f>
        <v>#N/A</v>
      </c>
      <c r="F387" s="253" t="str">
        <f aca="false">IF(B387&lt;=0,"не указано кол-во",B387*E387)</f>
        <v>не указано кол-во</v>
      </c>
      <c r="G387" s="249" t="s">
        <v>200</v>
      </c>
      <c r="H387" s="250" t="str">
        <f aca="false">IF(B387=0,"нет кол-ва",IF(ISNUMBER(D371),D371,""))</f>
        <v>нет кол-ва</v>
      </c>
      <c r="I387" s="251" t="str">
        <f aca="false">IF(ISNUMBER(H387),B387*H387,H387)</f>
        <v>нет кол-ва</v>
      </c>
      <c r="J387" s="252" t="s">
        <v>178</v>
      </c>
    </row>
    <row r="388" customFormat="false" ht="28.35" hidden="false" customHeight="true" outlineLevel="0" collapsed="false">
      <c r="A388" s="139" t="e">
        <f aca="false">E337&amp;E367</f>
        <v>#N/A</v>
      </c>
      <c r="B388" s="140"/>
      <c r="C388" s="140" t="str">
        <f aca="false">E338*1000&amp;" х "&amp;E342*1000&amp;" мм"</f>
        <v>0 х 0 мм</v>
      </c>
      <c r="D388" s="140" t="str">
        <f aca="false">_xlfn.IFS(E358="Нет","",E358=0," ",E358="Да",A358&amp;". ")&amp;_xlfn.IFS(E360="Нет","",E360=0," ",E360="Да",A360&amp;". ")&amp;_xlfn.IFS(E362="Нет","",E362=0," ",E362="Да",A362&amp;". ")</f>
        <v>   </v>
      </c>
      <c r="E388" s="141" t="e">
        <f aca="false">E373</f>
        <v>#N/A</v>
      </c>
      <c r="F388" s="253" t="str">
        <f aca="false">IF(B388&lt;=0,"не указано кол-во",B388*E388)</f>
        <v>не указано кол-во</v>
      </c>
      <c r="G388" s="249" t="s">
        <v>200</v>
      </c>
      <c r="H388" s="250" t="str">
        <f aca="false">IF(B388=0,"нет кол-ва",IF(ISNUMBER(E371),E371,""))</f>
        <v>нет кол-ва</v>
      </c>
      <c r="I388" s="251" t="str">
        <f aca="false">IF(ISNUMBER(H388),B388*H388,H388)</f>
        <v>нет кол-ва</v>
      </c>
      <c r="J388" s="252" t="s">
        <v>179</v>
      </c>
    </row>
    <row r="389" customFormat="false" ht="28.35" hidden="false" customHeight="true" outlineLevel="0" collapsed="false">
      <c r="A389" s="139" t="e">
        <f aca="false">F337&amp;F367</f>
        <v>#N/A</v>
      </c>
      <c r="B389" s="140"/>
      <c r="C389" s="140" t="str">
        <f aca="false">F338*1000&amp;" х "&amp;F342*1000&amp;" мм"</f>
        <v>0 х 0 мм</v>
      </c>
      <c r="D389" s="140" t="str">
        <f aca="false">_xlfn.IFS(F358="Нет","",F358=0," ",F358="Да",A358&amp;". ")&amp;_xlfn.IFS(F360="Нет","",F360=0," ",F360="Да",A360&amp;". ")&amp;_xlfn.IFS(F362="Нет","",F362=0," ",F362="Да",A362&amp;". ")</f>
        <v>   </v>
      </c>
      <c r="E389" s="141" t="e">
        <f aca="false">F373</f>
        <v>#N/A</v>
      </c>
      <c r="F389" s="253" t="str">
        <f aca="false">IF(B389&lt;=0,"не указано кол-во",B389*E389)</f>
        <v>не указано кол-во</v>
      </c>
      <c r="G389" s="249" t="s">
        <v>200</v>
      </c>
      <c r="H389" s="250" t="str">
        <f aca="false">IF(B389=0,"нет кол-ва",IF(ISNUMBER(F371),F371,""))</f>
        <v>нет кол-ва</v>
      </c>
      <c r="I389" s="251" t="str">
        <f aca="false">IF(ISNUMBER(H389),B389*H389,H389)</f>
        <v>нет кол-ва</v>
      </c>
      <c r="J389" s="252" t="s">
        <v>180</v>
      </c>
    </row>
    <row r="390" customFormat="false" ht="28.35" hidden="false" customHeight="true" outlineLevel="0" collapsed="false">
      <c r="A390" s="139" t="e">
        <f aca="false">G337&amp;G367</f>
        <v>#N/A</v>
      </c>
      <c r="B390" s="140"/>
      <c r="C390" s="140" t="str">
        <f aca="false">G338*1000&amp;" х "&amp;G342*1000&amp;" мм"</f>
        <v>0 х 0 мм</v>
      </c>
      <c r="D390" s="140" t="str">
        <f aca="false">_xlfn.IFS(G358="Нет","",G358=0," ",G358="Да",A358&amp;". ")&amp;_xlfn.IFS(G360="Нет","",G360=0," ",G360="Да",A360&amp;". ")&amp;_xlfn.IFS(G362="Нет","",G362=0," ",G362="Да",A362&amp;". ")</f>
        <v>   </v>
      </c>
      <c r="E390" s="141" t="e">
        <f aca="false">G373</f>
        <v>#N/A</v>
      </c>
      <c r="F390" s="253" t="str">
        <f aca="false">IF(B390&lt;=0,"не указано кол-во",B390*E390)</f>
        <v>не указано кол-во</v>
      </c>
      <c r="G390" s="249" t="s">
        <v>200</v>
      </c>
      <c r="H390" s="250" t="str">
        <f aca="false">IF(B390=0,"нет кол-ва",IF(ISNUMBER(G371),G371,""))</f>
        <v>нет кол-ва</v>
      </c>
      <c r="I390" s="251" t="str">
        <f aca="false">IF(ISNUMBER(H390),B390*H390,H390)</f>
        <v>нет кол-ва</v>
      </c>
      <c r="J390" s="252" t="s">
        <v>181</v>
      </c>
    </row>
    <row r="391" customFormat="false" ht="28.35" hidden="false" customHeight="true" outlineLevel="0" collapsed="false">
      <c r="A391" s="139" t="e">
        <f aca="false">H337&amp;H367</f>
        <v>#N/A</v>
      </c>
      <c r="B391" s="140"/>
      <c r="C391" s="140" t="str">
        <f aca="false">H338*1000&amp;" х "&amp;H342*1000&amp;" мм"</f>
        <v>0 х 0 мм</v>
      </c>
      <c r="D391" s="140" t="str">
        <f aca="false">_xlfn.IFS(H358="Нет","",H358=0," ",H358="Да",A358&amp;". ")&amp;_xlfn.IFS(H360="Нет","",H360=0," ",H360="Да",A360&amp;". ")&amp;_xlfn.IFS(H362="Нет","",H362=0," ",H362="Да",A362&amp;". ")</f>
        <v>   </v>
      </c>
      <c r="E391" s="141" t="e">
        <f aca="false">H373</f>
        <v>#N/A</v>
      </c>
      <c r="F391" s="253" t="str">
        <f aca="false">IF(B391&lt;=0,"не указано кол-во",B391*E391)</f>
        <v>не указано кол-во</v>
      </c>
      <c r="G391" s="249" t="s">
        <v>200</v>
      </c>
      <c r="H391" s="250" t="str">
        <f aca="false">IF(B391=0,"нет кол-ва",IF(ISNUMBER(H371),H371,""))</f>
        <v>нет кол-ва</v>
      </c>
      <c r="I391" s="251" t="str">
        <f aca="false">IF(ISNUMBER(H391),B391*H391,H391)</f>
        <v>нет кол-ва</v>
      </c>
      <c r="J391" s="252" t="s">
        <v>182</v>
      </c>
    </row>
    <row r="392" customFormat="false" ht="28.35" hidden="false" customHeight="true" outlineLevel="0" collapsed="false">
      <c r="A392" s="139" t="e">
        <f aca="false">I337&amp;I367</f>
        <v>#N/A</v>
      </c>
      <c r="B392" s="140"/>
      <c r="C392" s="140" t="str">
        <f aca="false">I338*1000&amp;" х "&amp;I342*1000&amp;" мм"</f>
        <v>0 х 0 мм</v>
      </c>
      <c r="D392" s="140" t="str">
        <f aca="false">_xlfn.IFS(I358="Нет","",I358=0," ",I358="Да",A358&amp;". ")&amp;_xlfn.IFS(I360="Нет","",I360=0," ",I360="Да",A360&amp;". ")&amp;_xlfn.IFS(I362="Нет","",I362=0," ",I362="Да",A362&amp;". ")</f>
        <v>   </v>
      </c>
      <c r="E392" s="141" t="e">
        <f aca="false">I373</f>
        <v>#N/A</v>
      </c>
      <c r="F392" s="253" t="str">
        <f aca="false">IF(B392&lt;=0,"не указано кол-во",B392*E392)</f>
        <v>не указано кол-во</v>
      </c>
      <c r="G392" s="249" t="s">
        <v>200</v>
      </c>
      <c r="H392" s="250" t="str">
        <f aca="false">IF(B392=0,"нет кол-ва",IF(ISNUMBER(I371),I371,""))</f>
        <v>нет кол-ва</v>
      </c>
      <c r="I392" s="251" t="str">
        <f aca="false">IF(ISNUMBER(H392),B392*H392,H392)</f>
        <v>нет кол-ва</v>
      </c>
      <c r="J392" s="252" t="s">
        <v>183</v>
      </c>
    </row>
    <row r="393" customFormat="false" ht="27.8" hidden="false" customHeight="true" outlineLevel="0" collapsed="false">
      <c r="A393" s="139" t="e">
        <f aca="false">J337&amp;J367</f>
        <v>#N/A</v>
      </c>
      <c r="B393" s="140"/>
      <c r="C393" s="140" t="str">
        <f aca="false">J338*1000&amp;" х "&amp;J342*1000&amp;" мм"</f>
        <v>0 х 0 мм</v>
      </c>
      <c r="D393" s="140" t="str">
        <f aca="false">_xlfn.IFS(J358="Нет","",J358=0," ",J358="Да",A358&amp;". ")&amp;_xlfn.IFS(J360="Нет","",J360=0," ",J360="Да",A360&amp;". ")&amp;_xlfn.IFS(J362="Нет","",J362=0," ",J362="Да",A362&amp;". ")</f>
        <v>   </v>
      </c>
      <c r="E393" s="141" t="e">
        <f aca="false">J373</f>
        <v>#N/A</v>
      </c>
      <c r="F393" s="194" t="str">
        <f aca="false">IF(B393&lt;=0,"не указано кол-во",B393*E393)</f>
        <v>не указано кол-во</v>
      </c>
      <c r="G393" s="249" t="s">
        <v>200</v>
      </c>
      <c r="H393" s="250" t="str">
        <f aca="false">IF(B393=0,"нет кол-ва",IF(ISNUMBER(J371),J371,""))</f>
        <v>нет кол-ва</v>
      </c>
      <c r="I393" s="251" t="str">
        <f aca="false">IF(ISNUMBER(H393),B393*H393,H393)</f>
        <v>нет кол-ва</v>
      </c>
      <c r="J393" s="252" t="s">
        <v>184</v>
      </c>
    </row>
    <row r="394" customFormat="false" ht="28.35" hidden="false" customHeight="true" outlineLevel="0" collapsed="false">
      <c r="A394" s="139" t="e">
        <f aca="false">K337&amp;K367</f>
        <v>#N/A</v>
      </c>
      <c r="B394" s="140"/>
      <c r="C394" s="140" t="str">
        <f aca="false">K338*1000&amp;" х "&amp;K342*1000&amp;" мм"</f>
        <v>0 х 0 мм</v>
      </c>
      <c r="D394" s="140" t="str">
        <f aca="false">_xlfn.IFS(K358="Нет","",K358=0," ",K358="Да",A358&amp;". ")&amp;_xlfn.IFS(K360="Нет","",K360=0," ",K360="Да",A360&amp;". ")&amp;_xlfn.IFS(K362="Нет","",K362=0," ",K362="Да",A362&amp;". ")</f>
        <v>   </v>
      </c>
      <c r="E394" s="141" t="e">
        <f aca="false">K373</f>
        <v>#N/A</v>
      </c>
      <c r="F394" s="194" t="str">
        <f aca="false">IF(B394&lt;=0,"не указано кол-во",B394*E394)</f>
        <v>не указано кол-во</v>
      </c>
      <c r="G394" s="249" t="s">
        <v>200</v>
      </c>
      <c r="H394" s="250" t="str">
        <f aca="false">IF(B394=0,"нет кол-ва",IF(ISNUMBER(K371),K371,""))</f>
        <v>нет кол-ва</v>
      </c>
      <c r="I394" s="251" t="str">
        <f aca="false">IF(ISNUMBER(H394),B394*H394,H394)</f>
        <v>нет кол-ва</v>
      </c>
      <c r="J394" s="252" t="s">
        <v>185</v>
      </c>
    </row>
    <row r="395" customFormat="false" ht="28.35" hidden="false" customHeight="true" outlineLevel="0" collapsed="false">
      <c r="A395" s="95"/>
      <c r="B395" s="143"/>
      <c r="C395" s="95"/>
      <c r="D395" s="144"/>
      <c r="E395" s="145" t="s">
        <v>84</v>
      </c>
      <c r="F395" s="146" t="n">
        <f aca="false">SUM(F383:F394)</f>
        <v>0</v>
      </c>
      <c r="G395" s="95"/>
      <c r="H395" s="0"/>
      <c r="I395" s="254" t="n">
        <f aca="false">SUM(I385:I394)</f>
        <v>0</v>
      </c>
      <c r="J395" s="95"/>
    </row>
    <row r="396" customFormat="false" ht="28.35" hidden="false" customHeight="true" outlineLevel="0" collapsed="false">
      <c r="A396" s="95"/>
      <c r="B396" s="143"/>
      <c r="C396" s="95"/>
      <c r="D396" s="145" t="s">
        <v>107</v>
      </c>
      <c r="E396" s="149"/>
      <c r="F396" s="146" t="n">
        <f aca="false">F395*E396</f>
        <v>0</v>
      </c>
      <c r="G396" s="95"/>
      <c r="H396" s="95"/>
      <c r="I396" s="95"/>
      <c r="J396" s="95"/>
    </row>
    <row r="397" customFormat="false" ht="28.35" hidden="false" customHeight="true" outlineLevel="0" collapsed="false">
      <c r="A397" s="95"/>
      <c r="B397" s="143"/>
      <c r="C397" s="95"/>
      <c r="D397" s="144"/>
      <c r="E397" s="145" t="s">
        <v>108</v>
      </c>
      <c r="F397" s="146" t="n">
        <f aca="false">F395-F396</f>
        <v>0</v>
      </c>
      <c r="G397" s="95"/>
      <c r="H397" s="95"/>
      <c r="I397" s="95"/>
      <c r="J397" s="95"/>
    </row>
    <row r="401" customFormat="false" ht="26.95" hidden="false" customHeight="true" outlineLevel="0" collapsed="false">
      <c r="A401" s="95"/>
      <c r="B401" s="204" t="s">
        <v>201</v>
      </c>
      <c r="C401" s="204"/>
      <c r="D401" s="204"/>
      <c r="E401" s="204"/>
      <c r="F401" s="204"/>
      <c r="G401" s="204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  <c r="AL401" s="95"/>
      <c r="AM401" s="95"/>
      <c r="AN401" s="95"/>
      <c r="AO401" s="95"/>
      <c r="AP401" s="95"/>
      <c r="AQ401" s="95"/>
      <c r="AR401" s="95"/>
      <c r="AS401" s="95"/>
      <c r="AT401" s="95"/>
      <c r="AU401" s="95"/>
      <c r="AV401" s="95"/>
      <c r="AW401" s="95"/>
      <c r="AX401" s="95"/>
      <c r="AY401" s="95"/>
      <c r="AZ401" s="95"/>
      <c r="BA401" s="95"/>
      <c r="BB401" s="95"/>
      <c r="BC401" s="95"/>
      <c r="BD401" s="95"/>
      <c r="BE401" s="95"/>
      <c r="BF401" s="95"/>
      <c r="BG401" s="95"/>
      <c r="BH401" s="95"/>
      <c r="BI401" s="95"/>
      <c r="BJ401" s="95"/>
      <c r="BK401" s="95"/>
      <c r="BL401" s="95"/>
    </row>
    <row r="402" customFormat="false" ht="15.65" hidden="true" customHeight="true" outlineLevel="0" collapsed="false">
      <c r="A402" s="255" t="s">
        <v>187</v>
      </c>
      <c r="B402" s="256" t="str">
        <f aca="false">IF(B403&gt;=0.75,_xlfn.IFS((ROUNDUP(B403,0)-B403)&lt;0.5,ROUNDUP(B403,0),(ROUNDUP(B403,0)-B403)=0.5,B403,(ROUNDUP(B403,0)-B403)&gt;0.5,ROUNDDOWN(B403,0)+0.5),"д.б. минимум 0,75")</f>
        <v>д.б. минимум 0,75</v>
      </c>
      <c r="C402" s="256" t="str">
        <f aca="false">IF(C403&gt;=0.75,_xlfn.IFS((ROUNDUP(C403,0)-C403)&lt;0.5,ROUNDUP(C403,0),(ROUNDUP(C403,0)-C403)=0.5,C403,(ROUNDUP(C403,0)-C403)&gt;0.5,ROUNDDOWN(C403,0)+0.5),"д.б. минимум 0,75")</f>
        <v>д.б. минимум 0,75</v>
      </c>
      <c r="D402" s="256" t="str">
        <f aca="false">IF(D403&gt;=0.75,_xlfn.IFS((ROUNDUP(D403,0)-D403)&lt;0.5,ROUNDUP(D403,0),(ROUNDUP(D403,0)-D403)=0.5,D403,(ROUNDUP(D403,0)-D403)&gt;0.5,ROUNDDOWN(D403,0)+0.5),"д.б. минимум 0,75")</f>
        <v>д.б. минимум 0,75</v>
      </c>
      <c r="E402" s="256" t="str">
        <f aca="false">IF(E403&gt;=0.75,_xlfn.IFS((ROUNDUP(E403,0)-E403)&lt;0.5,ROUNDUP(E403,0),(ROUNDUP(E403,0)-E403)=0.5,E403,(ROUNDUP(E403,0)-E403)&gt;0.5,ROUNDDOWN(E403,0)+0.5),"д.б. минимум 0,75")</f>
        <v>д.б. минимум 0,75</v>
      </c>
      <c r="F402" s="256" t="str">
        <f aca="false">IF(F403&gt;=0.75,_xlfn.IFS((ROUNDUP(F403,0)-F403)&lt;0.5,ROUNDUP(F403,0),(ROUNDUP(F403,0)-F403)=0.5,F403,(ROUNDUP(F403,0)-F403)&gt;0.5,ROUNDDOWN(F403,0)+0.5),"д.б. минимум 0,75")</f>
        <v>д.б. минимум 0,75</v>
      </c>
      <c r="G402" s="256" t="str">
        <f aca="false">IF(G403&gt;=0.75,_xlfn.IFS((ROUNDUP(G403,0)-G403)&lt;0.5,ROUNDUP(G403,0),(ROUNDUP(G403,0)-G403)=0.5,G403,(ROUNDUP(G403,0)-G403)&gt;0.5,ROUNDDOWN(G403,0)+0.5),"д.б. минимум 0,75")</f>
        <v>д.б. минимум 0,75</v>
      </c>
      <c r="H402" s="256" t="str">
        <f aca="false">IF(H403&gt;=0.75,_xlfn.IFS((ROUNDUP(H403,0)-H403)&lt;0.5,ROUNDUP(H403,0),(ROUNDUP(H403,0)-H403)=0.5,H403,(ROUNDUP(H403,0)-H403)&gt;0.5,ROUNDDOWN(H403,0)+0.5),"д.б. минимум 0,75")</f>
        <v>д.б. минимум 0,75</v>
      </c>
      <c r="I402" s="256" t="str">
        <f aca="false">IF(I403&gt;=0.75,_xlfn.IFS((ROUNDUP(I403,0)-I403)&lt;0.5,ROUNDUP(I403,0),(ROUNDUP(I403,0)-I403)=0.5,I403,(ROUNDUP(I403,0)-I403)&gt;0.5,ROUNDDOWN(I403,0)+0.5),"д.б. минимум 0,75")</f>
        <v>д.б. минимум 0,75</v>
      </c>
      <c r="J402" s="256" t="str">
        <f aca="false">IF(J403&gt;=0.75,_xlfn.IFS((ROUNDUP(J403,0)-J403)&lt;0.5,ROUNDUP(J403,0),(ROUNDUP(J403,0)-J403)=0.5,J403,(ROUNDUP(J403,0)-J403)&gt;0.5,ROUNDDOWN(J403,0)+0.5),"д.б. минимум 0,75")</f>
        <v>д.б. минимум 0,75</v>
      </c>
      <c r="K402" s="256" t="str">
        <f aca="false">IF(K403&gt;=0.75,_xlfn.IFS((ROUNDUP(K403,0)-K403)&lt;0.5,ROUNDUP(K403,0),(ROUNDUP(K403,0)-K403)=0.5,K403,(ROUNDUP(K403,0)-K403)&gt;0.5,ROUNDDOWN(K403,0)+0.5),"д.б. минимум 0,75")</f>
        <v>д.б. минимум 0,75</v>
      </c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  <c r="AL402" s="95"/>
      <c r="AM402" s="95"/>
      <c r="AN402" s="95"/>
      <c r="AO402" s="95"/>
      <c r="AP402" s="95"/>
      <c r="AQ402" s="95"/>
      <c r="AR402" s="95"/>
      <c r="AS402" s="95"/>
      <c r="AT402" s="95"/>
      <c r="AU402" s="95"/>
      <c r="AV402" s="95"/>
      <c r="AW402" s="95"/>
      <c r="AX402" s="95"/>
      <c r="AY402" s="95"/>
      <c r="AZ402" s="95"/>
      <c r="BA402" s="95"/>
      <c r="BB402" s="95"/>
      <c r="BC402" s="95"/>
      <c r="BD402" s="95"/>
      <c r="BE402" s="95"/>
      <c r="BF402" s="95"/>
      <c r="BG402" s="95"/>
      <c r="BH402" s="95"/>
      <c r="BI402" s="95"/>
      <c r="BJ402" s="95"/>
      <c r="BK402" s="95"/>
      <c r="BL402" s="95"/>
    </row>
    <row r="403" customFormat="false" ht="12.45" hidden="false" customHeight="true" outlineLevel="0" collapsed="false">
      <c r="A403" s="275" t="s">
        <v>188</v>
      </c>
      <c r="B403" s="258"/>
      <c r="C403" s="258"/>
      <c r="D403" s="258"/>
      <c r="E403" s="258"/>
      <c r="F403" s="258"/>
      <c r="G403" s="258"/>
      <c r="H403" s="258"/>
      <c r="I403" s="258"/>
      <c r="J403" s="258"/>
      <c r="K403" s="258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  <c r="AL403" s="95"/>
      <c r="AM403" s="95"/>
      <c r="AN403" s="95"/>
      <c r="AO403" s="95"/>
      <c r="AP403" s="95"/>
      <c r="AQ403" s="95"/>
      <c r="AR403" s="95"/>
      <c r="AS403" s="95"/>
      <c r="AT403" s="95"/>
      <c r="AU403" s="95"/>
      <c r="AV403" s="95"/>
      <c r="AW403" s="95"/>
      <c r="AX403" s="95"/>
      <c r="AY403" s="95"/>
      <c r="AZ403" s="95"/>
      <c r="BA403" s="95"/>
      <c r="BB403" s="95"/>
      <c r="BC403" s="95"/>
      <c r="BD403" s="95"/>
      <c r="BE403" s="95"/>
      <c r="BF403" s="95"/>
      <c r="BG403" s="95"/>
      <c r="BH403" s="95"/>
      <c r="BI403" s="95"/>
      <c r="BJ403" s="95"/>
      <c r="BK403" s="95"/>
      <c r="BL403" s="95"/>
    </row>
    <row r="404" customFormat="false" ht="12.45" hidden="false" customHeight="true" outlineLevel="0" collapsed="false">
      <c r="A404" s="275" t="s">
        <v>22</v>
      </c>
      <c r="B404" s="258"/>
      <c r="C404" s="258"/>
      <c r="D404" s="258"/>
      <c r="E404" s="258"/>
      <c r="F404" s="258"/>
      <c r="G404" s="258"/>
      <c r="H404" s="258"/>
      <c r="I404" s="258"/>
      <c r="J404" s="258"/>
      <c r="K404" s="258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  <c r="AL404" s="95"/>
      <c r="AM404" s="95"/>
      <c r="AN404" s="95"/>
      <c r="AO404" s="95"/>
      <c r="AP404" s="95"/>
      <c r="AQ404" s="95"/>
      <c r="AR404" s="95"/>
      <c r="AS404" s="95"/>
      <c r="AT404" s="95"/>
      <c r="AU404" s="95"/>
      <c r="AV404" s="95"/>
      <c r="AW404" s="95"/>
      <c r="AX404" s="95"/>
      <c r="AY404" s="95"/>
      <c r="AZ404" s="95"/>
      <c r="BA404" s="95"/>
      <c r="BB404" s="95"/>
      <c r="BC404" s="95"/>
      <c r="BD404" s="95"/>
      <c r="BE404" s="95"/>
      <c r="BF404" s="95"/>
      <c r="BG404" s="95"/>
      <c r="BH404" s="95"/>
      <c r="BI404" s="95"/>
      <c r="BJ404" s="95"/>
      <c r="BK404" s="95"/>
      <c r="BL404" s="95"/>
    </row>
    <row r="405" s="40" customFormat="true" ht="12.45" hidden="true" customHeight="true" outlineLevel="0" collapsed="false">
      <c r="A405" s="276" t="s">
        <v>202</v>
      </c>
      <c r="B405" s="277" t="n">
        <f aca="false">B403-0.004-(0.1*2)</f>
        <v>-0.204</v>
      </c>
      <c r="C405" s="277" t="n">
        <f aca="false">C403-0.004-(0.1*2)</f>
        <v>-0.204</v>
      </c>
      <c r="D405" s="277" t="n">
        <f aca="false">D403-0.004-(0.1*2)</f>
        <v>-0.204</v>
      </c>
      <c r="E405" s="277" t="n">
        <f aca="false">E403-0.004-(0.1*2)</f>
        <v>-0.204</v>
      </c>
      <c r="F405" s="277" t="n">
        <f aca="false">F403-0.004-(0.1*2)</f>
        <v>-0.204</v>
      </c>
      <c r="G405" s="277" t="n">
        <f aca="false">G403-0.004-(0.1*2)</f>
        <v>-0.204</v>
      </c>
      <c r="H405" s="277" t="n">
        <f aca="false">H403-0.004-(0.1*2)</f>
        <v>-0.204</v>
      </c>
      <c r="I405" s="277" t="n">
        <f aca="false">I403-0.004-(0.1*2)</f>
        <v>-0.204</v>
      </c>
      <c r="J405" s="277" t="n">
        <f aca="false">J403-0.004-(0.1*2)</f>
        <v>-0.204</v>
      </c>
      <c r="K405" s="277" t="n">
        <f aca="false">K403-0.004-(0.1*2)</f>
        <v>-0.204</v>
      </c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  <c r="AA405" s="278"/>
      <c r="AB405" s="278"/>
      <c r="AC405" s="278"/>
      <c r="AD405" s="278"/>
      <c r="AE405" s="278"/>
      <c r="AF405" s="278"/>
      <c r="AG405" s="278"/>
      <c r="AH405" s="278"/>
      <c r="AI405" s="278"/>
      <c r="AJ405" s="278"/>
      <c r="AK405" s="278"/>
      <c r="AL405" s="278"/>
      <c r="AM405" s="278"/>
      <c r="AN405" s="278"/>
      <c r="AO405" s="278"/>
      <c r="AP405" s="278"/>
      <c r="AQ405" s="278"/>
      <c r="AR405" s="278"/>
      <c r="AS405" s="278"/>
      <c r="AT405" s="278"/>
      <c r="AU405" s="278"/>
      <c r="AV405" s="278"/>
      <c r="AW405" s="278"/>
      <c r="AX405" s="278"/>
      <c r="AY405" s="278"/>
      <c r="AZ405" s="278"/>
      <c r="BA405" s="278"/>
      <c r="BB405" s="278"/>
      <c r="BC405" s="278"/>
      <c r="BD405" s="278"/>
      <c r="BE405" s="278"/>
      <c r="BF405" s="278"/>
      <c r="BG405" s="278"/>
      <c r="BH405" s="278"/>
      <c r="BI405" s="278"/>
      <c r="BJ405" s="278"/>
      <c r="BK405" s="278"/>
      <c r="BL405" s="278"/>
    </row>
    <row r="406" s="40" customFormat="true" ht="12.45" hidden="true" customHeight="true" outlineLevel="0" collapsed="false">
      <c r="A406" s="276" t="s">
        <v>203</v>
      </c>
      <c r="B406" s="279" t="n">
        <v>0.5</v>
      </c>
      <c r="C406" s="279" t="n">
        <v>0.5</v>
      </c>
      <c r="D406" s="279" t="n">
        <v>0.5</v>
      </c>
      <c r="E406" s="279" t="n">
        <v>0.5</v>
      </c>
      <c r="F406" s="279" t="n">
        <v>0.5</v>
      </c>
      <c r="G406" s="279" t="n">
        <v>0.5</v>
      </c>
      <c r="H406" s="279" t="n">
        <v>0.5</v>
      </c>
      <c r="I406" s="279" t="n">
        <v>0.5</v>
      </c>
      <c r="J406" s="279" t="n">
        <v>0.5</v>
      </c>
      <c r="K406" s="279" t="n">
        <v>0.5</v>
      </c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  <c r="V406" s="278"/>
      <c r="W406" s="278"/>
      <c r="X406" s="278"/>
      <c r="Y406" s="278"/>
      <c r="Z406" s="278"/>
      <c r="AA406" s="278"/>
      <c r="AB406" s="278"/>
      <c r="AC406" s="278"/>
      <c r="AD406" s="278"/>
      <c r="AE406" s="278"/>
      <c r="AF406" s="278"/>
      <c r="AG406" s="278"/>
      <c r="AH406" s="278"/>
      <c r="AI406" s="278"/>
      <c r="AJ406" s="278"/>
      <c r="AK406" s="278"/>
      <c r="AL406" s="278"/>
      <c r="AM406" s="278"/>
      <c r="AN406" s="278"/>
      <c r="AO406" s="278"/>
      <c r="AP406" s="278"/>
      <c r="AQ406" s="278"/>
      <c r="AR406" s="278"/>
      <c r="AS406" s="278"/>
      <c r="AT406" s="278"/>
      <c r="AU406" s="278"/>
      <c r="AV406" s="278"/>
      <c r="AW406" s="278"/>
      <c r="AX406" s="278"/>
      <c r="AY406" s="278"/>
      <c r="AZ406" s="278"/>
      <c r="BA406" s="278"/>
      <c r="BB406" s="278"/>
      <c r="BC406" s="278"/>
      <c r="BD406" s="278"/>
      <c r="BE406" s="278"/>
      <c r="BF406" s="278"/>
      <c r="BG406" s="278"/>
      <c r="BH406" s="278"/>
      <c r="BI406" s="278"/>
      <c r="BJ406" s="278"/>
      <c r="BK406" s="278"/>
      <c r="BL406" s="278"/>
    </row>
    <row r="407" s="40" customFormat="true" ht="12.45" hidden="true" customHeight="true" outlineLevel="0" collapsed="false">
      <c r="A407" s="276" t="s">
        <v>204</v>
      </c>
      <c r="B407" s="277" t="n">
        <f aca="false">ROUND(B405/B406,0)+1</f>
        <v>1</v>
      </c>
      <c r="C407" s="277" t="n">
        <f aca="false">ROUND(C405/C406,0)+1</f>
        <v>1</v>
      </c>
      <c r="D407" s="277" t="n">
        <f aca="false">ROUND(D405/D406,0)+1</f>
        <v>1</v>
      </c>
      <c r="E407" s="277" t="n">
        <f aca="false">ROUND(E405/E406,0)+1</f>
        <v>1</v>
      </c>
      <c r="F407" s="277" t="n">
        <f aca="false">ROUND(F405/F406,0)+1</f>
        <v>1</v>
      </c>
      <c r="G407" s="277" t="n">
        <f aca="false">ROUND(G405/G406,0)+1</f>
        <v>1</v>
      </c>
      <c r="H407" s="277" t="n">
        <f aca="false">ROUND(H405/H406,0)+1</f>
        <v>1</v>
      </c>
      <c r="I407" s="277" t="n">
        <f aca="false">ROUND(I405/I406,0)+1</f>
        <v>1</v>
      </c>
      <c r="J407" s="277" t="n">
        <f aca="false">ROUND(J405/J406,0)+1</f>
        <v>1</v>
      </c>
      <c r="K407" s="277" t="n">
        <f aca="false">ROUND(K405/K406,0)+1</f>
        <v>1</v>
      </c>
      <c r="L407" s="278"/>
      <c r="M407" s="278"/>
      <c r="N407" s="278"/>
      <c r="O407" s="278"/>
      <c r="P407" s="278"/>
      <c r="Q407" s="278"/>
      <c r="R407" s="278"/>
      <c r="S407" s="278"/>
      <c r="T407" s="278"/>
      <c r="U407" s="278"/>
      <c r="V407" s="278"/>
      <c r="W407" s="278"/>
      <c r="X407" s="278"/>
      <c r="Y407" s="278"/>
      <c r="Z407" s="278"/>
      <c r="AA407" s="278"/>
      <c r="AB407" s="278"/>
      <c r="AC407" s="278"/>
      <c r="AD407" s="278"/>
      <c r="AE407" s="278"/>
      <c r="AF407" s="278"/>
      <c r="AG407" s="278"/>
      <c r="AH407" s="278"/>
      <c r="AI407" s="278"/>
      <c r="AJ407" s="278"/>
      <c r="AK407" s="278"/>
      <c r="AL407" s="278"/>
      <c r="AM407" s="278"/>
      <c r="AN407" s="278"/>
      <c r="AO407" s="278"/>
      <c r="AP407" s="278"/>
      <c r="AQ407" s="278"/>
      <c r="AR407" s="278"/>
      <c r="AS407" s="278"/>
      <c r="AT407" s="278"/>
      <c r="AU407" s="278"/>
      <c r="AV407" s="278"/>
      <c r="AW407" s="278"/>
      <c r="AX407" s="278"/>
      <c r="AY407" s="278"/>
      <c r="AZ407" s="278"/>
      <c r="BA407" s="278"/>
      <c r="BB407" s="278"/>
      <c r="BC407" s="278"/>
      <c r="BD407" s="278"/>
      <c r="BE407" s="278"/>
      <c r="BF407" s="278"/>
      <c r="BG407" s="278"/>
      <c r="BH407" s="278"/>
      <c r="BI407" s="278"/>
      <c r="BJ407" s="278"/>
      <c r="BK407" s="278"/>
      <c r="BL407" s="278"/>
    </row>
    <row r="408" s="40" customFormat="true" ht="12.45" hidden="true" customHeight="true" outlineLevel="0" collapsed="false">
      <c r="A408" s="276" t="s">
        <v>205</v>
      </c>
      <c r="B408" s="280" t="n">
        <f aca="false">B405/B407</f>
        <v>-0.204</v>
      </c>
      <c r="C408" s="280" t="n">
        <f aca="false">C405/C407</f>
        <v>-0.204</v>
      </c>
      <c r="D408" s="280" t="n">
        <f aca="false">D405/D407</f>
        <v>-0.204</v>
      </c>
      <c r="E408" s="280" t="n">
        <f aca="false">E405/E407</f>
        <v>-0.204</v>
      </c>
      <c r="F408" s="280" t="n">
        <f aca="false">F405/F407</f>
        <v>-0.204</v>
      </c>
      <c r="G408" s="280" t="n">
        <f aca="false">G405/G407</f>
        <v>-0.204</v>
      </c>
      <c r="H408" s="280" t="n">
        <f aca="false">H405/H407</f>
        <v>-0.204</v>
      </c>
      <c r="I408" s="280" t="n">
        <f aca="false">I405/I407</f>
        <v>-0.204</v>
      </c>
      <c r="J408" s="280" t="n">
        <f aca="false">J405/J407</f>
        <v>-0.204</v>
      </c>
      <c r="K408" s="280" t="n">
        <f aca="false">K405/K407</f>
        <v>-0.204</v>
      </c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  <c r="AA408" s="278"/>
      <c r="AB408" s="278"/>
      <c r="AC408" s="278"/>
      <c r="AD408" s="278"/>
      <c r="AE408" s="278"/>
      <c r="AF408" s="278"/>
      <c r="AG408" s="278"/>
      <c r="AH408" s="278"/>
      <c r="AI408" s="278"/>
      <c r="AJ408" s="278"/>
      <c r="AK408" s="278"/>
      <c r="AL408" s="278"/>
      <c r="AM408" s="278"/>
      <c r="AN408" s="278"/>
      <c r="AO408" s="278"/>
      <c r="AP408" s="278"/>
      <c r="AQ408" s="278"/>
      <c r="AR408" s="278"/>
      <c r="AS408" s="278"/>
      <c r="AT408" s="278"/>
      <c r="AU408" s="278"/>
      <c r="AV408" s="278"/>
      <c r="AW408" s="278"/>
      <c r="AX408" s="278"/>
      <c r="AY408" s="278"/>
      <c r="AZ408" s="278"/>
      <c r="BA408" s="278"/>
      <c r="BB408" s="278"/>
      <c r="BC408" s="278"/>
      <c r="BD408" s="278"/>
      <c r="BE408" s="278"/>
      <c r="BF408" s="278"/>
      <c r="BG408" s="278"/>
      <c r="BH408" s="278"/>
      <c r="BI408" s="278"/>
      <c r="BJ408" s="278"/>
      <c r="BK408" s="278"/>
      <c r="BL408" s="278"/>
    </row>
    <row r="409" customFormat="false" ht="12.45" hidden="false" customHeight="true" outlineLevel="0" collapsed="false">
      <c r="A409" s="281" t="s">
        <v>189</v>
      </c>
      <c r="B409" s="282" t="str">
        <f aca="false">IF(B403&gt;0,IF(B408&gt;B406,B407+1,B407),"")</f>
        <v/>
      </c>
      <c r="C409" s="282" t="str">
        <f aca="false">IF(C403&gt;0,IF(C408&gt;C406,C407+1,C407),"")</f>
        <v/>
      </c>
      <c r="D409" s="282" t="str">
        <f aca="false">IF(D403&gt;0,IF(D408&gt;D406,D407+1,D407),"")</f>
        <v/>
      </c>
      <c r="E409" s="282" t="str">
        <f aca="false">IF(E403&gt;0,IF(E408&gt;E406,E407+1,E407),"")</f>
        <v/>
      </c>
      <c r="F409" s="282" t="str">
        <f aca="false">IF(F403&gt;0,IF(F408&gt;F406,F407+1,F407),"")</f>
        <v/>
      </c>
      <c r="G409" s="282" t="str">
        <f aca="false">IF(G403&gt;0,IF(G408&gt;G406,G407+1,G407),"")</f>
        <v/>
      </c>
      <c r="H409" s="282" t="str">
        <f aca="false">IF(H403&gt;0,IF(H408&gt;H406,H407+1,H407),"")</f>
        <v/>
      </c>
      <c r="I409" s="282" t="str">
        <f aca="false">IF(I403&gt;0,IF(I408&gt;I406,I407+1,I407),"")</f>
        <v/>
      </c>
      <c r="J409" s="282" t="str">
        <f aca="false">IF(J403&gt;0,IF(J408&gt;J406,J407+1,J407),"")</f>
        <v/>
      </c>
      <c r="K409" s="282" t="str">
        <f aca="false">IF(K403&gt;0,IF(K408&gt;K406,K407+1,K407),"")</f>
        <v/>
      </c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  <c r="AL409" s="95"/>
      <c r="AM409" s="95"/>
      <c r="AN409" s="95"/>
      <c r="AO409" s="95"/>
      <c r="AP409" s="95"/>
      <c r="AQ409" s="95"/>
      <c r="AR409" s="95"/>
      <c r="AS409" s="95"/>
      <c r="AT409" s="95"/>
      <c r="AU409" s="95"/>
      <c r="AV409" s="95"/>
      <c r="AW409" s="95"/>
      <c r="AX409" s="95"/>
      <c r="AY409" s="95"/>
      <c r="AZ409" s="95"/>
      <c r="BA409" s="95"/>
      <c r="BB409" s="95"/>
      <c r="BC409" s="95"/>
      <c r="BD409" s="95"/>
      <c r="BE409" s="95"/>
      <c r="BF409" s="95"/>
      <c r="BG409" s="95"/>
      <c r="BH409" s="95"/>
      <c r="BI409" s="95"/>
      <c r="BJ409" s="95"/>
      <c r="BK409" s="95"/>
      <c r="BL409" s="95"/>
    </row>
    <row r="410" s="40" customFormat="true" ht="12.45" hidden="true" customHeight="true" outlineLevel="0" collapsed="false">
      <c r="A410" s="283" t="s">
        <v>206</v>
      </c>
      <c r="B410" s="280" t="str">
        <f aca="false">IF(B403="","",VLOOKUP(B404,'Данные по римским RS'!$A$5:$O$38,13,0))</f>
        <v/>
      </c>
      <c r="C410" s="280" t="str">
        <f aca="false">IF(C403="","",VLOOKUP(C404,'Данные по римским RS'!$A$5:$O$38,13,0))</f>
        <v/>
      </c>
      <c r="D410" s="280" t="str">
        <f aca="false">IF(D403="","",VLOOKUP(D404,'Данные по римским RS'!$A$5:$O$38,13,0))</f>
        <v/>
      </c>
      <c r="E410" s="280" t="str">
        <f aca="false">IF(E403="","",VLOOKUP(E404,'Данные по римским RS'!$A$5:$O$38,13,0))</f>
        <v/>
      </c>
      <c r="F410" s="280" t="str">
        <f aca="false">IF(F403="","",VLOOKUP(F404,'Данные по римским RS'!$A$5:$O$38,13,0))</f>
        <v/>
      </c>
      <c r="G410" s="280" t="str">
        <f aca="false">IF(G403="","",VLOOKUP(G404,'Данные по римским RS'!$A$5:$O$38,13,0))</f>
        <v/>
      </c>
      <c r="H410" s="280" t="str">
        <f aca="false">IF(H403="","",VLOOKUP(H404,'Данные по римским RS'!$A$5:$O$38,13,0))</f>
        <v/>
      </c>
      <c r="I410" s="280" t="str">
        <f aca="false">IF(I403="","",VLOOKUP(I404,'Данные по римским RS'!$A$5:$O$38,13,0))</f>
        <v/>
      </c>
      <c r="J410" s="280" t="str">
        <f aca="false">IF(J403="","",VLOOKUP(J404,'Данные по римским RS'!$A$5:$O$38,13,0))</f>
        <v/>
      </c>
      <c r="K410" s="280" t="str">
        <f aca="false">IF(K403="","",VLOOKUP(K404,'Данные по римским RS'!$A$5:$O$38,13,0))</f>
        <v/>
      </c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  <c r="AA410" s="278"/>
      <c r="AB410" s="278"/>
      <c r="AC410" s="278"/>
      <c r="AD410" s="278"/>
      <c r="AE410" s="278"/>
      <c r="AF410" s="278"/>
      <c r="AG410" s="278"/>
      <c r="AH410" s="278"/>
      <c r="AI410" s="278"/>
      <c r="AJ410" s="278"/>
      <c r="AK410" s="278"/>
      <c r="AL410" s="278"/>
      <c r="AM410" s="278"/>
      <c r="AN410" s="278"/>
      <c r="AO410" s="278"/>
      <c r="AP410" s="278"/>
      <c r="AQ410" s="278"/>
      <c r="AR410" s="278"/>
      <c r="AS410" s="278"/>
      <c r="AT410" s="278"/>
      <c r="AU410" s="278"/>
      <c r="AV410" s="278"/>
      <c r="AW410" s="278"/>
      <c r="AX410" s="278"/>
      <c r="AY410" s="278"/>
      <c r="AZ410" s="278"/>
      <c r="BA410" s="278"/>
      <c r="BB410" s="278"/>
      <c r="BC410" s="278"/>
      <c r="BD410" s="278"/>
      <c r="BE410" s="278"/>
      <c r="BF410" s="278"/>
      <c r="BG410" s="278"/>
      <c r="BH410" s="278"/>
      <c r="BI410" s="278"/>
      <c r="BJ410" s="278"/>
      <c r="BK410" s="278"/>
      <c r="BL410" s="278"/>
    </row>
    <row r="411" customFormat="false" ht="12.45" hidden="true" customHeight="true" outlineLevel="0" collapsed="false">
      <c r="A411" s="260" t="s">
        <v>207</v>
      </c>
      <c r="B411" s="261" t="n">
        <f aca="false">IF(B403="",0,VLOOKUP(B404,'Данные по римским RS'!$A$5:$O$38,14,0)*B403)</f>
        <v>0</v>
      </c>
      <c r="C411" s="261" t="n">
        <f aca="false">IF(C403="",0,VLOOKUP(C404,'Данные по римским RS'!$A$5:$O$38,14,0)*C403)</f>
        <v>0</v>
      </c>
      <c r="D411" s="261" t="n">
        <f aca="false">IF(D403="",0,VLOOKUP(D404,'Данные по римским RS'!$A$5:$O$38,14,0)*D403)</f>
        <v>0</v>
      </c>
      <c r="E411" s="261" t="n">
        <f aca="false">IF(E403="",0,VLOOKUP(E404,'Данные по римским RS'!$A$5:$O$38,14,0)*E403)</f>
        <v>0</v>
      </c>
      <c r="F411" s="261" t="n">
        <f aca="false">IF(F403="",0,VLOOKUP(F404,'Данные по римским RS'!$A$5:$O$38,14,0)*F403)</f>
        <v>0</v>
      </c>
      <c r="G411" s="261" t="n">
        <f aca="false">IF(G403="",0,VLOOKUP(G404,'Данные по римским RS'!$A$5:$O$38,14,0)*G403)</f>
        <v>0</v>
      </c>
      <c r="H411" s="261" t="n">
        <f aca="false">IF(H403="",0,VLOOKUP(H404,'Данные по римским RS'!$A$5:$O$38,14,0)*H403)</f>
        <v>0</v>
      </c>
      <c r="I411" s="261" t="n">
        <f aca="false">IF(I403="",0,VLOOKUP(I404,'Данные по римским RS'!$A$5:$O$38,14,0)*I403)</f>
        <v>0</v>
      </c>
      <c r="J411" s="261" t="n">
        <f aca="false">IF(J403="",0,VLOOKUP(J404,'Данные по римским RS'!$A$5:$O$38,14,0)*J403)</f>
        <v>0</v>
      </c>
      <c r="K411" s="261" t="n">
        <f aca="false">IF(K403="",0,VLOOKUP(K404,'Данные по римским RS'!$A$5:$O$38,14,0)*K403)</f>
        <v>0</v>
      </c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  <c r="AL411" s="95"/>
      <c r="AM411" s="95"/>
      <c r="AN411" s="95"/>
      <c r="AO411" s="95"/>
      <c r="AP411" s="95"/>
      <c r="AQ411" s="95"/>
      <c r="AR411" s="95"/>
      <c r="AS411" s="95"/>
      <c r="AT411" s="95"/>
      <c r="AU411" s="95"/>
      <c r="AV411" s="95"/>
      <c r="AW411" s="95"/>
      <c r="AX411" s="95"/>
      <c r="AY411" s="95"/>
      <c r="AZ411" s="95"/>
      <c r="BA411" s="95"/>
      <c r="BB411" s="95"/>
      <c r="BC411" s="95"/>
      <c r="BD411" s="95"/>
      <c r="BE411" s="95"/>
      <c r="BF411" s="95"/>
      <c r="BG411" s="95"/>
      <c r="BH411" s="95"/>
      <c r="BI411" s="95"/>
      <c r="BJ411" s="95"/>
      <c r="BK411" s="95"/>
      <c r="BL411" s="95"/>
    </row>
    <row r="412" customFormat="false" ht="12.45" hidden="true" customHeight="true" outlineLevel="0" collapsed="false">
      <c r="A412" s="260" t="s">
        <v>208</v>
      </c>
      <c r="B412" s="261" t="e">
        <f aca="false">VLOOKUP(B404,'Данные по римским RS'!$A$5:$O$38,15,0)*B409*3</f>
        <v>#N/A</v>
      </c>
      <c r="C412" s="261" t="e">
        <f aca="false">VLOOKUP(C404,'Данные по римским RS'!$A$5:$O$38,15,0)*C409*3</f>
        <v>#N/A</v>
      </c>
      <c r="D412" s="261" t="e">
        <f aca="false">VLOOKUP(D404,'Данные по римским RS'!$A$5:$O$38,15,0)*D409*3</f>
        <v>#N/A</v>
      </c>
      <c r="E412" s="261" t="e">
        <f aca="false">VLOOKUP(E404,'Данные по римским RS'!$A$5:$O$38,15,0)*E409*3</f>
        <v>#N/A</v>
      </c>
      <c r="F412" s="261" t="e">
        <f aca="false">VLOOKUP(F404,'Данные по римским RS'!$A$5:$O$38,15,0)*F409*3</f>
        <v>#N/A</v>
      </c>
      <c r="G412" s="261" t="e">
        <f aca="false">VLOOKUP(G404,'Данные по римским RS'!$A$5:$O$38,15,0)*G409*3</f>
        <v>#N/A</v>
      </c>
      <c r="H412" s="261" t="e">
        <f aca="false">VLOOKUP(H404,'Данные по римским RS'!$A$5:$O$38,15,0)*H409*3</f>
        <v>#N/A</v>
      </c>
      <c r="I412" s="261" t="e">
        <f aca="false">VLOOKUP(I404,'Данные по римским RS'!$A$5:$O$38,15,0)*I409*3</f>
        <v>#N/A</v>
      </c>
      <c r="J412" s="261" t="e">
        <f aca="false">VLOOKUP(J404,'Данные по римским RS'!$A$5:$O$38,15,0)*J409*3</f>
        <v>#N/A</v>
      </c>
      <c r="K412" s="261" t="e">
        <f aca="false">VLOOKUP(K404,'Данные по римским RS'!$A$5:$O$38,15,0)*K409*3</f>
        <v>#N/A</v>
      </c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  <c r="AL412" s="95"/>
      <c r="AM412" s="95"/>
      <c r="AN412" s="95"/>
      <c r="AO412" s="95"/>
      <c r="AP412" s="95"/>
      <c r="AQ412" s="95"/>
      <c r="AR412" s="95"/>
      <c r="AS412" s="95"/>
      <c r="AT412" s="95"/>
      <c r="AU412" s="95"/>
      <c r="AV412" s="95"/>
      <c r="AW412" s="95"/>
      <c r="AX412" s="95"/>
      <c r="AY412" s="95"/>
      <c r="AZ412" s="95"/>
      <c r="BA412" s="95"/>
      <c r="BB412" s="95"/>
      <c r="BC412" s="95"/>
      <c r="BD412" s="95"/>
      <c r="BE412" s="95"/>
      <c r="BF412" s="95"/>
      <c r="BG412" s="95"/>
      <c r="BH412" s="95"/>
      <c r="BI412" s="95"/>
      <c r="BJ412" s="95"/>
      <c r="BK412" s="95"/>
      <c r="BL412" s="95"/>
    </row>
    <row r="413" customFormat="false" ht="12.45" hidden="true" customHeight="true" outlineLevel="0" collapsed="false">
      <c r="A413" s="260" t="s">
        <v>209</v>
      </c>
      <c r="B413" s="261" t="n">
        <f aca="false">'Данные по римским RS'!$L$18/3</f>
        <v>1000</v>
      </c>
      <c r="C413" s="261" t="n">
        <f aca="false">'Данные по римским RS'!$L$18/3</f>
        <v>1000</v>
      </c>
      <c r="D413" s="261" t="n">
        <f aca="false">'Данные по римским RS'!$L$18/3</f>
        <v>1000</v>
      </c>
      <c r="E413" s="261" t="n">
        <f aca="false">'Данные по римским RS'!$L$18/3</f>
        <v>1000</v>
      </c>
      <c r="F413" s="261" t="n">
        <f aca="false">'Данные по римским RS'!$L$18/3</f>
        <v>1000</v>
      </c>
      <c r="G413" s="261" t="n">
        <f aca="false">'Данные по римским RS'!$L$18/3</f>
        <v>1000</v>
      </c>
      <c r="H413" s="261" t="n">
        <f aca="false">'Данные по римским RS'!$L$18/3</f>
        <v>1000</v>
      </c>
      <c r="I413" s="261" t="n">
        <f aca="false">'Данные по римским RS'!$L$18/3</f>
        <v>1000</v>
      </c>
      <c r="J413" s="261" t="n">
        <f aca="false">'Данные по римским RS'!$L$18/3</f>
        <v>1000</v>
      </c>
      <c r="K413" s="261" t="n">
        <f aca="false">'Данные по римским RS'!$L$18/3</f>
        <v>1000</v>
      </c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  <c r="AL413" s="95"/>
      <c r="AM413" s="95"/>
      <c r="AN413" s="95"/>
      <c r="AO413" s="95"/>
      <c r="AP413" s="95"/>
      <c r="AQ413" s="95"/>
      <c r="AR413" s="95"/>
      <c r="AS413" s="95"/>
      <c r="AT413" s="95"/>
      <c r="AU413" s="95"/>
      <c r="AV413" s="95"/>
      <c r="AW413" s="95"/>
      <c r="AX413" s="95"/>
      <c r="AY413" s="95"/>
      <c r="AZ413" s="95"/>
      <c r="BA413" s="95"/>
      <c r="BB413" s="95"/>
      <c r="BC413" s="95"/>
      <c r="BD413" s="95"/>
      <c r="BE413" s="95"/>
      <c r="BF413" s="95"/>
      <c r="BG413" s="95"/>
      <c r="BH413" s="95"/>
      <c r="BI413" s="95"/>
      <c r="BJ413" s="95"/>
      <c r="BK413" s="95"/>
      <c r="BL413" s="95"/>
    </row>
    <row r="414" customFormat="false" ht="12.45" hidden="true" customHeight="true" outlineLevel="0" collapsed="false">
      <c r="A414" s="260" t="s">
        <v>210</v>
      </c>
      <c r="B414" s="284" t="n">
        <f aca="false">IF(B403&lt;=3,0,(_xlfn.CEILING.MATH(B403,0.5,0)-3)/0.5)</f>
        <v>0</v>
      </c>
      <c r="C414" s="284" t="n">
        <f aca="false">IF(C403&lt;=3,0,(_xlfn.CEILING.MATH(C403,0.5,0)-3)/0.5)</f>
        <v>0</v>
      </c>
      <c r="D414" s="284" t="n">
        <f aca="false">IF(D403&lt;=3,0,(_xlfn.CEILING.MATH(D403,0.5,0)-3)/0.5)</f>
        <v>0</v>
      </c>
      <c r="E414" s="284" t="n">
        <f aca="false">IF(E403&lt;=3,0,(_xlfn.CEILING.MATH(E403,0.5,0)-3)/0.5)</f>
        <v>0</v>
      </c>
      <c r="F414" s="284" t="n">
        <f aca="false">IF(F403&lt;=3,0,(_xlfn.CEILING.MATH(F403,0.5,0)-3)/0.5)</f>
        <v>0</v>
      </c>
      <c r="G414" s="284" t="n">
        <f aca="false">IF(G403&lt;=3,0,(_xlfn.CEILING.MATH(G403,0.5,0)-3)/0.5)</f>
        <v>0</v>
      </c>
      <c r="H414" s="284" t="n">
        <f aca="false">IF(H403&lt;=3,0,(_xlfn.CEILING.MATH(H403,0.5,0)-3)/0.5)</f>
        <v>0</v>
      </c>
      <c r="I414" s="284" t="n">
        <f aca="false">IF(I403&lt;=3,0,(_xlfn.CEILING.MATH(I403,0.5,0)-3)/0.5)</f>
        <v>0</v>
      </c>
      <c r="J414" s="284" t="n">
        <f aca="false">IF(J403&lt;=3,0,(_xlfn.CEILING.MATH(J403,0.5,0)-3)/0.5)</f>
        <v>0</v>
      </c>
      <c r="K414" s="284" t="n">
        <f aca="false">IF(K403&lt;=3,0,(_xlfn.CEILING.MATH(K403,0.5,0)-3)/0.5)</f>
        <v>0</v>
      </c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  <c r="AL414" s="95"/>
      <c r="AM414" s="95"/>
      <c r="AN414" s="95"/>
      <c r="AO414" s="95"/>
      <c r="AP414" s="95"/>
      <c r="AQ414" s="95"/>
      <c r="AR414" s="95"/>
      <c r="AS414" s="95"/>
      <c r="AT414" s="95"/>
      <c r="AU414" s="95"/>
      <c r="AV414" s="95"/>
      <c r="AW414" s="95"/>
      <c r="AX414" s="95"/>
      <c r="AY414" s="95"/>
      <c r="AZ414" s="95"/>
      <c r="BA414" s="95"/>
      <c r="BB414" s="95"/>
      <c r="BC414" s="95"/>
      <c r="BD414" s="95"/>
      <c r="BE414" s="95"/>
      <c r="BF414" s="95"/>
      <c r="BG414" s="95"/>
      <c r="BH414" s="95"/>
      <c r="BI414" s="95"/>
      <c r="BJ414" s="95"/>
      <c r="BK414" s="95"/>
      <c r="BL414" s="95"/>
    </row>
    <row r="415" customFormat="false" ht="12.45" hidden="true" customHeight="true" outlineLevel="0" collapsed="false">
      <c r="A415" s="260" t="s">
        <v>211</v>
      </c>
      <c r="B415" s="261" t="n">
        <f aca="false">B414*B413</f>
        <v>0</v>
      </c>
      <c r="C415" s="261" t="n">
        <f aca="false">C414*C413</f>
        <v>0</v>
      </c>
      <c r="D415" s="261" t="n">
        <f aca="false">D414*D413</f>
        <v>0</v>
      </c>
      <c r="E415" s="261" t="n">
        <f aca="false">E414*E413</f>
        <v>0</v>
      </c>
      <c r="F415" s="261" t="n">
        <f aca="false">F414*F413</f>
        <v>0</v>
      </c>
      <c r="G415" s="261" t="n">
        <f aca="false">G414*G413</f>
        <v>0</v>
      </c>
      <c r="H415" s="261" t="n">
        <f aca="false">H414*H413</f>
        <v>0</v>
      </c>
      <c r="I415" s="261" t="n">
        <f aca="false">I414*I413</f>
        <v>0</v>
      </c>
      <c r="J415" s="261" t="n">
        <f aca="false">J414*J413</f>
        <v>0</v>
      </c>
      <c r="K415" s="261" t="n">
        <f aca="false">K414*K413</f>
        <v>0</v>
      </c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  <c r="AL415" s="95"/>
      <c r="AM415" s="95"/>
      <c r="AN415" s="95"/>
      <c r="AO415" s="95"/>
      <c r="AP415" s="95"/>
      <c r="AQ415" s="95"/>
      <c r="AR415" s="95"/>
      <c r="AS415" s="95"/>
      <c r="AT415" s="95"/>
      <c r="AU415" s="95"/>
      <c r="AV415" s="95"/>
      <c r="AW415" s="95"/>
      <c r="AX415" s="95"/>
      <c r="AY415" s="95"/>
      <c r="AZ415" s="95"/>
      <c r="BA415" s="95"/>
      <c r="BB415" s="95"/>
      <c r="BC415" s="95"/>
      <c r="BD415" s="95"/>
      <c r="BE415" s="95"/>
      <c r="BF415" s="95"/>
      <c r="BG415" s="95"/>
      <c r="BH415" s="95"/>
      <c r="BI415" s="95"/>
      <c r="BJ415" s="95"/>
      <c r="BK415" s="95"/>
      <c r="BL415" s="95"/>
    </row>
    <row r="416" customFormat="false" ht="12.45" hidden="true" customHeight="true" outlineLevel="0" collapsed="false">
      <c r="A416" s="260" t="s">
        <v>212</v>
      </c>
      <c r="B416" s="261" t="str">
        <f aca="false">IF(B403&lt;&gt;0,IF(B403&gt;3,'Данные по римским RS'!$L$18+B415,'Данные по римским RS'!$L$18),"")</f>
        <v/>
      </c>
      <c r="C416" s="261" t="str">
        <f aca="false">IF(C403&lt;&gt;0,IF(C403&gt;3,'Данные по римским RS'!$L$18+C415,'Данные по римским RS'!$L$18),"")</f>
        <v/>
      </c>
      <c r="D416" s="261" t="str">
        <f aca="false">IF(D403&lt;&gt;0,IF(D403&gt;3,'Данные по римским RS'!$L$18+D415,'Данные по римским RS'!$L$18),"")</f>
        <v/>
      </c>
      <c r="E416" s="261" t="str">
        <f aca="false">IF(E403&lt;&gt;0,IF(E403&gt;3,'Данные по римским RS'!$L$18+E415,'Данные по римским RS'!$L$18),"")</f>
        <v/>
      </c>
      <c r="F416" s="261" t="str">
        <f aca="false">IF(F403&lt;&gt;0,IF(F403&gt;3,'Данные по римским RS'!$L$18+F415,'Данные по римским RS'!$L$18),"")</f>
        <v/>
      </c>
      <c r="G416" s="261" t="str">
        <f aca="false">IF(G403&lt;&gt;0,IF(G403&gt;3,'Данные по римским RS'!$L$18+G415,'Данные по римским RS'!$L$18),"")</f>
        <v/>
      </c>
      <c r="H416" s="261" t="str">
        <f aca="false">IF(H403&lt;&gt;0,IF(H403&gt;3,'Данные по римским RS'!$L$18+H415,'Данные по римским RS'!$L$18),"")</f>
        <v/>
      </c>
      <c r="I416" s="261" t="str">
        <f aca="false">IF(I403&lt;&gt;0,IF(I403&gt;3,'Данные по римским RS'!$L$18+I415,'Данные по римским RS'!$L$18),"")</f>
        <v/>
      </c>
      <c r="J416" s="261" t="str">
        <f aca="false">IF(J403&lt;&gt;0,IF(J403&gt;3,'Данные по римским RS'!$L$18+J415,'Данные по римским RS'!$L$18),"")</f>
        <v/>
      </c>
      <c r="K416" s="261" t="str">
        <f aca="false">IF(K403&lt;&gt;0,IF(K403&gt;3,'Данные по римским RS'!$L$18+K415,'Данные по римским RS'!$L$18),"")</f>
        <v/>
      </c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  <c r="AL416" s="95"/>
      <c r="AM416" s="95"/>
      <c r="AN416" s="95"/>
      <c r="AO416" s="95"/>
      <c r="AP416" s="95"/>
      <c r="AQ416" s="95"/>
      <c r="AR416" s="95"/>
      <c r="AS416" s="95"/>
      <c r="AT416" s="95"/>
      <c r="AU416" s="95"/>
      <c r="AV416" s="95"/>
      <c r="AW416" s="95"/>
      <c r="AX416" s="95"/>
      <c r="AY416" s="95"/>
      <c r="AZ416" s="95"/>
      <c r="BA416" s="95"/>
      <c r="BB416" s="95"/>
      <c r="BC416" s="95"/>
      <c r="BD416" s="95"/>
      <c r="BE416" s="95"/>
      <c r="BF416" s="95"/>
      <c r="BG416" s="95"/>
      <c r="BH416" s="95"/>
      <c r="BI416" s="95"/>
      <c r="BJ416" s="95"/>
      <c r="BK416" s="95"/>
      <c r="BL416" s="95"/>
    </row>
    <row r="417" customFormat="false" ht="12.45" hidden="false" customHeight="true" outlineLevel="0" collapsed="false">
      <c r="A417" s="285" t="s">
        <v>213</v>
      </c>
      <c r="B417" s="286" t="e">
        <f aca="false">B410+B411+B412+B416</f>
        <v>#VALUE!</v>
      </c>
      <c r="C417" s="286" t="e">
        <f aca="false">SUM(C410:C416)</f>
        <v>#N/A</v>
      </c>
      <c r="D417" s="286" t="e">
        <f aca="false">SUM(D410:D416)</f>
        <v>#N/A</v>
      </c>
      <c r="E417" s="286" t="e">
        <f aca="false">SUM(E410:E416)</f>
        <v>#N/A</v>
      </c>
      <c r="F417" s="286" t="e">
        <f aca="false">SUM(F410:F416)</f>
        <v>#N/A</v>
      </c>
      <c r="G417" s="286" t="e">
        <f aca="false">SUM(G410:G416)</f>
        <v>#N/A</v>
      </c>
      <c r="H417" s="286" t="e">
        <f aca="false">SUM(H410:H416)</f>
        <v>#N/A</v>
      </c>
      <c r="I417" s="286" t="e">
        <f aca="false">SUM(I410:I416)</f>
        <v>#N/A</v>
      </c>
      <c r="J417" s="286" t="e">
        <f aca="false">SUM(J410:J416)</f>
        <v>#N/A</v>
      </c>
      <c r="K417" s="286" t="e">
        <f aca="false">SUM(K410:K416)</f>
        <v>#N/A</v>
      </c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  <c r="AL417" s="95"/>
      <c r="AM417" s="95"/>
      <c r="AN417" s="95"/>
      <c r="AO417" s="95"/>
      <c r="AP417" s="95"/>
      <c r="AQ417" s="95"/>
      <c r="AR417" s="95"/>
      <c r="AS417" s="95"/>
      <c r="AT417" s="95"/>
      <c r="AU417" s="95"/>
      <c r="AV417" s="95"/>
      <c r="AW417" s="95"/>
      <c r="AX417" s="95"/>
      <c r="AY417" s="95"/>
      <c r="AZ417" s="95"/>
      <c r="BA417" s="95"/>
      <c r="BB417" s="95"/>
      <c r="BC417" s="95"/>
      <c r="BD417" s="95"/>
      <c r="BE417" s="95"/>
      <c r="BF417" s="95"/>
      <c r="BG417" s="95"/>
      <c r="BH417" s="95"/>
      <c r="BI417" s="95"/>
      <c r="BJ417" s="95"/>
      <c r="BK417" s="95"/>
      <c r="BL417" s="95"/>
    </row>
    <row r="418" customFormat="false" ht="12.45" hidden="false" customHeight="true" outlineLevel="0" collapsed="false">
      <c r="A418" s="275" t="s">
        <v>109</v>
      </c>
      <c r="B418" s="287"/>
      <c r="C418" s="287"/>
      <c r="D418" s="287"/>
      <c r="E418" s="287"/>
      <c r="F418" s="287"/>
      <c r="G418" s="287"/>
      <c r="H418" s="287"/>
      <c r="I418" s="287"/>
      <c r="J418" s="287"/>
      <c r="K418" s="287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  <c r="AL418" s="95"/>
      <c r="AM418" s="95"/>
      <c r="AN418" s="95"/>
      <c r="AO418" s="95"/>
      <c r="AP418" s="95"/>
      <c r="AQ418" s="95"/>
      <c r="AR418" s="95"/>
      <c r="AS418" s="95"/>
      <c r="AT418" s="95"/>
      <c r="AU418" s="95"/>
      <c r="AV418" s="95"/>
      <c r="AW418" s="95"/>
      <c r="AX418" s="95"/>
      <c r="AY418" s="95"/>
      <c r="AZ418" s="95"/>
      <c r="BA418" s="95"/>
      <c r="BB418" s="95"/>
      <c r="BC418" s="95"/>
      <c r="BD418" s="95"/>
      <c r="BE418" s="95"/>
      <c r="BF418" s="95"/>
      <c r="BG418" s="95"/>
      <c r="BH418" s="95"/>
      <c r="BI418" s="95"/>
      <c r="BJ418" s="95"/>
      <c r="BK418" s="95"/>
      <c r="BL418" s="95"/>
    </row>
    <row r="419" customFormat="false" ht="12.45" hidden="false" customHeight="true" outlineLevel="0" collapsed="false">
      <c r="A419" s="281" t="s">
        <v>19</v>
      </c>
      <c r="B419" s="262" t="e">
        <f aca="false">VLOOKUP(B418,'Данные по римским RS'!$F$50:$G$69,2,0)</f>
        <v>#N/A</v>
      </c>
      <c r="C419" s="262" t="e">
        <f aca="false">VLOOKUP(C418,'Данные по римским RS'!$F$50:$G$69,2,0)</f>
        <v>#N/A</v>
      </c>
      <c r="D419" s="262" t="e">
        <f aca="false">VLOOKUP(D418,'Данные по римским RS'!$F$50:$G$69,2,0)</f>
        <v>#N/A</v>
      </c>
      <c r="E419" s="262" t="e">
        <f aca="false">VLOOKUP(E418,'Данные по римским RS'!$F$50:$G$69,2,0)</f>
        <v>#N/A</v>
      </c>
      <c r="F419" s="262" t="e">
        <f aca="false">VLOOKUP(F418,'Данные по римским RS'!$F$50:$G$69,2,0)</f>
        <v>#N/A</v>
      </c>
      <c r="G419" s="262" t="e">
        <f aca="false">VLOOKUP(G418,'Данные по римским RS'!$F$50:$G$69,2,0)</f>
        <v>#N/A</v>
      </c>
      <c r="H419" s="262" t="e">
        <f aca="false">VLOOKUP(H418,'Данные по римским RS'!$F$50:$G$69,2,0)</f>
        <v>#N/A</v>
      </c>
      <c r="I419" s="262" t="e">
        <f aca="false">VLOOKUP(I418,'Данные по римским RS'!$F$50:$G$69,2,0)</f>
        <v>#N/A</v>
      </c>
      <c r="J419" s="262" t="e">
        <f aca="false">VLOOKUP(J418,'Данные по римским RS'!$F$50:$G$69,2,0)</f>
        <v>#N/A</v>
      </c>
      <c r="K419" s="262" t="e">
        <f aca="false">VLOOKUP(K418,'Данные по римским RS'!$F$50:$G$69,2,0)</f>
        <v>#N/A</v>
      </c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  <c r="AP419" s="95"/>
      <c r="AQ419" s="95"/>
      <c r="AR419" s="95"/>
      <c r="AS419" s="95"/>
      <c r="AT419" s="95"/>
      <c r="AU419" s="95"/>
      <c r="AV419" s="95"/>
      <c r="AW419" s="95"/>
      <c r="AX419" s="95"/>
      <c r="AY419" s="95"/>
      <c r="AZ419" s="95"/>
      <c r="BA419" s="95"/>
      <c r="BB419" s="95"/>
      <c r="BC419" s="95"/>
      <c r="BD419" s="95"/>
      <c r="BE419" s="95"/>
      <c r="BF419" s="95"/>
      <c r="BG419" s="95"/>
      <c r="BH419" s="95"/>
      <c r="BI419" s="95"/>
      <c r="BJ419" s="95"/>
      <c r="BK419" s="95"/>
      <c r="BL419" s="95"/>
    </row>
    <row r="420" customFormat="false" ht="12.45" hidden="false" customHeight="true" outlineLevel="0" collapsed="false">
      <c r="A420" s="257" t="s">
        <v>214</v>
      </c>
      <c r="B420" s="258" t="s">
        <v>38</v>
      </c>
      <c r="C420" s="258" t="s">
        <v>38</v>
      </c>
      <c r="D420" s="258" t="s">
        <v>38</v>
      </c>
      <c r="E420" s="258" t="s">
        <v>38</v>
      </c>
      <c r="F420" s="258" t="s">
        <v>38</v>
      </c>
      <c r="G420" s="258" t="s">
        <v>38</v>
      </c>
      <c r="H420" s="258" t="s">
        <v>38</v>
      </c>
      <c r="I420" s="258" t="s">
        <v>38</v>
      </c>
      <c r="J420" s="258" t="s">
        <v>38</v>
      </c>
      <c r="K420" s="258" t="s">
        <v>38</v>
      </c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  <c r="AL420" s="95"/>
      <c r="AM420" s="95"/>
      <c r="AN420" s="95"/>
      <c r="AO420" s="95"/>
      <c r="AP420" s="95"/>
      <c r="AQ420" s="95"/>
      <c r="AR420" s="95"/>
      <c r="AS420" s="95"/>
      <c r="AT420" s="95"/>
      <c r="AU420" s="95"/>
      <c r="AV420" s="95"/>
      <c r="AW420" s="95"/>
      <c r="AX420" s="95"/>
      <c r="AY420" s="95"/>
      <c r="AZ420" s="95"/>
      <c r="BA420" s="95"/>
      <c r="BB420" s="95"/>
      <c r="BC420" s="95"/>
      <c r="BD420" s="95"/>
      <c r="BE420" s="95"/>
      <c r="BF420" s="95"/>
      <c r="BG420" s="95"/>
      <c r="BH420" s="95"/>
      <c r="BI420" s="95"/>
      <c r="BJ420" s="95"/>
      <c r="BK420" s="95"/>
      <c r="BL420" s="95"/>
    </row>
    <row r="421" s="40" customFormat="true" ht="12.45" hidden="true" customHeight="true" outlineLevel="0" collapsed="false">
      <c r="A421" s="288" t="str">
        <f aca="false">IF(SUM(B421:K421)=0,"","счётчик кол-ва карнизов со стеновыми кроншт")</f>
        <v/>
      </c>
      <c r="B421" s="277" t="n">
        <f aca="false">IF(B420="Да",1,0)</f>
        <v>0</v>
      </c>
      <c r="C421" s="277" t="n">
        <f aca="false">IF(C420="Да",1,0)</f>
        <v>0</v>
      </c>
      <c r="D421" s="277" t="n">
        <f aca="false">IF(D420="Да",1,0)</f>
        <v>0</v>
      </c>
      <c r="E421" s="277" t="n">
        <f aca="false">IF(E420="Да",1,0)</f>
        <v>0</v>
      </c>
      <c r="F421" s="277" t="n">
        <f aca="false">IF(F420="Да",1,0)</f>
        <v>0</v>
      </c>
      <c r="G421" s="277" t="n">
        <f aca="false">IF(G420="Да",1,0)</f>
        <v>0</v>
      </c>
      <c r="H421" s="277" t="n">
        <f aca="false">IF(H420="Да",1,0)</f>
        <v>0</v>
      </c>
      <c r="I421" s="277" t="n">
        <f aca="false">IF(I420="Да",1,0)</f>
        <v>0</v>
      </c>
      <c r="J421" s="277" t="n">
        <f aca="false">IF(J420="Да",1,0)</f>
        <v>0</v>
      </c>
      <c r="K421" s="277" t="n">
        <f aca="false">IF(K420="Да",1,0)</f>
        <v>0</v>
      </c>
      <c r="L421" s="278"/>
      <c r="M421" s="278" t="n">
        <f aca="false">SUM(B421:K421)</f>
        <v>0</v>
      </c>
      <c r="N421" s="278"/>
      <c r="O421" s="278"/>
      <c r="P421" s="278"/>
      <c r="Q421" s="278"/>
      <c r="R421" s="278"/>
      <c r="S421" s="278"/>
      <c r="T421" s="278"/>
      <c r="U421" s="278"/>
      <c r="V421" s="278"/>
      <c r="W421" s="278"/>
      <c r="X421" s="278"/>
      <c r="Y421" s="278"/>
      <c r="Z421" s="278"/>
      <c r="AA421" s="278"/>
      <c r="AB421" s="278"/>
      <c r="AC421" s="278"/>
      <c r="AD421" s="278"/>
      <c r="AE421" s="278"/>
      <c r="AF421" s="278"/>
      <c r="AG421" s="278"/>
      <c r="AH421" s="278"/>
      <c r="AI421" s="278"/>
      <c r="AJ421" s="278"/>
      <c r="AK421" s="278"/>
      <c r="AL421" s="278"/>
      <c r="AM421" s="278"/>
      <c r="AN421" s="278"/>
      <c r="AO421" s="278"/>
      <c r="AP421" s="278"/>
      <c r="AQ421" s="278"/>
      <c r="AR421" s="278"/>
      <c r="AS421" s="278"/>
      <c r="AT421" s="278"/>
      <c r="AU421" s="278"/>
      <c r="AV421" s="278"/>
      <c r="AW421" s="278"/>
      <c r="AX421" s="278"/>
      <c r="AY421" s="278"/>
      <c r="AZ421" s="278"/>
      <c r="BA421" s="278"/>
      <c r="BB421" s="278"/>
      <c r="BC421" s="278"/>
      <c r="BD421" s="278"/>
      <c r="BE421" s="278"/>
      <c r="BF421" s="278"/>
      <c r="BG421" s="278"/>
      <c r="BH421" s="278"/>
      <c r="BI421" s="278"/>
      <c r="BJ421" s="278"/>
      <c r="BK421" s="278"/>
      <c r="BL421" s="278"/>
    </row>
    <row r="422" s="40" customFormat="true" ht="12.45" hidden="false" customHeight="true" outlineLevel="0" collapsed="false">
      <c r="A422" s="288" t="str">
        <f aca="false">IF(SUM(B421:K421)=0,"","Кол-во стеновых кронштейнов")</f>
        <v/>
      </c>
      <c r="B422" s="289" t="str">
        <f aca="false">IF($A$422="","",_xlfn.CEILING.MATH(B403/0.7,1,0))</f>
        <v/>
      </c>
      <c r="C422" s="289" t="str">
        <f aca="false">IF($A$422="","",_xlfn.CEILING.MATH(C403/0.7,1,0))</f>
        <v/>
      </c>
      <c r="D422" s="289" t="str">
        <f aca="false">IF($A$422="","",_xlfn.CEILING.MATH(D403/0.7,1,0))</f>
        <v/>
      </c>
      <c r="E422" s="289" t="str">
        <f aca="false">IF($A$422="","",_xlfn.CEILING.MATH(E403/0.7,1,0))</f>
        <v/>
      </c>
      <c r="F422" s="289" t="str">
        <f aca="false">IF($A$422="","",_xlfn.CEILING.MATH(F403/0.7,1,0))</f>
        <v/>
      </c>
      <c r="G422" s="289" t="str">
        <f aca="false">IF($A$422="","",_xlfn.CEILING.MATH(G403/0.7,1,0))</f>
        <v/>
      </c>
      <c r="H422" s="289" t="str">
        <f aca="false">IF($A$422="","",_xlfn.CEILING.MATH(H403/0.7,1,0))</f>
        <v/>
      </c>
      <c r="I422" s="289" t="str">
        <f aca="false">IF($A$422="","",_xlfn.CEILING.MATH(I403/0.7,1,0))</f>
        <v/>
      </c>
      <c r="J422" s="289" t="str">
        <f aca="false">IF($A$422="","",_xlfn.CEILING.MATH(J403/0.7,1,0))</f>
        <v/>
      </c>
      <c r="K422" s="289" t="str">
        <f aca="false">IF($A$422="","",_xlfn.CEILING.MATH(K403/0.7,1,0))</f>
        <v/>
      </c>
      <c r="L422" s="278"/>
      <c r="M422" s="0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  <c r="AA422" s="278"/>
      <c r="AB422" s="278"/>
      <c r="AC422" s="278"/>
      <c r="AD422" s="278"/>
      <c r="AE422" s="278"/>
      <c r="AF422" s="278"/>
      <c r="AG422" s="278"/>
      <c r="AH422" s="278"/>
      <c r="AI422" s="278"/>
      <c r="AJ422" s="278"/>
      <c r="AK422" s="278"/>
      <c r="AL422" s="278"/>
      <c r="AM422" s="278"/>
      <c r="AN422" s="278"/>
      <c r="AO422" s="278"/>
      <c r="AP422" s="278"/>
      <c r="AQ422" s="278"/>
      <c r="AR422" s="278"/>
      <c r="AS422" s="278"/>
      <c r="AT422" s="278"/>
      <c r="AU422" s="278"/>
      <c r="AV422" s="278"/>
      <c r="AW422" s="278"/>
      <c r="AX422" s="278"/>
      <c r="AY422" s="278"/>
      <c r="AZ422" s="278"/>
      <c r="BA422" s="278"/>
      <c r="BB422" s="278"/>
      <c r="BC422" s="278"/>
      <c r="BD422" s="278"/>
      <c r="BE422" s="278"/>
      <c r="BF422" s="278"/>
      <c r="BG422" s="278"/>
      <c r="BH422" s="278"/>
      <c r="BI422" s="278"/>
      <c r="BJ422" s="278"/>
      <c r="BK422" s="278"/>
      <c r="BL422" s="278"/>
    </row>
    <row r="423" customFormat="false" ht="12.45" hidden="false" customHeight="true" outlineLevel="0" collapsed="false">
      <c r="A423" s="290" t="str">
        <f aca="false">IF(SUM(B421:K421)=0,"","Цена одного настенного кронштейна")</f>
        <v/>
      </c>
      <c r="B423" s="291" t="str">
        <f aca="false">IF($A$423="","",'Данные по римским RS'!$G$37)</f>
        <v/>
      </c>
      <c r="C423" s="291" t="str">
        <f aca="false">IF($A$423="","",'Данные по римским RS'!$G$37)</f>
        <v/>
      </c>
      <c r="D423" s="291" t="str">
        <f aca="false">IF($A$423="","",'Данные по римским RS'!$G$37)</f>
        <v/>
      </c>
      <c r="E423" s="291" t="str">
        <f aca="false">IF($A$423="","",'Данные по римским RS'!$G$37)</f>
        <v/>
      </c>
      <c r="F423" s="291" t="str">
        <f aca="false">IF($A$423="","",'Данные по римским RS'!$G$37)</f>
        <v/>
      </c>
      <c r="G423" s="291" t="str">
        <f aca="false">IF($A$423="","",'Данные по римским RS'!$G$37)</f>
        <v/>
      </c>
      <c r="H423" s="291" t="str">
        <f aca="false">IF($A$423="","",'Данные по римским RS'!$G$37)</f>
        <v/>
      </c>
      <c r="I423" s="291" t="str">
        <f aca="false">IF($A$423="","",'Данные по римским RS'!$G$37)</f>
        <v/>
      </c>
      <c r="J423" s="291" t="str">
        <f aca="false">IF($A$423="","",'Данные по римским RS'!$G$37)</f>
        <v/>
      </c>
      <c r="K423" s="291" t="str">
        <f aca="false">IF($A$423="","",'Данные по римским RS'!$G$37)</f>
        <v/>
      </c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  <c r="BC423" s="0"/>
      <c r="BD423" s="0"/>
      <c r="BE423" s="0"/>
      <c r="BF423" s="0"/>
      <c r="BG423" s="0"/>
      <c r="BH423" s="0"/>
      <c r="BI423" s="0"/>
      <c r="BJ423" s="0"/>
      <c r="BK423" s="0"/>
      <c r="BL423" s="0"/>
    </row>
    <row r="424" customFormat="false" ht="12.45" hidden="true" customHeight="true" outlineLevel="0" collapsed="false">
      <c r="A424" s="290"/>
      <c r="B424" s="291"/>
      <c r="C424" s="291"/>
      <c r="D424" s="291"/>
      <c r="E424" s="291"/>
      <c r="F424" s="291"/>
      <c r="G424" s="291"/>
      <c r="H424" s="291"/>
      <c r="I424" s="291"/>
      <c r="J424" s="291"/>
      <c r="K424" s="291"/>
      <c r="L424" s="0"/>
      <c r="M424" s="0"/>
      <c r="N424" s="0"/>
      <c r="O424" s="0"/>
      <c r="P424" s="0"/>
      <c r="Q424" s="0"/>
      <c r="R424" s="0"/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/>
      <c r="AZ424" s="0"/>
      <c r="BA424" s="0"/>
      <c r="BB424" s="0"/>
      <c r="BC424" s="0"/>
      <c r="BD424" s="0"/>
      <c r="BE424" s="0"/>
      <c r="BF424" s="0"/>
      <c r="BG424" s="0"/>
      <c r="BH424" s="0"/>
      <c r="BI424" s="0"/>
      <c r="BJ424" s="0"/>
      <c r="BK424" s="0"/>
      <c r="BL424" s="0"/>
    </row>
    <row r="425" customFormat="false" ht="12.45" hidden="true" customHeight="true" outlineLevel="0" collapsed="false">
      <c r="A425" s="290"/>
      <c r="B425" s="291"/>
      <c r="C425" s="291"/>
      <c r="D425" s="291"/>
      <c r="E425" s="291"/>
      <c r="F425" s="291"/>
      <c r="G425" s="291"/>
      <c r="H425" s="291"/>
      <c r="I425" s="291"/>
      <c r="J425" s="291"/>
      <c r="K425" s="291"/>
      <c r="L425" s="0"/>
      <c r="M425" s="0"/>
      <c r="N425" s="0"/>
      <c r="O425" s="0"/>
      <c r="P425" s="0"/>
      <c r="Q425" s="0"/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  <c r="BC425" s="0"/>
      <c r="BD425" s="0"/>
      <c r="BE425" s="0"/>
      <c r="BF425" s="0"/>
      <c r="BG425" s="0"/>
      <c r="BH425" s="0"/>
      <c r="BI425" s="0"/>
      <c r="BJ425" s="0"/>
      <c r="BK425" s="0"/>
      <c r="BL425" s="0"/>
    </row>
    <row r="426" customFormat="false" ht="12.45" hidden="false" customHeight="true" outlineLevel="0" collapsed="false">
      <c r="A426" s="292" t="s">
        <v>36</v>
      </c>
      <c r="B426" s="291" t="n">
        <f aca="false">IF($A$426="","",IF(B420="Да",B423*B422,0))</f>
        <v>0</v>
      </c>
      <c r="C426" s="291" t="n">
        <f aca="false">IF($A$426="","",IF(C420="Да",C423*C422,0))</f>
        <v>0</v>
      </c>
      <c r="D426" s="291" t="n">
        <f aca="false">IF($A$426="","",IF(D420="Да",D423*D422,0))</f>
        <v>0</v>
      </c>
      <c r="E426" s="291" t="n">
        <f aca="false">IF($A$426="","",IF(E420="Да",E423*E422,0))</f>
        <v>0</v>
      </c>
      <c r="F426" s="291" t="n">
        <f aca="false">IF($A$426="","",IF(F420="Да",F423*F422,0))</f>
        <v>0</v>
      </c>
      <c r="G426" s="291" t="n">
        <f aca="false">IF($A$426="","",IF(G420="Да",G423*G422,0))</f>
        <v>0</v>
      </c>
      <c r="H426" s="291" t="n">
        <f aca="false">IF($A$426="","",IF(H420="Да",H423*H422,0))</f>
        <v>0</v>
      </c>
      <c r="I426" s="291" t="n">
        <f aca="false">IF($A$426="","",IF(I420="Да",I423*I422,0))</f>
        <v>0</v>
      </c>
      <c r="J426" s="291" t="n">
        <f aca="false">IF($A$426="","",IF(J420="Да",J423*J422,0))</f>
        <v>0</v>
      </c>
      <c r="K426" s="291" t="n">
        <f aca="false">IF($A$426="","",IF(K420="Да",K423*K422,0))</f>
        <v>0</v>
      </c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</row>
    <row r="427" customFormat="false" ht="12.45" hidden="false" customHeight="true" outlineLevel="0" collapsed="false">
      <c r="A427" s="293"/>
      <c r="B427" s="291"/>
      <c r="C427" s="291"/>
      <c r="D427" s="291"/>
      <c r="E427" s="291"/>
      <c r="F427" s="291"/>
      <c r="G427" s="291"/>
      <c r="H427" s="291"/>
      <c r="I427" s="291"/>
      <c r="J427" s="291"/>
      <c r="K427" s="291"/>
      <c r="L427" s="0"/>
      <c r="M427" s="0"/>
      <c r="N427" s="0"/>
      <c r="O427" s="0"/>
      <c r="P427" s="0"/>
      <c r="Q427" s="0"/>
      <c r="R427" s="0"/>
      <c r="S427" s="0"/>
      <c r="T427" s="0"/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  <c r="BC427" s="0"/>
      <c r="BD427" s="0"/>
      <c r="BE427" s="0"/>
      <c r="BF427" s="0"/>
      <c r="BG427" s="0"/>
      <c r="BH427" s="0"/>
      <c r="BI427" s="0"/>
      <c r="BJ427" s="0"/>
      <c r="BK427" s="0"/>
      <c r="BL427" s="0"/>
    </row>
    <row r="428" customFormat="false" ht="12.45" hidden="false" customHeight="true" outlineLevel="0" collapsed="false">
      <c r="A428" s="294" t="s">
        <v>215</v>
      </c>
      <c r="B428" s="295"/>
      <c r="C428" s="295"/>
      <c r="D428" s="295"/>
      <c r="E428" s="295"/>
      <c r="F428" s="295"/>
      <c r="G428" s="295"/>
      <c r="H428" s="295"/>
      <c r="I428" s="295"/>
      <c r="J428" s="295"/>
      <c r="K428" s="295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  <c r="BC428" s="0"/>
      <c r="BD428" s="0"/>
      <c r="BE428" s="0"/>
      <c r="BF428" s="0"/>
      <c r="BG428" s="0"/>
      <c r="BH428" s="0"/>
      <c r="BI428" s="0"/>
      <c r="BJ428" s="0"/>
      <c r="BK428" s="0"/>
      <c r="BL428" s="0"/>
    </row>
    <row r="429" customFormat="false" ht="12.45" hidden="false" customHeight="true" outlineLevel="0" collapsed="false">
      <c r="A429" s="293" t="s">
        <v>216</v>
      </c>
      <c r="B429" s="291" t="n">
        <f aca="false">'Данные по римским RS'!$L$40</f>
        <v>54.58632</v>
      </c>
      <c r="C429" s="291" t="n">
        <f aca="false">'Данные по римским RS'!$L$40</f>
        <v>54.58632</v>
      </c>
      <c r="D429" s="291" t="n">
        <f aca="false">'Данные по римским RS'!$L$40</f>
        <v>54.58632</v>
      </c>
      <c r="E429" s="291" t="n">
        <f aca="false">'Данные по римским RS'!$L$40</f>
        <v>54.58632</v>
      </c>
      <c r="F429" s="291" t="n">
        <f aca="false">'Данные по римским RS'!$L$40</f>
        <v>54.58632</v>
      </c>
      <c r="G429" s="291" t="n">
        <f aca="false">'Данные по римским RS'!$L$40</f>
        <v>54.58632</v>
      </c>
      <c r="H429" s="291" t="n">
        <f aca="false">'Данные по римским RS'!$L$40</f>
        <v>54.58632</v>
      </c>
      <c r="I429" s="291" t="n">
        <f aca="false">'Данные по римским RS'!$L$40</f>
        <v>54.58632</v>
      </c>
      <c r="J429" s="291" t="n">
        <f aca="false">'Данные по римским RS'!$L$40</f>
        <v>54.58632</v>
      </c>
      <c r="K429" s="291" t="n">
        <f aca="false">'Данные по римским RS'!$L$40</f>
        <v>54.58632</v>
      </c>
      <c r="L429" s="0"/>
      <c r="M429" s="0"/>
      <c r="N429" s="0"/>
      <c r="O429" s="0"/>
      <c r="P429" s="0"/>
      <c r="Q429" s="0"/>
      <c r="R429" s="0"/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  <c r="BC429" s="0"/>
      <c r="BD429" s="0"/>
      <c r="BE429" s="0"/>
      <c r="BF429" s="0"/>
      <c r="BG429" s="0"/>
      <c r="BH429" s="0"/>
      <c r="BI429" s="0"/>
      <c r="BJ429" s="0"/>
      <c r="BK429" s="0"/>
      <c r="BL429" s="0"/>
    </row>
    <row r="430" customFormat="false" ht="12.45" hidden="false" customHeight="true" outlineLevel="0" collapsed="false">
      <c r="A430" s="293" t="s">
        <v>217</v>
      </c>
      <c r="B430" s="291" t="n">
        <f aca="false">B429*B403</f>
        <v>0</v>
      </c>
      <c r="C430" s="291" t="n">
        <f aca="false">C429*C403</f>
        <v>0</v>
      </c>
      <c r="D430" s="291" t="n">
        <f aca="false">D429*D403</f>
        <v>0</v>
      </c>
      <c r="E430" s="291" t="n">
        <f aca="false">E429*E403</f>
        <v>0</v>
      </c>
      <c r="F430" s="291" t="n">
        <f aca="false">F429*F403</f>
        <v>0</v>
      </c>
      <c r="G430" s="291" t="n">
        <f aca="false">G429*G403</f>
        <v>0</v>
      </c>
      <c r="H430" s="291" t="n">
        <f aca="false">H429*H403</f>
        <v>0</v>
      </c>
      <c r="I430" s="291" t="n">
        <f aca="false">I429*I403</f>
        <v>0</v>
      </c>
      <c r="J430" s="291" t="n">
        <f aca="false">J429*J403</f>
        <v>0</v>
      </c>
      <c r="K430" s="291" t="n">
        <f aca="false">K429*K403</f>
        <v>0</v>
      </c>
      <c r="L430" s="0"/>
      <c r="M430" s="0"/>
      <c r="N430" s="0"/>
      <c r="O430" s="0"/>
      <c r="P430" s="0"/>
      <c r="Q430" s="0"/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  <c r="AF430" s="0"/>
      <c r="AG430" s="0"/>
      <c r="AH430" s="0"/>
      <c r="AI430" s="0"/>
      <c r="AJ430" s="0"/>
      <c r="AK430" s="0"/>
      <c r="AL430" s="0"/>
      <c r="AM430" s="0"/>
      <c r="AN430" s="0"/>
      <c r="AO430" s="0"/>
      <c r="AP430" s="0"/>
      <c r="AQ430" s="0"/>
      <c r="AR430" s="0"/>
      <c r="AS430" s="0"/>
      <c r="AT430" s="0"/>
      <c r="AU430" s="0"/>
      <c r="AV430" s="0"/>
      <c r="AW430" s="0"/>
      <c r="AX430" s="0"/>
      <c r="AY430" s="0"/>
      <c r="AZ430" s="0"/>
      <c r="BA430" s="0"/>
      <c r="BB430" s="0"/>
      <c r="BC430" s="0"/>
      <c r="BD430" s="0"/>
      <c r="BE430" s="0"/>
      <c r="BF430" s="0"/>
      <c r="BG430" s="0"/>
      <c r="BH430" s="0"/>
      <c r="BI430" s="0"/>
      <c r="BJ430" s="0"/>
      <c r="BK430" s="0"/>
      <c r="BL430" s="0"/>
    </row>
    <row r="431" customFormat="false" ht="12.45" hidden="false" customHeight="true" outlineLevel="0" collapsed="false">
      <c r="A431" s="296" t="s">
        <v>218</v>
      </c>
      <c r="B431" s="297" t="n">
        <f aca="false">B430*B428</f>
        <v>0</v>
      </c>
      <c r="C431" s="297" t="n">
        <f aca="false">C430*C428</f>
        <v>0</v>
      </c>
      <c r="D431" s="297" t="n">
        <f aca="false">D430*D428</f>
        <v>0</v>
      </c>
      <c r="E431" s="297" t="n">
        <f aca="false">E430*E428</f>
        <v>0</v>
      </c>
      <c r="F431" s="297" t="n">
        <f aca="false">F430*F428</f>
        <v>0</v>
      </c>
      <c r="G431" s="297" t="n">
        <f aca="false">G430*G428</f>
        <v>0</v>
      </c>
      <c r="H431" s="297" t="n">
        <f aca="false">H430*H428</f>
        <v>0</v>
      </c>
      <c r="I431" s="297" t="n">
        <f aca="false">I430*I428</f>
        <v>0</v>
      </c>
      <c r="J431" s="297" t="n">
        <f aca="false">J430*J428</f>
        <v>0</v>
      </c>
      <c r="K431" s="297" t="n">
        <f aca="false">K430*K428</f>
        <v>0</v>
      </c>
      <c r="L431" s="0"/>
      <c r="M431" s="0"/>
      <c r="N431" s="0"/>
      <c r="O431" s="0"/>
      <c r="P431" s="0"/>
      <c r="Q431" s="0"/>
      <c r="R431" s="0"/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  <c r="BC431" s="0"/>
      <c r="BD431" s="0"/>
      <c r="BE431" s="0"/>
      <c r="BF431" s="0"/>
      <c r="BG431" s="0"/>
      <c r="BH431" s="0"/>
      <c r="BI431" s="0"/>
      <c r="BJ431" s="0"/>
      <c r="BK431" s="0"/>
      <c r="BL431" s="0"/>
    </row>
    <row r="432" customFormat="false" ht="12.45" hidden="true" customHeight="true" outlineLevel="0" collapsed="false">
      <c r="A432" s="293"/>
      <c r="B432" s="291"/>
      <c r="C432" s="291"/>
      <c r="D432" s="291"/>
      <c r="E432" s="291"/>
      <c r="F432" s="291"/>
      <c r="G432" s="291"/>
      <c r="H432" s="291"/>
      <c r="I432" s="291"/>
      <c r="J432" s="291"/>
      <c r="K432" s="291"/>
      <c r="L432" s="0"/>
      <c r="M432" s="0"/>
      <c r="N432" s="0"/>
      <c r="O432" s="0"/>
      <c r="P432" s="0"/>
      <c r="Q432" s="0"/>
      <c r="R432" s="0"/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  <c r="BC432" s="0"/>
      <c r="BD432" s="0"/>
      <c r="BE432" s="0"/>
      <c r="BF432" s="0"/>
      <c r="BG432" s="0"/>
      <c r="BH432" s="0"/>
      <c r="BI432" s="0"/>
      <c r="BJ432" s="0"/>
      <c r="BK432" s="0"/>
      <c r="BL432" s="0"/>
    </row>
    <row r="433" s="299" customFormat="true" ht="12.45" hidden="false" customHeight="true" outlineLevel="0" collapsed="false">
      <c r="A433" s="294" t="s">
        <v>219</v>
      </c>
      <c r="B433" s="298"/>
      <c r="C433" s="298"/>
      <c r="D433" s="298"/>
      <c r="E433" s="298"/>
      <c r="F433" s="298"/>
      <c r="G433" s="298"/>
      <c r="H433" s="298"/>
      <c r="I433" s="298"/>
      <c r="J433" s="298"/>
      <c r="K433" s="298"/>
    </row>
    <row r="434" s="299" customFormat="true" ht="12.45" hidden="true" customHeight="true" outlineLevel="0" collapsed="false">
      <c r="A434" s="300" t="s">
        <v>220</v>
      </c>
      <c r="B434" s="300" t="n">
        <f aca="false">IF(B433="",0,VLOOKUP(B433,'Данные по римским RS'!$F$41:$L$42,7,0))</f>
        <v>0</v>
      </c>
      <c r="C434" s="300"/>
      <c r="D434" s="300"/>
      <c r="E434" s="300"/>
      <c r="F434" s="300"/>
      <c r="G434" s="300"/>
      <c r="H434" s="300"/>
      <c r="I434" s="300"/>
      <c r="J434" s="300"/>
      <c r="K434" s="300"/>
    </row>
    <row r="435" s="299" customFormat="true" ht="12.45" hidden="false" customHeight="true" outlineLevel="0" collapsed="false">
      <c r="A435" s="296" t="s">
        <v>221</v>
      </c>
      <c r="B435" s="301" t="n">
        <f aca="false">B434*B403</f>
        <v>0</v>
      </c>
      <c r="C435" s="301" t="n">
        <f aca="false">C434*C403</f>
        <v>0</v>
      </c>
      <c r="D435" s="301" t="n">
        <f aca="false">D434*D403</f>
        <v>0</v>
      </c>
      <c r="E435" s="301" t="n">
        <f aca="false">E434*E403</f>
        <v>0</v>
      </c>
      <c r="F435" s="301" t="n">
        <f aca="false">F434*F403</f>
        <v>0</v>
      </c>
      <c r="G435" s="301" t="n">
        <f aca="false">G434*G403</f>
        <v>0</v>
      </c>
      <c r="H435" s="301" t="n">
        <f aca="false">H434*H403</f>
        <v>0</v>
      </c>
      <c r="I435" s="301" t="n">
        <f aca="false">I434*I403</f>
        <v>0</v>
      </c>
      <c r="J435" s="301" t="n">
        <f aca="false">J434*J403</f>
        <v>0</v>
      </c>
      <c r="K435" s="301" t="n">
        <f aca="false">K434*K403</f>
        <v>0</v>
      </c>
    </row>
    <row r="436" customFormat="false" ht="12.45" hidden="false" customHeight="true" outlineLevel="0" collapsed="false">
      <c r="A436" s="293"/>
      <c r="B436" s="291"/>
      <c r="C436" s="291"/>
      <c r="D436" s="291"/>
      <c r="E436" s="291"/>
      <c r="F436" s="291"/>
      <c r="G436" s="291"/>
      <c r="H436" s="291"/>
      <c r="I436" s="291"/>
      <c r="J436" s="291"/>
      <c r="K436" s="291"/>
      <c r="L436" s="0"/>
      <c r="M436" s="0"/>
      <c r="N436" s="0"/>
      <c r="O436" s="0"/>
      <c r="P436" s="0"/>
      <c r="Q436" s="0"/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/>
      <c r="AZ436" s="0"/>
      <c r="BA436" s="0"/>
      <c r="BB436" s="0"/>
      <c r="BC436" s="0"/>
      <c r="BD436" s="0"/>
      <c r="BE436" s="0"/>
      <c r="BF436" s="0"/>
      <c r="BG436" s="0"/>
      <c r="BH436" s="0"/>
      <c r="BI436" s="0"/>
      <c r="BJ436" s="0"/>
      <c r="BK436" s="0"/>
      <c r="BL436" s="0"/>
    </row>
    <row r="437" customFormat="false" ht="12.45" hidden="false" customHeight="true" outlineLevel="0" collapsed="false">
      <c r="A437" s="281" t="s">
        <v>222</v>
      </c>
      <c r="B437" s="264" t="e">
        <f aca="false">_xlfn.CEILING.MATH(B417+B419+B426+B431+B435,100,0)</f>
        <v>#VALUE!</v>
      </c>
      <c r="C437" s="264" t="e">
        <f aca="false">_xlfn.CEILING.MATH(C417+C419+C426+C431+C435,100,0)</f>
        <v>#N/A</v>
      </c>
      <c r="D437" s="264" t="e">
        <f aca="false">_xlfn.CEILING.MATH(D417+D419+D426+D431+D435,100,0)</f>
        <v>#N/A</v>
      </c>
      <c r="E437" s="264" t="e">
        <f aca="false">_xlfn.CEILING.MATH(E417+E419+E426+E431+E435,100,0)</f>
        <v>#N/A</v>
      </c>
      <c r="F437" s="264" t="e">
        <f aca="false">_xlfn.CEILING.MATH(F417+F419+F426+F431+F435,100,0)</f>
        <v>#N/A</v>
      </c>
      <c r="G437" s="264" t="e">
        <f aca="false">_xlfn.CEILING.MATH(G417+G419+G426+G431+G435,100,0)</f>
        <v>#N/A</v>
      </c>
      <c r="H437" s="264" t="e">
        <f aca="false">_xlfn.CEILING.MATH(H417+H419+H426+H431+H435,100,0)</f>
        <v>#N/A</v>
      </c>
      <c r="I437" s="264" t="e">
        <f aca="false">_xlfn.CEILING.MATH(I417+I419+I426+I431+I435,100,0)</f>
        <v>#N/A</v>
      </c>
      <c r="J437" s="264" t="e">
        <f aca="false">_xlfn.CEILING.MATH(J417+J419+J426+J431+J435,100,0)</f>
        <v>#N/A</v>
      </c>
      <c r="K437" s="264" t="e">
        <f aca="false">_xlfn.CEILING.MATH(K417+K419+K426+K431+K435,100,0)</f>
        <v>#N/A</v>
      </c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  <c r="AL437" s="95"/>
      <c r="AM437" s="95"/>
      <c r="AN437" s="95"/>
      <c r="AO437" s="95"/>
      <c r="AP437" s="95"/>
      <c r="AQ437" s="95"/>
      <c r="AR437" s="95"/>
      <c r="AS437" s="95"/>
      <c r="AT437" s="95"/>
      <c r="AU437" s="95"/>
      <c r="AV437" s="95"/>
      <c r="AW437" s="95"/>
      <c r="AX437" s="95"/>
      <c r="AY437" s="95"/>
      <c r="AZ437" s="95"/>
      <c r="BA437" s="95"/>
      <c r="BB437" s="95"/>
      <c r="BC437" s="95"/>
      <c r="BD437" s="95"/>
      <c r="BE437" s="95"/>
      <c r="BF437" s="95"/>
      <c r="BG437" s="95"/>
      <c r="BH437" s="95"/>
      <c r="BI437" s="95"/>
      <c r="BJ437" s="95"/>
      <c r="BK437" s="95"/>
      <c r="BL437" s="95"/>
    </row>
    <row r="438" customFormat="false" ht="9.9" hidden="false" customHeight="true" outlineLevel="0" collapsed="false">
      <c r="A438" s="173" t="s">
        <v>82</v>
      </c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  <c r="AL438" s="95"/>
      <c r="AM438" s="95"/>
      <c r="AN438" s="95"/>
      <c r="AO438" s="95"/>
      <c r="AP438" s="95"/>
      <c r="AQ438" s="95"/>
      <c r="AR438" s="95"/>
      <c r="AS438" s="95"/>
      <c r="AT438" s="95"/>
      <c r="AU438" s="95"/>
      <c r="AV438" s="95"/>
      <c r="AW438" s="95"/>
      <c r="AX438" s="95"/>
      <c r="AY438" s="95"/>
      <c r="AZ438" s="95"/>
      <c r="BA438" s="95"/>
      <c r="BB438" s="95"/>
      <c r="BC438" s="95"/>
      <c r="BD438" s="95"/>
      <c r="BE438" s="95"/>
      <c r="BF438" s="95"/>
      <c r="BG438" s="95"/>
      <c r="BH438" s="95"/>
      <c r="BI438" s="95"/>
      <c r="BJ438" s="95"/>
      <c r="BK438" s="95"/>
      <c r="BL438" s="95"/>
    </row>
    <row r="439" customFormat="false" ht="12.45" hidden="false" customHeight="true" outlineLevel="0" collapsed="false">
      <c r="A439" s="255"/>
      <c r="B439" s="264" t="e">
        <f aca="false">HLOOKUP(B438,Услуги!$H$4:$I$6,3,0)</f>
        <v>#N/A</v>
      </c>
      <c r="C439" s="264" t="e">
        <f aca="false">HLOOKUP(C438,Услуги!$H$4:$I$6,3,0)</f>
        <v>#N/A</v>
      </c>
      <c r="D439" s="264" t="e">
        <f aca="false">HLOOKUP(D438,Услуги!$H$4:$I$6,3,0)</f>
        <v>#N/A</v>
      </c>
      <c r="E439" s="264" t="e">
        <f aca="false">HLOOKUP(E438,Услуги!$H$4:$I$6,3,0)</f>
        <v>#N/A</v>
      </c>
      <c r="F439" s="264" t="e">
        <f aca="false">HLOOKUP(F438,Услуги!$H$4:$I$6,3,0)</f>
        <v>#N/A</v>
      </c>
      <c r="G439" s="264" t="e">
        <f aca="false">HLOOKUP(G438,Услуги!$H$4:$I$6,3,0)</f>
        <v>#N/A</v>
      </c>
      <c r="H439" s="264" t="e">
        <f aca="false">HLOOKUP(H438,Услуги!$H$4:$I$6,3,0)</f>
        <v>#N/A</v>
      </c>
      <c r="I439" s="264" t="e">
        <f aca="false">HLOOKUP(I438,Услуги!$H$4:$I$6,3,0)</f>
        <v>#N/A</v>
      </c>
      <c r="J439" s="264" t="e">
        <f aca="false">HLOOKUP(J438,Услуги!$H$4:$I$6,3,0)</f>
        <v>#N/A</v>
      </c>
      <c r="K439" s="264" t="e">
        <f aca="false">HLOOKUP(K438,Услуги!$H$4:$I$6,3,0)</f>
        <v>#N/A</v>
      </c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  <c r="AL439" s="95"/>
      <c r="AM439" s="95"/>
      <c r="AN439" s="95"/>
      <c r="AO439" s="95"/>
      <c r="AP439" s="95"/>
      <c r="AQ439" s="95"/>
      <c r="AR439" s="95"/>
      <c r="AS439" s="95"/>
      <c r="AT439" s="95"/>
      <c r="AU439" s="95"/>
      <c r="AV439" s="95"/>
      <c r="AW439" s="95"/>
      <c r="AX439" s="95"/>
      <c r="AY439" s="95"/>
      <c r="AZ439" s="95"/>
      <c r="BA439" s="95"/>
      <c r="BB439" s="95"/>
      <c r="BC439" s="95"/>
      <c r="BD439" s="95"/>
      <c r="BE439" s="95"/>
      <c r="BF439" s="95"/>
      <c r="BG439" s="95"/>
      <c r="BH439" s="95"/>
      <c r="BI439" s="95"/>
      <c r="BJ439" s="95"/>
      <c r="BK439" s="95"/>
      <c r="BL439" s="95"/>
    </row>
    <row r="440" customFormat="false" ht="12.45" hidden="false" customHeight="true" outlineLevel="0" collapsed="false">
      <c r="A440" s="151"/>
      <c r="B440" s="122"/>
      <c r="C440" s="151"/>
      <c r="D440" s="151"/>
      <c r="E440" s="151"/>
      <c r="F440" s="151"/>
      <c r="G440" s="151"/>
      <c r="H440" s="151"/>
      <c r="I440" s="151"/>
      <c r="J440" s="151"/>
      <c r="K440" s="151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  <c r="AL440" s="95"/>
      <c r="AM440" s="95"/>
      <c r="AN440" s="95"/>
      <c r="AO440" s="95"/>
      <c r="AP440" s="95"/>
      <c r="AQ440" s="95"/>
      <c r="AR440" s="95"/>
      <c r="AS440" s="95"/>
      <c r="AT440" s="95"/>
      <c r="AU440" s="95"/>
      <c r="AV440" s="95"/>
      <c r="AW440" s="95"/>
      <c r="AX440" s="95"/>
      <c r="AY440" s="95"/>
      <c r="AZ440" s="95"/>
      <c r="BA440" s="95"/>
      <c r="BB440" s="95"/>
      <c r="BC440" s="95"/>
      <c r="BD440" s="95"/>
      <c r="BE440" s="95"/>
      <c r="BF440" s="95"/>
      <c r="BG440" s="95"/>
      <c r="BH440" s="95"/>
      <c r="BI440" s="95"/>
      <c r="BJ440" s="95"/>
      <c r="BK440" s="95"/>
      <c r="BL440" s="95"/>
    </row>
    <row r="441" customFormat="false" ht="12.45" hidden="false" customHeight="true" outlineLevel="0" collapsed="false">
      <c r="A441" s="116" t="s">
        <v>95</v>
      </c>
      <c r="B441" s="265"/>
      <c r="C441" s="265"/>
      <c r="D441" s="265"/>
      <c r="E441" s="265"/>
    </row>
    <row r="442" customFormat="false" ht="12.45" hidden="false" customHeight="true" outlineLevel="0" collapsed="false">
      <c r="A442" s="151"/>
      <c r="B442" s="302" t="e">
        <f aca="false">VLOOKUP(B441,'Управление и питание'!$C$66:$G$67,5,0)</f>
        <v>#N/A</v>
      </c>
      <c r="C442" s="302"/>
      <c r="D442" s="302" t="e">
        <f aca="false">VLOOKUP(D441,'Управление и питание'!$C$66:$G$67,5,0)</f>
        <v>#N/A</v>
      </c>
      <c r="E442" s="302"/>
      <c r="F442" s="151"/>
      <c r="G442" s="151"/>
      <c r="H442" s="151"/>
      <c r="I442" s="151"/>
      <c r="J442" s="151"/>
      <c r="K442" s="151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  <c r="AL442" s="95"/>
      <c r="AM442" s="95"/>
      <c r="AN442" s="95"/>
      <c r="AO442" s="95"/>
      <c r="AP442" s="95"/>
      <c r="AQ442" s="95"/>
      <c r="AR442" s="95"/>
      <c r="AS442" s="95"/>
      <c r="AT442" s="95"/>
      <c r="AU442" s="95"/>
      <c r="AV442" s="95"/>
      <c r="AW442" s="95"/>
      <c r="AX442" s="95"/>
      <c r="AY442" s="95"/>
      <c r="AZ442" s="95"/>
      <c r="BA442" s="95"/>
      <c r="BB442" s="95"/>
      <c r="BC442" s="95"/>
      <c r="BD442" s="95"/>
      <c r="BE442" s="95"/>
      <c r="BF442" s="95"/>
      <c r="BG442" s="95"/>
      <c r="BH442" s="95"/>
      <c r="BI442" s="95"/>
      <c r="BJ442" s="95"/>
      <c r="BK442" s="95"/>
      <c r="BL442" s="95"/>
    </row>
    <row r="443" customFormat="false" ht="12.45" hidden="true" customHeight="true" outlineLevel="0" collapsed="false">
      <c r="A443" s="151"/>
      <c r="B443" s="122"/>
      <c r="C443" s="151"/>
      <c r="D443" s="151"/>
      <c r="E443" s="151"/>
      <c r="F443" s="151"/>
      <c r="G443" s="151"/>
      <c r="H443" s="151"/>
      <c r="I443" s="151"/>
      <c r="J443" s="151"/>
      <c r="K443" s="151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  <c r="AL443" s="95"/>
      <c r="AM443" s="95"/>
      <c r="AN443" s="95"/>
      <c r="AO443" s="95"/>
      <c r="AP443" s="95"/>
      <c r="AQ443" s="95"/>
      <c r="AR443" s="95"/>
      <c r="AS443" s="95"/>
      <c r="AT443" s="95"/>
      <c r="AU443" s="95"/>
      <c r="AV443" s="95"/>
      <c r="AW443" s="95"/>
      <c r="AX443" s="95"/>
      <c r="AY443" s="95"/>
      <c r="AZ443" s="95"/>
      <c r="BA443" s="95"/>
      <c r="BB443" s="95"/>
      <c r="BC443" s="95"/>
      <c r="BD443" s="95"/>
      <c r="BE443" s="95"/>
      <c r="BF443" s="95"/>
      <c r="BG443" s="95"/>
      <c r="BH443" s="95"/>
      <c r="BI443" s="95"/>
      <c r="BJ443" s="95"/>
      <c r="BK443" s="95"/>
      <c r="BL443" s="95"/>
    </row>
    <row r="444" customFormat="false" ht="12.8" hidden="true" customHeight="false" outlineLevel="0" collapsed="false">
      <c r="A444" s="303" t="s">
        <v>223</v>
      </c>
      <c r="B444" s="304" t="str">
        <f aca="false">IF(B403&lt;&gt;0,'Данные по римским RS'!$D$5,"")</f>
        <v/>
      </c>
      <c r="C444" s="304" t="str">
        <f aca="false">IF(C403&lt;&gt;0,'Данные по римским RS'!$D$5,"")</f>
        <v/>
      </c>
      <c r="D444" s="304" t="str">
        <f aca="false">IF(D403&lt;&gt;0,'Данные по римским RS'!$D$5,"")</f>
        <v/>
      </c>
      <c r="E444" s="304" t="str">
        <f aca="false">IF(E403&lt;&gt;0,'Данные по римским RS'!$D$5,"")</f>
        <v/>
      </c>
      <c r="F444" s="304" t="str">
        <f aca="false">IF(F403&lt;&gt;0,'Данные по римским RS'!$D$5,"")</f>
        <v/>
      </c>
      <c r="G444" s="304" t="str">
        <f aca="false">IF(G403&lt;&gt;0,'Данные по римским RS'!$D$5,"")</f>
        <v/>
      </c>
      <c r="H444" s="304" t="str">
        <f aca="false">IF(H403&lt;&gt;0,'Данные по римским RS'!$D$5,"")</f>
        <v/>
      </c>
      <c r="I444" s="304" t="str">
        <f aca="false">IF(I403&lt;&gt;0,'Данные по римским RS'!$D$5,"")</f>
        <v/>
      </c>
      <c r="J444" s="304" t="str">
        <f aca="false">IF(J403&lt;&gt;0,'Данные по римским RS'!$D$5,"")</f>
        <v/>
      </c>
      <c r="K444" s="304" t="str">
        <f aca="false">IF(K403&lt;&gt;0,'Данные по римским RS'!$D$5,"")</f>
        <v/>
      </c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  <c r="AL444" s="95"/>
      <c r="AM444" s="95"/>
      <c r="AN444" s="95"/>
      <c r="AO444" s="95"/>
      <c r="AP444" s="95"/>
      <c r="AQ444" s="95"/>
      <c r="AR444" s="95"/>
      <c r="AS444" s="95"/>
      <c r="AT444" s="95"/>
      <c r="AU444" s="95"/>
      <c r="AV444" s="95"/>
      <c r="AW444" s="95"/>
      <c r="AX444" s="95"/>
      <c r="AY444" s="95"/>
      <c r="AZ444" s="95"/>
      <c r="BA444" s="95"/>
      <c r="BB444" s="95"/>
      <c r="BC444" s="95"/>
      <c r="BD444" s="95"/>
      <c r="BE444" s="95"/>
      <c r="BF444" s="95"/>
      <c r="BG444" s="95"/>
      <c r="BH444" s="95"/>
      <c r="BI444" s="95"/>
      <c r="BJ444" s="95"/>
      <c r="BK444" s="95"/>
      <c r="BL444" s="95"/>
    </row>
    <row r="445" customFormat="false" ht="46.8" hidden="true" customHeight="true" outlineLevel="0" collapsed="false">
      <c r="A445" s="303" t="s">
        <v>17</v>
      </c>
      <c r="B445" s="304" t="str">
        <f aca="false">IF(B403="","",IF(B418="","","Управление - "&amp;VLOOKUP(B418,'Данные по римским RS'!$F$50:$I$64,4,0)&amp;"."))</f>
        <v/>
      </c>
      <c r="C445" s="304" t="str">
        <f aca="false">IF(C403="","",IF(C418="","","Управление - "&amp;VLOOKUP(C418,'Данные по римским RS'!$F$50:$I$64,4,0)&amp;"."))</f>
        <v/>
      </c>
      <c r="D445" s="304" t="str">
        <f aca="false">IF(D403="","",IF(D418="","","Управление - "&amp;VLOOKUP(D418,'Данные по римским RS'!$F$50:$I$64,4,0)&amp;"."))</f>
        <v/>
      </c>
      <c r="E445" s="304" t="str">
        <f aca="false">IF(E403="","",IF(E418="","","Управление - "&amp;VLOOKUP(E418,'Данные по римским RS'!$F$50:$I$64,4,0)&amp;"."))</f>
        <v/>
      </c>
      <c r="F445" s="304" t="str">
        <f aca="false">IF(F403="","",IF(F418="","","Управление - "&amp;VLOOKUP(F418,'Данные по римским RS'!$F$50:$I$64,4,0)&amp;"."))</f>
        <v/>
      </c>
      <c r="G445" s="304" t="str">
        <f aca="false">IF(G403="","",IF(G418="","","Управление - "&amp;VLOOKUP(G418,'Данные по римским RS'!$F$50:$I$64,4,0)&amp;"."))</f>
        <v/>
      </c>
      <c r="H445" s="304" t="str">
        <f aca="false">IF(H403="","",IF(H418="","","Управление - "&amp;VLOOKUP(H418,'Данные по римским RS'!$F$50:$I$64,4,0)&amp;"."))</f>
        <v/>
      </c>
      <c r="I445" s="304" t="str">
        <f aca="false">IF(I403="","",IF(I418="","","Управление - "&amp;VLOOKUP(I418,'Данные по римским RS'!$F$50:$I$64,4,0)&amp;"."))</f>
        <v/>
      </c>
      <c r="J445" s="304" t="str">
        <f aca="false">IF(J403="","",IF(J418="","","Управление - "&amp;VLOOKUP(J418,'Данные по римским RS'!$F$50:$I$64,4,0)&amp;"."))</f>
        <v/>
      </c>
      <c r="K445" s="304" t="str">
        <f aca="false">IF(K403="","",IF(K418="","","Управление - "&amp;VLOOKUP(K418,'Данные по римским RS'!$F$50:$I$64,4,0)&amp;"."))</f>
        <v/>
      </c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  <c r="AL445" s="95"/>
      <c r="AM445" s="95"/>
      <c r="AN445" s="95"/>
      <c r="AO445" s="95"/>
      <c r="AP445" s="95"/>
      <c r="AQ445" s="95"/>
      <c r="AR445" s="95"/>
      <c r="AS445" s="95"/>
      <c r="AT445" s="95"/>
      <c r="AU445" s="95"/>
      <c r="AV445" s="95"/>
      <c r="AW445" s="95"/>
      <c r="AX445" s="95"/>
      <c r="AY445" s="95"/>
      <c r="AZ445" s="95"/>
      <c r="BA445" s="95"/>
      <c r="BB445" s="95"/>
      <c r="BC445" s="95"/>
      <c r="BD445" s="95"/>
      <c r="BE445" s="95"/>
      <c r="BF445" s="95"/>
      <c r="BG445" s="95"/>
      <c r="BH445" s="95"/>
      <c r="BI445" s="95"/>
      <c r="BJ445" s="95"/>
      <c r="BK445" s="95"/>
      <c r="BL445" s="95"/>
    </row>
    <row r="446" customFormat="false" ht="12.45" hidden="true" customHeight="true" outlineLevel="0" collapsed="false">
      <c r="A446" s="151"/>
      <c r="B446" s="221" t="str">
        <f aca="false">IF(B420="Да","Стеновые кронштейны. ","")</f>
        <v/>
      </c>
      <c r="C446" s="221" t="str">
        <f aca="false">IF(C420="Да","Стеновые кронштейны. ","")</f>
        <v/>
      </c>
      <c r="D446" s="221" t="str">
        <f aca="false">IF(D420="Да","Стеновые кронштейны. ","")</f>
        <v/>
      </c>
      <c r="E446" s="221" t="str">
        <f aca="false">IF(E420="Да","Стеновые кронштейны. ","")</f>
        <v/>
      </c>
      <c r="F446" s="221" t="str">
        <f aca="false">IF(F420="Да","Стеновые кронштейны. ","")</f>
        <v/>
      </c>
      <c r="G446" s="221" t="str">
        <f aca="false">IF(G420="Да","Стеновые кронштейны. ","")</f>
        <v/>
      </c>
      <c r="H446" s="221" t="str">
        <f aca="false">IF(H420="Да","Стеновые кронштейны. ","")</f>
        <v/>
      </c>
      <c r="I446" s="221" t="str">
        <f aca="false">IF(I420="Да","Стеновые кронштейны. ","")</f>
        <v/>
      </c>
      <c r="J446" s="221" t="str">
        <f aca="false">IF(J420="Да","Стеновые кронштейны. ","")</f>
        <v/>
      </c>
      <c r="K446" s="221" t="str">
        <f aca="false">IF(K420="Да","Стеновые кронштейны. ","")</f>
        <v/>
      </c>
      <c r="L446" s="305"/>
      <c r="M446" s="305"/>
      <c r="N446" s="305"/>
      <c r="O446" s="30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  <c r="AL446" s="95"/>
      <c r="AM446" s="95"/>
      <c r="AN446" s="95"/>
      <c r="AO446" s="95"/>
      <c r="AP446" s="95"/>
      <c r="AQ446" s="95"/>
      <c r="AR446" s="95"/>
      <c r="AS446" s="95"/>
      <c r="AT446" s="95"/>
      <c r="AU446" s="95"/>
      <c r="AV446" s="95"/>
      <c r="AW446" s="95"/>
      <c r="AX446" s="95"/>
      <c r="AY446" s="95"/>
      <c r="AZ446" s="95"/>
      <c r="BA446" s="95"/>
      <c r="BB446" s="95"/>
      <c r="BC446" s="95"/>
      <c r="BD446" s="95"/>
      <c r="BE446" s="95"/>
      <c r="BF446" s="95"/>
      <c r="BG446" s="95"/>
      <c r="BH446" s="95"/>
      <c r="BI446" s="95"/>
      <c r="BJ446" s="95"/>
      <c r="BK446" s="95"/>
      <c r="BL446" s="95"/>
    </row>
    <row r="447" customFormat="false" ht="12.45" hidden="true" customHeight="true" outlineLevel="0" collapsed="false">
      <c r="A447" s="151"/>
      <c r="B447" s="221" t="str">
        <f aca="false">IF(B428=0,"","Стержни фиберглассовые. ")</f>
        <v/>
      </c>
      <c r="C447" s="221" t="str">
        <f aca="false">IF(C428=0,"","Стержни фиберглассовые. ")</f>
        <v/>
      </c>
      <c r="D447" s="221" t="str">
        <f aca="false">IF(D428=0,"","Стержни фиберглассовые. ")</f>
        <v/>
      </c>
      <c r="E447" s="221" t="str">
        <f aca="false">IF(E428=0,"","Стержни фиберглассовые. ")</f>
        <v/>
      </c>
      <c r="F447" s="221" t="str">
        <f aca="false">IF(F428=0,"","Стержни фиберглассовые. ")</f>
        <v/>
      </c>
      <c r="G447" s="221" t="str">
        <f aca="false">IF(G428=0,"","Стержни фиберглассовые. ")</f>
        <v/>
      </c>
      <c r="H447" s="221" t="str">
        <f aca="false">IF(H428=0,"","Стержни фиберглассовые. ")</f>
        <v/>
      </c>
      <c r="I447" s="221" t="str">
        <f aca="false">IF(I428=0,"","Стержни фиберглассовые. ")</f>
        <v/>
      </c>
      <c r="J447" s="221" t="str">
        <f aca="false">IF(J428=0,"","Стержни фиберглассовые. ")</f>
        <v/>
      </c>
      <c r="K447" s="221" t="str">
        <f aca="false">IF(K428=0,"","Стержни фиберглассовые. ")</f>
        <v/>
      </c>
      <c r="L447" s="305"/>
      <c r="M447" s="305"/>
      <c r="N447" s="305"/>
      <c r="O447" s="30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  <c r="AL447" s="95"/>
      <c r="AM447" s="95"/>
      <c r="AN447" s="95"/>
      <c r="AO447" s="95"/>
      <c r="AP447" s="95"/>
      <c r="AQ447" s="95"/>
      <c r="AR447" s="95"/>
      <c r="AS447" s="95"/>
      <c r="AT447" s="95"/>
      <c r="AU447" s="95"/>
      <c r="AV447" s="95"/>
      <c r="AW447" s="95"/>
      <c r="AX447" s="95"/>
      <c r="AY447" s="95"/>
      <c r="AZ447" s="95"/>
      <c r="BA447" s="95"/>
      <c r="BB447" s="95"/>
      <c r="BC447" s="95"/>
      <c r="BD447" s="95"/>
      <c r="BE447" s="95"/>
      <c r="BF447" s="95"/>
      <c r="BG447" s="95"/>
      <c r="BH447" s="95"/>
      <c r="BI447" s="95"/>
      <c r="BJ447" s="95"/>
      <c r="BK447" s="95"/>
      <c r="BL447" s="95"/>
    </row>
    <row r="448" customFormat="false" ht="12.45" hidden="true" customHeight="true" outlineLevel="0" collapsed="false">
      <c r="A448" s="151"/>
      <c r="B448" s="221" t="str">
        <f aca="false">IF(B433="","",VLOOKUP(B433,'Данные по римским RS'!$F$41:$M$42,8,0))</f>
        <v/>
      </c>
      <c r="C448" s="221" t="str">
        <f aca="false">IF(C433="","",VLOOKUP(C433,'Данные по римским RS'!$F$41:$M$42,8,0))</f>
        <v/>
      </c>
      <c r="D448" s="221" t="str">
        <f aca="false">IF(D433="","",VLOOKUP(D433,'Данные по римским RS'!$F$41:$M$42,8,0))</f>
        <v/>
      </c>
      <c r="E448" s="221" t="str">
        <f aca="false">IF(E433="","",VLOOKUP(E433,'Данные по римским RS'!$F$41:$M$42,8,0))</f>
        <v/>
      </c>
      <c r="F448" s="221" t="str">
        <f aca="false">IF(F433="","",VLOOKUP(F433,'Данные по римским RS'!$F$41:$M$42,8,0))</f>
        <v/>
      </c>
      <c r="G448" s="221" t="str">
        <f aca="false">IF(G433="","",VLOOKUP(G433,'Данные по римским RS'!$F$41:$M$42,8,0))</f>
        <v/>
      </c>
      <c r="H448" s="221" t="str">
        <f aca="false">IF(H433="","",VLOOKUP(H433,'Данные по римским RS'!$F$41:$M$42,8,0))</f>
        <v/>
      </c>
      <c r="I448" s="221" t="str">
        <f aca="false">IF(I433="","",VLOOKUP(I433,'Данные по римским RS'!$F$41:$M$42,8,0))</f>
        <v/>
      </c>
      <c r="J448" s="221" t="str">
        <f aca="false">IF(J433="","",VLOOKUP(J433,'Данные по римским RS'!$F$41:$M$42,8,0))</f>
        <v/>
      </c>
      <c r="K448" s="221" t="str">
        <f aca="false">IF(K433="","",VLOOKUP(K433,'Данные по римским RS'!$F$41:$M$42,8,0))</f>
        <v/>
      </c>
      <c r="L448" s="305"/>
      <c r="M448" s="305"/>
      <c r="N448" s="305"/>
      <c r="O448" s="30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  <c r="AL448" s="95"/>
      <c r="AM448" s="95"/>
      <c r="AN448" s="95"/>
      <c r="AO448" s="95"/>
      <c r="AP448" s="95"/>
      <c r="AQ448" s="95"/>
      <c r="AR448" s="95"/>
      <c r="AS448" s="95"/>
      <c r="AT448" s="95"/>
      <c r="AU448" s="95"/>
      <c r="AV448" s="95"/>
      <c r="AW448" s="95"/>
      <c r="AX448" s="95"/>
      <c r="AY448" s="95"/>
      <c r="AZ448" s="95"/>
      <c r="BA448" s="95"/>
      <c r="BB448" s="95"/>
      <c r="BC448" s="95"/>
      <c r="BD448" s="95"/>
      <c r="BE448" s="95"/>
      <c r="BF448" s="95"/>
      <c r="BG448" s="95"/>
      <c r="BH448" s="95"/>
      <c r="BI448" s="95"/>
      <c r="BJ448" s="95"/>
      <c r="BK448" s="95"/>
      <c r="BL448" s="95"/>
    </row>
    <row r="449" customFormat="false" ht="12.45" hidden="true" customHeight="true" outlineLevel="0" collapsed="false">
      <c r="A449" s="151"/>
      <c r="B449" s="221" t="str">
        <f aca="false">IF(B403="","","Кол-во нитей - "&amp;B409&amp;". ")</f>
        <v/>
      </c>
      <c r="C449" s="221" t="str">
        <f aca="false">IF(C403="","","Кол-во нитей - "&amp;C409&amp;". ")</f>
        <v/>
      </c>
      <c r="D449" s="221" t="str">
        <f aca="false">IF(D403="","","Кол-во нитей - "&amp;D409&amp;". ")</f>
        <v/>
      </c>
      <c r="E449" s="221" t="str">
        <f aca="false">IF(E403="","","Кол-во нитей - "&amp;E409&amp;". ")</f>
        <v/>
      </c>
      <c r="F449" s="221" t="str">
        <f aca="false">IF(F403="","","Кол-во нитей - "&amp;F409&amp;". ")</f>
        <v/>
      </c>
      <c r="G449" s="221" t="str">
        <f aca="false">IF(G403="","","Кол-во нитей - "&amp;G409&amp;". ")</f>
        <v/>
      </c>
      <c r="H449" s="221" t="str">
        <f aca="false">IF(H403="","","Кол-во нитей - "&amp;H409&amp;". ")</f>
        <v/>
      </c>
      <c r="I449" s="221" t="str">
        <f aca="false">IF(I403="","","Кол-во нитей - "&amp;I409&amp;". ")</f>
        <v/>
      </c>
      <c r="J449" s="221" t="str">
        <f aca="false">IF(J403="","","Кол-во нитей - "&amp;J409&amp;". ")</f>
        <v/>
      </c>
      <c r="K449" s="221" t="str">
        <f aca="false">IF(K403="","","Кол-во нитей - "&amp;K409&amp;". ")</f>
        <v/>
      </c>
      <c r="L449" s="305"/>
      <c r="M449" s="305"/>
      <c r="N449" s="305"/>
      <c r="O449" s="30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  <c r="AL449" s="95"/>
      <c r="AM449" s="95"/>
      <c r="AN449" s="95"/>
      <c r="AO449" s="95"/>
      <c r="AP449" s="95"/>
      <c r="AQ449" s="95"/>
      <c r="AR449" s="95"/>
      <c r="AS449" s="95"/>
      <c r="AT449" s="95"/>
      <c r="AU449" s="95"/>
      <c r="AV449" s="95"/>
      <c r="AW449" s="95"/>
      <c r="AX449" s="95"/>
      <c r="AY449" s="95"/>
      <c r="AZ449" s="95"/>
      <c r="BA449" s="95"/>
      <c r="BB449" s="95"/>
      <c r="BC449" s="95"/>
      <c r="BD449" s="95"/>
      <c r="BE449" s="95"/>
      <c r="BF449" s="95"/>
      <c r="BG449" s="95"/>
      <c r="BH449" s="95"/>
      <c r="BI449" s="95"/>
      <c r="BJ449" s="95"/>
      <c r="BK449" s="95"/>
      <c r="BL449" s="95"/>
    </row>
    <row r="450" customFormat="false" ht="12.45" hidden="true" customHeight="true" outlineLevel="0" collapsed="false">
      <c r="A450" s="151"/>
      <c r="B450" s="221" t="str">
        <f aca="false">B446&amp;B447&amp;B448&amp;B449</f>
        <v/>
      </c>
      <c r="C450" s="221" t="str">
        <f aca="false">C446&amp;C447&amp;C448&amp;C449</f>
        <v/>
      </c>
      <c r="D450" s="221" t="str">
        <f aca="false">D446&amp;D447&amp;D448&amp;D449</f>
        <v/>
      </c>
      <c r="E450" s="221" t="str">
        <f aca="false">E446&amp;E447&amp;E448&amp;E449</f>
        <v/>
      </c>
      <c r="F450" s="221" t="str">
        <f aca="false">F446&amp;F447&amp;F448&amp;F449</f>
        <v/>
      </c>
      <c r="G450" s="221" t="str">
        <f aca="false">G446&amp;G447&amp;G448&amp;G449</f>
        <v/>
      </c>
      <c r="H450" s="221" t="str">
        <f aca="false">H446&amp;H447&amp;H448&amp;H449</f>
        <v/>
      </c>
      <c r="I450" s="221" t="str">
        <f aca="false">I446&amp;I447&amp;I448&amp;I449</f>
        <v/>
      </c>
      <c r="J450" s="221" t="str">
        <f aca="false">J446&amp;J447&amp;J448&amp;J449</f>
        <v/>
      </c>
      <c r="K450" s="221" t="str">
        <f aca="false">K446&amp;K447&amp;K448&amp;K449</f>
        <v/>
      </c>
      <c r="L450" s="305"/>
      <c r="M450" s="305"/>
      <c r="N450" s="305"/>
      <c r="O450" s="30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  <c r="AL450" s="95"/>
      <c r="AM450" s="95"/>
      <c r="AN450" s="95"/>
      <c r="AO450" s="95"/>
      <c r="AP450" s="95"/>
      <c r="AQ450" s="95"/>
      <c r="AR450" s="95"/>
      <c r="AS450" s="95"/>
      <c r="AT450" s="95"/>
      <c r="AU450" s="95"/>
      <c r="AV450" s="95"/>
      <c r="AW450" s="95"/>
      <c r="AX450" s="95"/>
      <c r="AY450" s="95"/>
      <c r="AZ450" s="95"/>
      <c r="BA450" s="95"/>
      <c r="BB450" s="95"/>
      <c r="BC450" s="95"/>
      <c r="BD450" s="95"/>
      <c r="BE450" s="95"/>
      <c r="BF450" s="95"/>
      <c r="BG450" s="95"/>
      <c r="BH450" s="95"/>
      <c r="BI450" s="95"/>
      <c r="BJ450" s="95"/>
      <c r="BK450" s="95"/>
      <c r="BL450" s="95"/>
    </row>
    <row r="451" customFormat="false" ht="69.15" hidden="true" customHeight="true" outlineLevel="0" collapsed="false">
      <c r="A451" s="151"/>
      <c r="B451" s="306" t="str">
        <f aca="false">B444&amp;B445</f>
        <v/>
      </c>
      <c r="C451" s="306" t="str">
        <f aca="false">C444&amp;C445</f>
        <v/>
      </c>
      <c r="D451" s="306" t="str">
        <f aca="false">D444&amp;D445</f>
        <v/>
      </c>
      <c r="E451" s="306" t="str">
        <f aca="false">E444&amp;E445</f>
        <v/>
      </c>
      <c r="F451" s="306" t="str">
        <f aca="false">F444&amp;F445</f>
        <v/>
      </c>
      <c r="G451" s="306" t="str">
        <f aca="false">G444&amp;G445</f>
        <v/>
      </c>
      <c r="H451" s="306" t="str">
        <f aca="false">H444&amp;H445</f>
        <v/>
      </c>
      <c r="I451" s="306" t="str">
        <f aca="false">I444&amp;I445</f>
        <v/>
      </c>
      <c r="J451" s="306" t="str">
        <f aca="false">J444&amp;J445</f>
        <v/>
      </c>
      <c r="K451" s="306" t="str">
        <f aca="false">K444&amp;K445</f>
        <v/>
      </c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  <c r="AL451" s="95"/>
      <c r="AM451" s="95"/>
      <c r="AN451" s="95"/>
      <c r="AO451" s="95"/>
      <c r="AP451" s="95"/>
      <c r="AQ451" s="95"/>
      <c r="AR451" s="95"/>
      <c r="AS451" s="95"/>
      <c r="AT451" s="95"/>
      <c r="AU451" s="95"/>
      <c r="AV451" s="95"/>
      <c r="AW451" s="95"/>
      <c r="AX451" s="95"/>
      <c r="AY451" s="95"/>
      <c r="AZ451" s="95"/>
      <c r="BA451" s="95"/>
      <c r="BB451" s="95"/>
      <c r="BC451" s="95"/>
      <c r="BD451" s="95"/>
      <c r="BE451" s="95"/>
      <c r="BF451" s="95"/>
      <c r="BG451" s="95"/>
      <c r="BH451" s="95"/>
      <c r="BI451" s="95"/>
      <c r="BJ451" s="95"/>
      <c r="BK451" s="95"/>
      <c r="BL451" s="95"/>
    </row>
    <row r="452" customFormat="false" ht="12.45" hidden="true" customHeight="tru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/>
      <c r="R452" s="0"/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  <c r="BC452" s="0"/>
      <c r="BD452" s="0"/>
      <c r="BE452" s="0"/>
      <c r="BF452" s="0"/>
      <c r="BG452" s="0"/>
      <c r="BH452" s="0"/>
      <c r="BI452" s="0"/>
      <c r="BJ452" s="0"/>
      <c r="BK452" s="0"/>
      <c r="BL452" s="0"/>
    </row>
    <row r="453" customFormat="false" ht="12.45" hidden="false" customHeight="true" outlineLevel="0" collapsed="false">
      <c r="A453" s="151"/>
      <c r="B453" s="122"/>
      <c r="C453" s="151"/>
      <c r="D453" s="151"/>
      <c r="E453" s="151"/>
      <c r="F453" s="151"/>
      <c r="G453" s="151"/>
      <c r="H453" s="151"/>
      <c r="I453" s="151"/>
      <c r="J453" s="151"/>
      <c r="K453" s="151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  <c r="AL453" s="95"/>
      <c r="AM453" s="95"/>
      <c r="AN453" s="95"/>
      <c r="AO453" s="95"/>
      <c r="AP453" s="95"/>
      <c r="AQ453" s="95"/>
      <c r="AR453" s="95"/>
      <c r="AS453" s="95"/>
      <c r="AT453" s="95"/>
      <c r="AU453" s="95"/>
      <c r="AV453" s="95"/>
      <c r="AW453" s="95"/>
      <c r="AX453" s="95"/>
      <c r="AY453" s="95"/>
      <c r="AZ453" s="95"/>
      <c r="BA453" s="95"/>
      <c r="BB453" s="95"/>
      <c r="BC453" s="95"/>
      <c r="BD453" s="95"/>
      <c r="BE453" s="95"/>
      <c r="BF453" s="95"/>
      <c r="BG453" s="95"/>
      <c r="BH453" s="95"/>
      <c r="BI453" s="95"/>
      <c r="BJ453" s="95"/>
      <c r="BK453" s="95"/>
      <c r="BL453" s="95"/>
    </row>
    <row r="454" customFormat="false" ht="21.1" hidden="false" customHeight="true" outlineLevel="0" collapsed="false">
      <c r="A454" s="121" t="s">
        <v>193</v>
      </c>
      <c r="B454" s="121"/>
      <c r="C454" s="121"/>
      <c r="D454" s="121"/>
      <c r="E454" s="121"/>
      <c r="F454" s="122"/>
      <c r="G454" s="233"/>
      <c r="H454" s="95"/>
      <c r="I454" s="95"/>
      <c r="J454" s="151"/>
      <c r="K454" s="151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  <c r="AL454" s="95"/>
      <c r="AM454" s="95"/>
      <c r="AN454" s="95"/>
      <c r="AO454" s="95"/>
      <c r="AP454" s="95"/>
      <c r="AQ454" s="95"/>
      <c r="AR454" s="95"/>
      <c r="AS454" s="95"/>
      <c r="AT454" s="95"/>
      <c r="AU454" s="95"/>
      <c r="AV454" s="95"/>
      <c r="AW454" s="95"/>
      <c r="AX454" s="95"/>
      <c r="AY454" s="95"/>
      <c r="AZ454" s="95"/>
      <c r="BA454" s="95"/>
      <c r="BB454" s="95"/>
      <c r="BC454" s="95"/>
      <c r="BD454" s="95"/>
      <c r="BE454" s="95"/>
      <c r="BF454" s="95"/>
      <c r="BG454" s="95"/>
      <c r="BH454" s="95"/>
      <c r="BI454" s="95"/>
      <c r="BJ454" s="95"/>
      <c r="BK454" s="95"/>
      <c r="BL454" s="95"/>
    </row>
    <row r="455" customFormat="false" ht="12.45" hidden="false" customHeight="true" outlineLevel="0" collapsed="false">
      <c r="A455" s="124" t="s">
        <v>100</v>
      </c>
      <c r="B455" s="125" t="s">
        <v>101</v>
      </c>
      <c r="C455" s="125" t="s">
        <v>102</v>
      </c>
      <c r="D455" s="125" t="s">
        <v>103</v>
      </c>
      <c r="E455" s="125" t="s">
        <v>104</v>
      </c>
      <c r="F455" s="125" t="s">
        <v>105</v>
      </c>
      <c r="G455" s="246" t="s">
        <v>98</v>
      </c>
      <c r="H455" s="247" t="s">
        <v>99</v>
      </c>
      <c r="I455" s="95"/>
      <c r="J455" s="151"/>
      <c r="K455" s="151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  <c r="AL455" s="95"/>
      <c r="AM455" s="95"/>
      <c r="AN455" s="95"/>
      <c r="AO455" s="95"/>
      <c r="AP455" s="95"/>
      <c r="AQ455" s="95"/>
      <c r="AR455" s="95"/>
      <c r="AS455" s="95"/>
      <c r="AT455" s="95"/>
      <c r="AU455" s="95"/>
      <c r="AV455" s="95"/>
      <c r="AW455" s="95"/>
      <c r="AX455" s="95"/>
      <c r="AY455" s="95"/>
      <c r="AZ455" s="95"/>
      <c r="BA455" s="95"/>
      <c r="BB455" s="95"/>
      <c r="BC455" s="95"/>
      <c r="BD455" s="95"/>
      <c r="BE455" s="95"/>
      <c r="BF455" s="95"/>
      <c r="BG455" s="95"/>
      <c r="BH455" s="95"/>
      <c r="BI455" s="95"/>
      <c r="BJ455" s="95"/>
      <c r="BK455" s="95"/>
      <c r="BL455" s="95"/>
    </row>
    <row r="456" customFormat="false" ht="31.2" hidden="false" customHeight="true" outlineLevel="0" collapsed="false">
      <c r="A456" s="127" t="e">
        <f aca="false">VLOOKUP(B441,'Управление и питание'!$C$66:$H$67,6,0)</f>
        <v>#N/A</v>
      </c>
      <c r="B456" s="128"/>
      <c r="C456" s="128"/>
      <c r="D456" s="128"/>
      <c r="E456" s="129" t="e">
        <f aca="false">B442</f>
        <v>#N/A</v>
      </c>
      <c r="F456" s="194" t="str">
        <f aca="false">IF(B456&lt;=0,"не указано кол-во",B456*E456)</f>
        <v>не указано кол-во</v>
      </c>
      <c r="G456" s="248" t="s">
        <v>106</v>
      </c>
      <c r="H456" s="248"/>
      <c r="I456" s="248"/>
      <c r="J456" s="151"/>
      <c r="K456" s="151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  <c r="AL456" s="95"/>
      <c r="AM456" s="95"/>
      <c r="AN456" s="95"/>
      <c r="AO456" s="95"/>
      <c r="AP456" s="95"/>
      <c r="AQ456" s="95"/>
      <c r="AR456" s="95"/>
      <c r="AS456" s="95"/>
      <c r="AT456" s="95"/>
      <c r="AU456" s="95"/>
      <c r="AV456" s="95"/>
      <c r="AW456" s="95"/>
      <c r="AX456" s="95"/>
      <c r="AY456" s="95"/>
      <c r="AZ456" s="95"/>
      <c r="BA456" s="95"/>
      <c r="BB456" s="95"/>
      <c r="BC456" s="95"/>
      <c r="BD456" s="95"/>
      <c r="BE456" s="95"/>
      <c r="BF456" s="95"/>
      <c r="BG456" s="95"/>
      <c r="BH456" s="95"/>
      <c r="BI456" s="95"/>
      <c r="BJ456" s="95"/>
      <c r="BK456" s="95"/>
      <c r="BL456" s="95"/>
    </row>
    <row r="457" customFormat="false" ht="17" hidden="false" customHeight="true" outlineLevel="0" collapsed="false">
      <c r="A457" s="127" t="e">
        <f aca="false">VLOOKUP(D441,'Управление и питание'!$C$66:$H$67,6,0)</f>
        <v>#N/A</v>
      </c>
      <c r="B457" s="128"/>
      <c r="C457" s="128"/>
      <c r="D457" s="128"/>
      <c r="E457" s="129" t="e">
        <f aca="false">D442</f>
        <v>#N/A</v>
      </c>
      <c r="F457" s="194" t="str">
        <f aca="false">IF(B457&lt;=0,"не указано кол-во",B457*E457)</f>
        <v>не указано кол-во</v>
      </c>
      <c r="G457" s="248" t="s">
        <v>106</v>
      </c>
      <c r="H457" s="248"/>
      <c r="I457" s="248"/>
      <c r="J457" s="267"/>
      <c r="K457" s="267"/>
    </row>
    <row r="458" customFormat="false" ht="104.45" hidden="false" customHeight="true" outlineLevel="0" collapsed="false">
      <c r="A458" s="132" t="str">
        <f aca="false">B451</f>
        <v/>
      </c>
      <c r="B458" s="268"/>
      <c r="C458" s="269" t="str">
        <f aca="false">B403*1000&amp;" мм"</f>
        <v>0 мм</v>
      </c>
      <c r="D458" s="134" t="str">
        <f aca="false">B450</f>
        <v/>
      </c>
      <c r="E458" s="270" t="e">
        <f aca="false">B437</f>
        <v>#VALUE!</v>
      </c>
      <c r="F458" s="194" t="str">
        <f aca="false">IF(B458&lt;=0,"не указано кол-во",B458*E458)</f>
        <v>не указано кол-во</v>
      </c>
      <c r="G458" s="271" t="str">
        <f aca="false">IF(B458=0,"нет кол-ва",IF(ISNUMBER(B439),B439,""))</f>
        <v>нет кол-ва</v>
      </c>
      <c r="H458" s="272" t="str">
        <f aca="false">IF(ISNUMBER(G458),G458*B458,G458)</f>
        <v>нет кол-ва</v>
      </c>
      <c r="I458" s="252" t="s">
        <v>176</v>
      </c>
      <c r="J458" s="267"/>
      <c r="K458" s="267"/>
    </row>
    <row r="459" customFormat="false" ht="56.95" hidden="false" customHeight="true" outlineLevel="0" collapsed="false">
      <c r="A459" s="132" t="str">
        <f aca="false">C451</f>
        <v/>
      </c>
      <c r="B459" s="268"/>
      <c r="C459" s="269" t="str">
        <f aca="false">C403*1000&amp;" мм"</f>
        <v>0 мм</v>
      </c>
      <c r="D459" s="134" t="str">
        <f aca="false">C450</f>
        <v/>
      </c>
      <c r="E459" s="270" t="e">
        <f aca="false">C437</f>
        <v>#N/A</v>
      </c>
      <c r="F459" s="194" t="str">
        <f aca="false">IF(B459&lt;=0,"не указано кол-во",B459*E459)</f>
        <v>не указано кол-во</v>
      </c>
      <c r="G459" s="271" t="str">
        <f aca="false">IF(B459=0,"нет кол-ва",IF(ISNUMBER(C439),C439,""))</f>
        <v>нет кол-ва</v>
      </c>
      <c r="H459" s="273" t="str">
        <f aca="false">IF(ISNUMBER(G459),G459*B459,G459)</f>
        <v>нет кол-ва</v>
      </c>
      <c r="I459" s="252" t="s">
        <v>177</v>
      </c>
      <c r="J459" s="267"/>
      <c r="K459" s="267"/>
    </row>
    <row r="460" customFormat="false" ht="45.45" hidden="false" customHeight="true" outlineLevel="0" collapsed="false">
      <c r="A460" s="132" t="str">
        <f aca="false">D451</f>
        <v/>
      </c>
      <c r="B460" s="268"/>
      <c r="C460" s="269" t="str">
        <f aca="false">D403*1000&amp;" мм"</f>
        <v>0 мм</v>
      </c>
      <c r="D460" s="134" t="str">
        <f aca="false">D450</f>
        <v/>
      </c>
      <c r="E460" s="270" t="e">
        <f aca="false">D437</f>
        <v>#N/A</v>
      </c>
      <c r="F460" s="194" t="str">
        <f aca="false">IF(B460&lt;=0,"не указано кол-во",B460*E460)</f>
        <v>не указано кол-во</v>
      </c>
      <c r="G460" s="271" t="str">
        <f aca="false">IF(B460=0,"нет кол-ва",IF(ISNUMBER(D439),D439,""))</f>
        <v>нет кол-ва</v>
      </c>
      <c r="H460" s="273" t="str">
        <f aca="false">IF(ISNUMBER(G460),G460*B460,G460)</f>
        <v>нет кол-ва</v>
      </c>
      <c r="I460" s="252" t="s">
        <v>178</v>
      </c>
      <c r="J460" s="267"/>
      <c r="K460" s="267"/>
    </row>
    <row r="461" customFormat="false" ht="17" hidden="false" customHeight="true" outlineLevel="0" collapsed="false">
      <c r="A461" s="132" t="str">
        <f aca="false">E451</f>
        <v/>
      </c>
      <c r="B461" s="268"/>
      <c r="C461" s="269" t="str">
        <f aca="false">E403*1000&amp;" мм"</f>
        <v>0 мм</v>
      </c>
      <c r="D461" s="134" t="str">
        <f aca="false">E450</f>
        <v/>
      </c>
      <c r="E461" s="270" t="e">
        <f aca="false">E437</f>
        <v>#N/A</v>
      </c>
      <c r="F461" s="194" t="str">
        <f aca="false">IF(B461&lt;=0,"не указано кол-во",B461*E461)</f>
        <v>не указано кол-во</v>
      </c>
      <c r="G461" s="271" t="str">
        <f aca="false">IF(B461=0,"нет кол-ва",IF(ISNUMBER(E439),E439,""))</f>
        <v>нет кол-ва</v>
      </c>
      <c r="H461" s="273" t="str">
        <f aca="false">IF(ISNUMBER(G461),G461*B461,G461)</f>
        <v>нет кол-ва</v>
      </c>
      <c r="I461" s="252" t="s">
        <v>179</v>
      </c>
      <c r="J461" s="267"/>
      <c r="K461" s="267"/>
    </row>
    <row r="462" customFormat="false" ht="17" hidden="false" customHeight="true" outlineLevel="0" collapsed="false">
      <c r="A462" s="132" t="str">
        <f aca="false">F451</f>
        <v/>
      </c>
      <c r="B462" s="268"/>
      <c r="C462" s="269" t="str">
        <f aca="false">F403*1000&amp;" мм"</f>
        <v>0 мм</v>
      </c>
      <c r="D462" s="134" t="str">
        <f aca="false">F450</f>
        <v/>
      </c>
      <c r="E462" s="270" t="e">
        <f aca="false">F437</f>
        <v>#N/A</v>
      </c>
      <c r="F462" s="194" t="str">
        <f aca="false">IF(B462&lt;=0,"не указано кол-во",B462*E462)</f>
        <v>не указано кол-во</v>
      </c>
      <c r="G462" s="271" t="str">
        <f aca="false">IF(B462=0,"нет кол-ва",IF(ISNUMBER(F439),F439,""))</f>
        <v>нет кол-ва</v>
      </c>
      <c r="H462" s="273" t="str">
        <f aca="false">IF(ISNUMBER(G462),G462*B462,G462)</f>
        <v>нет кол-ва</v>
      </c>
      <c r="I462" s="252" t="s">
        <v>180</v>
      </c>
      <c r="J462" s="267"/>
      <c r="K462" s="267"/>
    </row>
    <row r="463" customFormat="false" ht="17" hidden="false" customHeight="true" outlineLevel="0" collapsed="false">
      <c r="A463" s="132" t="str">
        <f aca="false">G451</f>
        <v/>
      </c>
      <c r="B463" s="268"/>
      <c r="C463" s="269" t="str">
        <f aca="false">G403*1000&amp;" мм"</f>
        <v>0 мм</v>
      </c>
      <c r="D463" s="134" t="str">
        <f aca="false">G450</f>
        <v/>
      </c>
      <c r="E463" s="270" t="e">
        <f aca="false">G437</f>
        <v>#N/A</v>
      </c>
      <c r="F463" s="194" t="str">
        <f aca="false">IF(B463&lt;=0,"не указано кол-во",B463*E463)</f>
        <v>не указано кол-во</v>
      </c>
      <c r="G463" s="271" t="str">
        <f aca="false">IF(B463=0,"нет кол-ва",IF(ISNUMBER(G439),G439,""))</f>
        <v>нет кол-ва</v>
      </c>
      <c r="H463" s="273" t="str">
        <f aca="false">IF(ISNUMBER(G463),G463*B463,G463)</f>
        <v>нет кол-ва</v>
      </c>
      <c r="I463" s="252" t="s">
        <v>181</v>
      </c>
    </row>
    <row r="464" customFormat="false" ht="17" hidden="false" customHeight="true" outlineLevel="0" collapsed="false">
      <c r="A464" s="132" t="str">
        <f aca="false">H451</f>
        <v/>
      </c>
      <c r="B464" s="268"/>
      <c r="C464" s="269" t="str">
        <f aca="false">H403*1000&amp;" мм"</f>
        <v>0 мм</v>
      </c>
      <c r="D464" s="134" t="str">
        <f aca="false">H450</f>
        <v/>
      </c>
      <c r="E464" s="270" t="e">
        <f aca="false">H437</f>
        <v>#N/A</v>
      </c>
      <c r="F464" s="194" t="str">
        <f aca="false">IF(B464&lt;=0,"не указано кол-во",B464*E464)</f>
        <v>не указано кол-во</v>
      </c>
      <c r="G464" s="271" t="str">
        <f aca="false">IF(B464=0,"нет кол-ва",IF(ISNUMBER(H439),H439,""))</f>
        <v>нет кол-ва</v>
      </c>
      <c r="H464" s="273" t="str">
        <f aca="false">IF(ISNUMBER(G464),G464*B464,G464)</f>
        <v>нет кол-ва</v>
      </c>
      <c r="I464" s="252" t="s">
        <v>182</v>
      </c>
    </row>
    <row r="465" customFormat="false" ht="17" hidden="false" customHeight="true" outlineLevel="0" collapsed="false">
      <c r="A465" s="132" t="str">
        <f aca="false">I451</f>
        <v/>
      </c>
      <c r="B465" s="268"/>
      <c r="C465" s="269" t="str">
        <f aca="false">I403*1000&amp;" мм"</f>
        <v>0 мм</v>
      </c>
      <c r="D465" s="134" t="str">
        <f aca="false">I450</f>
        <v/>
      </c>
      <c r="E465" s="270" t="e">
        <f aca="false">I437</f>
        <v>#N/A</v>
      </c>
      <c r="F465" s="194" t="str">
        <f aca="false">IF(B465&lt;=0,"не указано кол-во",B465*E465)</f>
        <v>не указано кол-во</v>
      </c>
      <c r="G465" s="271" t="str">
        <f aca="false">IF(B465=0,"нет кол-ва",IF(ISNUMBER(I439),I439,""))</f>
        <v>нет кол-ва</v>
      </c>
      <c r="H465" s="273" t="str">
        <f aca="false">IF(ISNUMBER(G465),G465*B465,G465)</f>
        <v>нет кол-ва</v>
      </c>
      <c r="I465" s="252" t="s">
        <v>183</v>
      </c>
    </row>
    <row r="466" customFormat="false" ht="17" hidden="false" customHeight="true" outlineLevel="0" collapsed="false">
      <c r="A466" s="132" t="str">
        <f aca="false">J451</f>
        <v/>
      </c>
      <c r="B466" s="268"/>
      <c r="C466" s="269" t="str">
        <f aca="false">J403*1000&amp;" мм"</f>
        <v>0 мм</v>
      </c>
      <c r="D466" s="134" t="str">
        <f aca="false">J450</f>
        <v/>
      </c>
      <c r="E466" s="270" t="e">
        <f aca="false">J437</f>
        <v>#N/A</v>
      </c>
      <c r="F466" s="194" t="str">
        <f aca="false">IF(B466&lt;=0,"не указано кол-во",B466*E466)</f>
        <v>не указано кол-во</v>
      </c>
      <c r="G466" s="271" t="str">
        <f aca="false">IF(B466=0,"нет кол-ва",IF(ISNUMBER(J439),J439,""))</f>
        <v>нет кол-ва</v>
      </c>
      <c r="H466" s="273" t="str">
        <f aca="false">IF(ISNUMBER(G466),G466*B466,G466)</f>
        <v>нет кол-ва</v>
      </c>
      <c r="I466" s="252" t="s">
        <v>184</v>
      </c>
    </row>
    <row r="467" customFormat="false" ht="77.3" hidden="false" customHeight="true" outlineLevel="0" collapsed="false">
      <c r="A467" s="132" t="str">
        <f aca="false">K451</f>
        <v/>
      </c>
      <c r="B467" s="268"/>
      <c r="C467" s="269" t="str">
        <f aca="false">K403*1000&amp;" мм"</f>
        <v>0 мм</v>
      </c>
      <c r="D467" s="134" t="str">
        <f aca="false">K450</f>
        <v/>
      </c>
      <c r="E467" s="270" t="e">
        <f aca="false">K437</f>
        <v>#N/A</v>
      </c>
      <c r="F467" s="194" t="str">
        <f aca="false">IF(B467&lt;=0,"не указано кол-во",B467*E467)</f>
        <v>не указано кол-во</v>
      </c>
      <c r="G467" s="271" t="str">
        <f aca="false">IF(B467=0,"нет кол-ва",IF(ISNUMBER(K439),K439,""))</f>
        <v>нет кол-ва</v>
      </c>
      <c r="H467" s="273" t="str">
        <f aca="false">IF(ISNUMBER(G467),G467*B467,G467)</f>
        <v>нет кол-ва</v>
      </c>
      <c r="I467" s="252" t="s">
        <v>185</v>
      </c>
    </row>
    <row r="468" customFormat="false" ht="12.45" hidden="false" customHeight="true" outlineLevel="0" collapsed="false">
      <c r="D468" s="144"/>
      <c r="E468" s="145" t="s">
        <v>84</v>
      </c>
      <c r="F468" s="146" t="n">
        <f aca="false">SUM(F456:F467)</f>
        <v>0</v>
      </c>
      <c r="G468" s="274"/>
      <c r="H468" s="274" t="n">
        <f aca="false">SUM(H458:H467)</f>
        <v>0</v>
      </c>
    </row>
    <row r="469" customFormat="false" ht="12.45" hidden="false" customHeight="true" outlineLevel="0" collapsed="false">
      <c r="A469" s="0"/>
      <c r="B469" s="0"/>
      <c r="C469" s="0"/>
      <c r="D469" s="145" t="s">
        <v>107</v>
      </c>
      <c r="E469" s="149"/>
      <c r="F469" s="146" t="n">
        <f aca="false">F468*E469</f>
        <v>0</v>
      </c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/>
      <c r="R469" s="0"/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  <c r="BC469" s="0"/>
      <c r="BD469" s="0"/>
      <c r="BE469" s="0"/>
      <c r="BF469" s="0"/>
      <c r="BG469" s="0"/>
      <c r="BH469" s="0"/>
      <c r="BI469" s="0"/>
      <c r="BJ469" s="0"/>
      <c r="BK469" s="0"/>
      <c r="BL469" s="0"/>
    </row>
    <row r="470" customFormat="false" ht="12.45" hidden="false" customHeight="true" outlineLevel="0" collapsed="false">
      <c r="D470" s="144"/>
      <c r="E470" s="145" t="s">
        <v>108</v>
      </c>
      <c r="F470" s="146" t="n">
        <f aca="false">F468-F469</f>
        <v>0</v>
      </c>
    </row>
  </sheetData>
  <mergeCells count="70">
    <mergeCell ref="C4:H4"/>
    <mergeCell ref="A5:B5"/>
    <mergeCell ref="A43:A45"/>
    <mergeCell ref="A56:A57"/>
    <mergeCell ref="A65:A67"/>
    <mergeCell ref="A78:A79"/>
    <mergeCell ref="B121:C121"/>
    <mergeCell ref="D121:E121"/>
    <mergeCell ref="F121:G121"/>
    <mergeCell ref="B124:C124"/>
    <mergeCell ref="D124:E124"/>
    <mergeCell ref="B125:C125"/>
    <mergeCell ref="D125:E125"/>
    <mergeCell ref="A127:E127"/>
    <mergeCell ref="G130:I130"/>
    <mergeCell ref="G131:I131"/>
    <mergeCell ref="B146:G146"/>
    <mergeCell ref="B147:C147"/>
    <mergeCell ref="D147:E147"/>
    <mergeCell ref="F147:G147"/>
    <mergeCell ref="B172:C172"/>
    <mergeCell ref="D172:E172"/>
    <mergeCell ref="B173:C173"/>
    <mergeCell ref="D173:E173"/>
    <mergeCell ref="A193:E193"/>
    <mergeCell ref="A199:E199"/>
    <mergeCell ref="G201:I201"/>
    <mergeCell ref="G202:I202"/>
    <mergeCell ref="B222:G222"/>
    <mergeCell ref="B223:F223"/>
    <mergeCell ref="B236:G236"/>
    <mergeCell ref="B237:C237"/>
    <mergeCell ref="D237:E237"/>
    <mergeCell ref="F237:G237"/>
    <mergeCell ref="B276:C276"/>
    <mergeCell ref="D276:E276"/>
    <mergeCell ref="B277:C277"/>
    <mergeCell ref="D277:E277"/>
    <mergeCell ref="A279:H279"/>
    <mergeCell ref="A282:E282"/>
    <mergeCell ref="G284:I284"/>
    <mergeCell ref="G285:I285"/>
    <mergeCell ref="B300:G300"/>
    <mergeCell ref="B312:C312"/>
    <mergeCell ref="D312:E312"/>
    <mergeCell ref="B313:C313"/>
    <mergeCell ref="D313:E313"/>
    <mergeCell ref="A315:E315"/>
    <mergeCell ref="G317:I317"/>
    <mergeCell ref="G318:I318"/>
    <mergeCell ref="B334:G334"/>
    <mergeCell ref="B335:C335"/>
    <mergeCell ref="D335:E335"/>
    <mergeCell ref="F335:G335"/>
    <mergeCell ref="B376:C376"/>
    <mergeCell ref="D376:E376"/>
    <mergeCell ref="B377:C377"/>
    <mergeCell ref="D377:E377"/>
    <mergeCell ref="A379:H379"/>
    <mergeCell ref="A381:E381"/>
    <mergeCell ref="G383:I383"/>
    <mergeCell ref="G384:I384"/>
    <mergeCell ref="B401:G401"/>
    <mergeCell ref="B441:C441"/>
    <mergeCell ref="D441:E441"/>
    <mergeCell ref="B442:C442"/>
    <mergeCell ref="D442:E442"/>
    <mergeCell ref="A454:E454"/>
    <mergeCell ref="G456:I456"/>
    <mergeCell ref="G457:I457"/>
  </mergeCells>
  <dataValidations count="34">
    <dataValidation allowBlank="true" operator="equal" showDropDown="false" showErrorMessage="true" showInputMessage="false" sqref="B11:K11" type="list">
      <formula1>'данные по моторизации'!$A$5:$A$30</formula1>
      <formula2>0</formula2>
    </dataValidation>
    <dataValidation allowBlank="true" operator="equal" showDropDown="false" showErrorMessage="true" showInputMessage="false" sqref="B13:K13 B18:K22 B24:K30 B32:K32 B34:K34 B38:K40 B61:K61 B82:K83 B85:K88 B104:K104 B150:K151 B154:K154 B156:K157 B158 B161:K161 B165:K165 B187:K193 F194:K194 B195:E196 G195:K196 B197:K198 B239:K239 B267:K267 B301:K301 B302 B337:K337 B367:K367 B402:K402 B403 B405:K405 B407:K408 B422:K422" type="none">
      <formula1>0</formula1>
      <formula2>0</formula2>
    </dataValidation>
    <dataValidation allowBlank="true" operator="equal" showDropDown="false" showErrorMessage="true" showInputMessage="false" sqref="B17:K17" type="list">
      <formula1>'Рулонки с ЭП расчёт систем и оп'!$C$6:$C$1090</formula1>
      <formula2>0</formula2>
    </dataValidation>
    <dataValidation allowBlank="true" operator="equal" showDropDown="false" showErrorMessage="true" showInputMessage="false" sqref="B23:K23" type="list">
      <formula1>"да,нет"</formula1>
      <formula2>0</formula2>
    </dataValidation>
    <dataValidation allowBlank="true" operator="equal" showDropDown="false" showErrorMessage="true" showInputMessage="false" sqref="B31:K31" type="list">
      <formula1>"Да,Нет"</formula1>
      <formula2>0</formula2>
    </dataValidation>
    <dataValidation allowBlank="true" operator="equal" showDropDown="false" showErrorMessage="true" showInputMessage="false" sqref="B37:K37 K60" type="list">
      <formula1>'цены ткани Amigo'!$A$5:$A$204</formula1>
      <formula2>0</formula2>
    </dataValidation>
    <dataValidation allowBlank="true" operator="equal" showDropDown="false" showErrorMessage="true" showInputMessage="false" sqref="B56:K56 B78:K78" type="list">
      <formula1>'цены ткани Amigo'!$H$13:$H$14</formula1>
      <formula2>0</formula2>
    </dataValidation>
    <dataValidation allowBlank="true" operator="equal" showDropDown="false" showErrorMessage="true" showInputMessage="false" sqref="B60:J60" type="list">
      <formula1>'цены ткани Amigo'!$A$5:$A$204</formula1>
      <formula2>0</formula2>
    </dataValidation>
    <dataValidation allowBlank="true" operator="equal" showDropDown="false" showErrorMessage="true" showInputMessage="false" sqref="B81:K81" type="list">
      <formula1>'Доп данные по компл рулонки'!$C$42:$C$120</formula1>
      <formula2>0</formula2>
    </dataValidation>
    <dataValidation allowBlank="true" operator="equal" showDropDown="false" showErrorMessage="true" showInputMessage="false" sqref="B84:K84" type="list">
      <formula1>"Да,Нет"</formula1>
      <formula2>0</formula2>
    </dataValidation>
    <dataValidation allowBlank="true" operator="equal" showDropDown="false" showErrorMessage="true" showInputMessage="false" sqref="B96:K96" type="list">
      <formula1>'Доп данные по компл рулонки'!$C$124:$C$147</formula1>
      <formula2>0</formula2>
    </dataValidation>
    <dataValidation allowBlank="true" operator="equal" showDropDown="false" showErrorMessage="true" showInputMessage="false" sqref="B103:K103 C270:K270 B309:K309 C370:K370 B438:K438" type="list">
      <formula1>"до 4 м,свыше 4 м"</formula1>
      <formula2>0</formula2>
    </dataValidation>
    <dataValidation allowBlank="true" operator="equal" showDropDown="false" showErrorMessage="true" showInputMessage="false" sqref="B124:D124" type="list">
      <formula1>'Управление и питание'!$C$66:$C$67</formula1>
      <formula2>0</formula2>
    </dataValidation>
    <dataValidation allowBlank="true" operator="equal" showDropDown="false" showErrorMessage="true" showInputMessage="false" sqref="B148:K148" type="list">
      <formula1>'данные по ЭК в долларах'!$A$58:$A$87</formula1>
      <formula2>0</formula2>
    </dataValidation>
    <dataValidation allowBlank="true" operator="equal" showDropDown="false" showErrorMessage="true" showInputMessage="false" sqref="B149:K149" type="list">
      <formula1>"Нет,Тандем"</formula1>
      <formula2>0</formula2>
    </dataValidation>
    <dataValidation allowBlank="true" operator="equal" showDropDown="false" showErrorMessage="true" showInputMessage="false" sqref="B152:K152" type="list">
      <formula1>'данные по ЭК в долларах'!$A$103:$A$128</formula1>
      <formula2>0</formula2>
    </dataValidation>
    <dataValidation allowBlank="true" operator="equal" showDropDown="false" showErrorMessage="true" showInputMessage="false" sqref="B155:K155" type="list">
      <formula1>"Да,Нет"</formula1>
      <formula2>0</formula2>
    </dataValidation>
    <dataValidation allowBlank="true" operator="equal" showDropDown="false" showErrorMessage="true" showInputMessage="false" sqref="C158:K158" type="list">
      <formula1>'_Данные по электрокарнизам'!$D$5:$O$5</formula1>
      <formula2>0</formula2>
    </dataValidation>
    <dataValidation allowBlank="true" operator="equal" showDropDown="false" showErrorMessage="true" showInputMessage="false" sqref="B164:K164 B270 B370" type="list">
      <formula1>"до 4 м,свыше 4 м"</formula1>
      <formula2>0</formula2>
    </dataValidation>
    <dataValidation allowBlank="true" operator="equal" showDropDown="false" showErrorMessage="true" showInputMessage="false" sqref="B172:D172" type="list">
      <formula1>'_Данные по электрокарнизам'!$A$36:$A$39</formula1>
      <formula2>0</formula2>
    </dataValidation>
    <dataValidation allowBlank="true" operator="equal" showDropDown="false" showErrorMessage="true" showInputMessage="false" sqref="B186:K186" type="list">
      <formula1>'данные по ЭК в долларах'!$A$134:$A$135</formula1>
      <formula2>0</formula2>
    </dataValidation>
    <dataValidation allowBlank="true" operator="equal" showDropDown="false" showErrorMessage="true" showInputMessage="false" sqref="A225:A233" type="list">
      <formula1>'Управление и питание'!$A$5:$A$60</formula1>
      <formula2>0</formula2>
    </dataValidation>
    <dataValidation allowBlank="true" operator="equal" showDropDown="false" showErrorMessage="true" showInputMessage="false" sqref="B238:K238" type="list">
      <formula1>'данные ГЖ дерево_пластик'!$D$5:$D$53</formula1>
      <formula2>0</formula2>
    </dataValidation>
    <dataValidation allowBlank="true" operator="equal" showDropDown="false" showErrorMessage="true" showInputMessage="false" sqref="B260:K260 B358:K358 B362:K362" type="list">
      <formula1>"Да,Нет"</formula1>
      <formula2>0</formula2>
    </dataValidation>
    <dataValidation allowBlank="true" operator="equal" showDropDown="false" showErrorMessage="true" showInputMessage="false" sqref="B262:K262 B360:K360" type="list">
      <formula1>"Да,Нет"</formula1>
      <formula2>0</formula2>
    </dataValidation>
    <dataValidation allowBlank="true" operator="equal" showDropDown="false" showErrorMessage="true" showInputMessage="false" sqref="B266:K266" type="list">
      <formula1>'данные ГЖ дерево_пластик'!$D$59:$D$71</formula1>
      <formula2>0</formula2>
    </dataValidation>
    <dataValidation allowBlank="true" operator="equal" showDropDown="false" showErrorMessage="true" showInputMessage="false" sqref="B276:D276 B312:E312 B376:D376 B441:E441" type="list">
      <formula1>'Управление и питание'!$C$66:$C$67</formula1>
      <formula2>0</formula2>
    </dataValidation>
    <dataValidation allowBlank="true" operator="equal" showDropDown="false" showErrorMessage="true" showInputMessage="false" sqref="B305:K305" type="list">
      <formula1>'данные по римским HS'!$D$11:$D$25</formula1>
      <formula2>0</formula2>
    </dataValidation>
    <dataValidation allowBlank="true" operator="equal" showDropDown="false" showErrorMessage="true" showInputMessage="false" sqref="B336:K336" type="list">
      <formula1>'данные ГЖ алюм 16,25,50'!$D$5:$D$103</formula1>
      <formula2>0</formula2>
    </dataValidation>
    <dataValidation allowBlank="true" operator="equal" showDropDown="false" showErrorMessage="true" showInputMessage="false" sqref="B366:K366" type="list">
      <formula1>'данные ГЖ алюм 16,25,50'!$D$107:$D$121</formula1>
      <formula2>0</formula2>
    </dataValidation>
    <dataValidation allowBlank="true" operator="equal" showDropDown="false" showErrorMessage="true" showInputMessage="false" sqref="B404:K404" type="list">
      <formula1>'Данные по римским RS'!$A$5:$A$36</formula1>
      <formula2>0</formula2>
    </dataValidation>
    <dataValidation allowBlank="true" operator="equal" showDropDown="false" showErrorMessage="true" showInputMessage="false" sqref="B418:K418" type="list">
      <formula1>'Данные по римским RS'!$F$50:$F$68</formula1>
      <formula2>0</formula2>
    </dataValidation>
    <dataValidation allowBlank="true" operator="equal" showDropDown="false" showErrorMessage="true" showInputMessage="false" sqref="B420:K420" type="list">
      <formula1>"Да,Нет"</formula1>
      <formula2>0</formula2>
    </dataValidation>
    <dataValidation allowBlank="true" operator="equal" showDropDown="false" showErrorMessage="true" showInputMessage="false" sqref="B433:K433" type="list">
      <formula1>'Данные по римским RS'!$F$41:$F$42</formula1>
      <formula2>0</formula2>
    </dataValidation>
  </dataValidations>
  <hyperlinks>
    <hyperlink ref="E2" location="Рулонки_мотор" display="Рулонки с мотором"/>
    <hyperlink ref="F2" location="Раздвижные" display="Раздвижные электрокарнизы"/>
    <hyperlink ref="H2" location="Пульты" display="Пульты"/>
    <hyperlink ref="I2" location="ГЖ_дерево_25_50" display="ГЖ дерево 25/50"/>
    <hyperlink ref="J2" location="Римские_50" display="Римские 50 мм"/>
    <hyperlink ref="K2" location="ГЖ_алюм_16_25_50" display="ГЖ алюм. 16/25/50"/>
    <hyperlink ref="M13" location="Рулонки_мотор" display="Рулонки с мотором"/>
    <hyperlink ref="A121" r:id="rId2" display="КП для разовых клиентов без услуг"/>
    <hyperlink ref="B121" r:id="rId3" display="КП для разовых клиентов с услугами"/>
    <hyperlink ref="D121" r:id="rId4" display="КП для партнёров без услуг"/>
    <hyperlink ref="F121" r:id="rId5" display="КП для партнёров с услугами"/>
    <hyperlink ref="A147" r:id="rId6" display="КП для разовых клиентов без услуг"/>
    <hyperlink ref="B147" r:id="rId7" display="КП для разовых клиентов с услугами"/>
    <hyperlink ref="D147" r:id="rId8" display="КП для партнёров без услуг"/>
    <hyperlink ref="F147" r:id="rId9" display="КП для партнёров с услугами"/>
    <hyperlink ref="A237" r:id="rId10" display="КП для разовых клиентов без услуг"/>
    <hyperlink ref="B237" r:id="rId11" display="КП для разовых клиентов с услугами"/>
    <hyperlink ref="D237" r:id="rId12" display="КП для партнёров без услуг"/>
    <hyperlink ref="F237" r:id="rId13" display="КП для партнёров с услугами"/>
    <hyperlink ref="A335" r:id="rId14" display="КП для разовых клиентов без услуг"/>
    <hyperlink ref="B335" r:id="rId15" display="КП для разовых клиентов с услугами"/>
    <hyperlink ref="D335" r:id="rId16" display="КП для партнёров без услуг"/>
    <hyperlink ref="F335" r:id="rId17" display="КП для партнёров с услугами"/>
  </hyperlinks>
  <printOptions headings="false" gridLines="false" gridLinesSet="true" horizontalCentered="false" verticalCentered="false"/>
  <pageMargins left="0.7875" right="0.7875" top="0.886111111111111" bottom="1.05277777777778" header="0.51180555555555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Roman,Обычный"&amp;12Страница &amp;P</oddFooter>
  </headerFooter>
  <legacyDrawing r:id="rId18"/>
  <tableParts>
    <tablePart r:id="rId19"/>
    <tablePart r:id="rId20"/>
    <tablePart r:id="rId21"/>
    <tablePart r:id="rId22"/>
    <tablePart r:id="rId23"/>
    <tablePart r:id="rId2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03"/>
    <col collapsed="false" customWidth="true" hidden="false" outlineLevel="0" max="2" min="2" style="0" width="72.66"/>
    <col collapsed="false" customWidth="true" hidden="false" outlineLevel="0" max="3" min="3" style="0" width="8.93"/>
    <col collapsed="false" customWidth="true" hidden="false" outlineLevel="0" max="9" min="4" style="0" width="7.65"/>
    <col collapsed="false" customWidth="true" hidden="false" outlineLevel="0" max="10" min="10" style="0" width="8.08"/>
    <col collapsed="false" customWidth="true" hidden="false" outlineLevel="0" max="11" min="11" style="0" width="9.09"/>
    <col collapsed="false" customWidth="true" hidden="false" outlineLevel="0" max="16" min="12" style="0" width="7.65"/>
    <col collapsed="false" customWidth="true" hidden="false" outlineLevel="0" max="18" min="17" style="0" width="10.46"/>
    <col collapsed="false" customWidth="true" hidden="false" outlineLevel="0" max="20" min="19" style="0" width="9.78"/>
    <col collapsed="false" customWidth="true" hidden="false" outlineLevel="0" max="22" min="21" style="0" width="8.08"/>
    <col collapsed="false" customWidth="true" hidden="false" outlineLevel="0" max="26" min="23" style="0" width="8.6"/>
    <col collapsed="false" customWidth="true" hidden="false" outlineLevel="0" max="64" min="27" style="0" width="11.63"/>
  </cols>
  <sheetData>
    <row r="1" customFormat="false" ht="12.8" hidden="false" customHeight="false" outlineLevel="0" collapsed="false">
      <c r="A1" s="626"/>
      <c r="B1" s="4" t="s">
        <v>0</v>
      </c>
      <c r="C1" s="5" t="s">
        <v>1</v>
      </c>
      <c r="D1" s="6" t="s">
        <v>2</v>
      </c>
    </row>
    <row r="2" customFormat="false" ht="12.8" hidden="false" customHeight="false" outlineLevel="0" collapsed="false">
      <c r="A2" s="626" t="s">
        <v>224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</row>
    <row r="3" customFormat="false" ht="12.8" hidden="false" customHeight="false" outlineLevel="0" collapsed="false">
      <c r="C3" s="625"/>
      <c r="D3" s="626"/>
      <c r="Q3" s="629" t="s">
        <v>895</v>
      </c>
      <c r="R3" s="629"/>
      <c r="S3" s="629"/>
      <c r="T3" s="629"/>
      <c r="U3" s="629"/>
      <c r="V3" s="629"/>
      <c r="W3" s="629"/>
      <c r="X3" s="629"/>
      <c r="Y3" s="629"/>
      <c r="Z3" s="629"/>
    </row>
    <row r="4" customFormat="false" ht="35.5" hidden="false" customHeight="false" outlineLevel="0" collapsed="false">
      <c r="C4" s="625" t="s">
        <v>896</v>
      </c>
      <c r="D4" s="629" t="s">
        <v>897</v>
      </c>
      <c r="E4" s="629"/>
      <c r="F4" s="629"/>
      <c r="G4" s="629"/>
      <c r="H4" s="629"/>
      <c r="I4" s="629"/>
      <c r="J4" s="629"/>
      <c r="K4" s="629"/>
      <c r="L4" s="629"/>
      <c r="M4" s="629"/>
      <c r="N4" s="629"/>
      <c r="O4" s="629"/>
      <c r="U4" s="478"/>
      <c r="V4" s="478"/>
      <c r="W4" s="478"/>
      <c r="X4" s="478"/>
      <c r="Y4" s="478"/>
      <c r="Z4" s="478"/>
      <c r="AA4" s="478"/>
      <c r="AB4" s="629" t="s">
        <v>788</v>
      </c>
      <c r="AC4" s="629"/>
      <c r="AD4" s="629"/>
    </row>
    <row r="5" customFormat="false" ht="35.5" hidden="false" customHeight="false" outlineLevel="0" collapsed="false">
      <c r="A5" s="331"/>
      <c r="B5" s="331"/>
      <c r="C5" s="331" t="n">
        <v>1</v>
      </c>
      <c r="D5" s="331" t="s">
        <v>703</v>
      </c>
      <c r="E5" s="331" t="s">
        <v>704</v>
      </c>
      <c r="F5" s="331" t="s">
        <v>705</v>
      </c>
      <c r="G5" s="331" t="s">
        <v>706</v>
      </c>
      <c r="H5" s="331" t="s">
        <v>707</v>
      </c>
      <c r="I5" s="331" t="s">
        <v>708</v>
      </c>
      <c r="J5" s="331" t="s">
        <v>709</v>
      </c>
      <c r="K5" s="331" t="s">
        <v>710</v>
      </c>
      <c r="L5" s="331" t="s">
        <v>711</v>
      </c>
      <c r="M5" s="331" t="s">
        <v>712</v>
      </c>
      <c r="N5" s="331" t="s">
        <v>713</v>
      </c>
      <c r="O5" s="331" t="s">
        <v>714</v>
      </c>
      <c r="Q5" s="616" t="s">
        <v>784</v>
      </c>
      <c r="R5" s="616" t="s">
        <v>785</v>
      </c>
      <c r="S5" s="0" t="s">
        <v>786</v>
      </c>
      <c r="T5" s="616" t="s">
        <v>787</v>
      </c>
      <c r="V5" s="616"/>
      <c r="W5" s="616"/>
      <c r="X5" s="616"/>
      <c r="Y5" s="616"/>
      <c r="Z5" s="616"/>
      <c r="AB5" s="630" t="s">
        <v>790</v>
      </c>
      <c r="AC5" s="478" t="s">
        <v>791</v>
      </c>
      <c r="AD5" s="478" t="s">
        <v>792</v>
      </c>
      <c r="AF5" s="0" t="n">
        <v>8</v>
      </c>
      <c r="AG5" s="0" t="n">
        <v>4</v>
      </c>
    </row>
    <row r="6" customFormat="false" ht="12.8" hidden="false" customHeight="false" outlineLevel="0" collapsed="false">
      <c r="A6" s="331" t="s">
        <v>734</v>
      </c>
      <c r="B6" s="331" t="s">
        <v>898</v>
      </c>
      <c r="C6" s="331" t="n">
        <v>2</v>
      </c>
      <c r="D6" s="504" t="n">
        <f aca="false">'данные по ЭК в долларах'!D35</f>
        <v>19100</v>
      </c>
      <c r="E6" s="504" t="n">
        <f aca="false">'данные по ЭК в долларах'!E35</f>
        <v>22200</v>
      </c>
      <c r="F6" s="504" t="n">
        <f aca="false">'данные по ЭК в долларах'!F35</f>
        <v>25200</v>
      </c>
      <c r="G6" s="504" t="n">
        <f aca="false">'данные по ЭК в долларах'!G35</f>
        <v>28300</v>
      </c>
      <c r="H6" s="504" t="n">
        <f aca="false">'данные по ЭК в долларах'!H35</f>
        <v>31300</v>
      </c>
      <c r="I6" s="504" t="n">
        <f aca="false">'данные по ЭК в долларах'!I35</f>
        <v>34400</v>
      </c>
      <c r="J6" s="504" t="n">
        <f aca="false">'данные по ЭК в долларах'!J35</f>
        <v>38600</v>
      </c>
      <c r="K6" s="504" t="n">
        <f aca="false">'данные по ЭК в долларах'!K35</f>
        <v>42800</v>
      </c>
      <c r="L6" s="504" t="n">
        <f aca="false">'данные по ЭК в долларах'!L35</f>
        <v>47000</v>
      </c>
      <c r="M6" s="504" t="n">
        <f aca="false">'данные по ЭК в долларах'!M35</f>
        <v>51200</v>
      </c>
      <c r="N6" s="504" t="n">
        <f aca="false">'данные по ЭК в долларах'!N35</f>
        <v>55400</v>
      </c>
      <c r="O6" s="504" t="n">
        <f aca="false">'данные по ЭК в долларах'!O35</f>
        <v>59600</v>
      </c>
      <c r="Q6" s="0" t="n">
        <f aca="false">$AC$7</f>
        <v>3800</v>
      </c>
      <c r="R6" s="0" t="n">
        <f aca="false">$AC$12</f>
        <v>800</v>
      </c>
      <c r="S6" s="0" t="n">
        <f aca="false">$AD$7</f>
        <v>7500</v>
      </c>
      <c r="T6" s="0" t="n">
        <f aca="false">$AD$12</f>
        <v>1500</v>
      </c>
      <c r="Z6" s="616"/>
      <c r="AA6" s="616"/>
      <c r="AC6" s="631" t="n">
        <v>1</v>
      </c>
      <c r="AD6" s="631" t="n">
        <v>3</v>
      </c>
    </row>
    <row r="7" customFormat="false" ht="12.8" hidden="false" customHeight="false" outlineLevel="0" collapsed="false">
      <c r="A7" s="331" t="s">
        <v>735</v>
      </c>
      <c r="B7" s="331" t="s">
        <v>899</v>
      </c>
      <c r="C7" s="331" t="n">
        <v>3</v>
      </c>
      <c r="D7" s="652" t="n">
        <f aca="false">'данные по ЭК в долларах'!D37</f>
        <v>22500</v>
      </c>
      <c r="E7" s="652" t="n">
        <f aca="false">'данные по ЭК в долларах'!E37</f>
        <v>25600</v>
      </c>
      <c r="F7" s="652" t="n">
        <f aca="false">'данные по ЭК в долларах'!F37</f>
        <v>28600</v>
      </c>
      <c r="G7" s="652" t="n">
        <f aca="false">'данные по ЭК в долларах'!G37</f>
        <v>31700</v>
      </c>
      <c r="H7" s="652" t="n">
        <f aca="false">'данные по ЭК в долларах'!H37</f>
        <v>34700</v>
      </c>
      <c r="I7" s="652" t="n">
        <f aca="false">'данные по ЭК в долларах'!I37</f>
        <v>37800</v>
      </c>
      <c r="J7" s="652" t="n">
        <f aca="false">'данные по ЭК в долларах'!J37</f>
        <v>42000</v>
      </c>
      <c r="K7" s="652" t="n">
        <f aca="false">'данные по ЭК в долларах'!K37</f>
        <v>46200</v>
      </c>
      <c r="L7" s="652" t="n">
        <f aca="false">'данные по ЭК в долларах'!L37</f>
        <v>50400</v>
      </c>
      <c r="M7" s="652" t="n">
        <f aca="false">'данные по ЭК в долларах'!M37</f>
        <v>54600</v>
      </c>
      <c r="N7" s="652" t="n">
        <f aca="false">'данные по ЭК в долларах'!N37</f>
        <v>58800</v>
      </c>
      <c r="O7" s="652" t="n">
        <f aca="false">'данные по ЭК в долларах'!O37</f>
        <v>63000</v>
      </c>
      <c r="Q7" s="0" t="n">
        <f aca="false">$AC$7</f>
        <v>3800</v>
      </c>
      <c r="R7" s="0" t="n">
        <f aca="false">$AC$12</f>
        <v>800</v>
      </c>
      <c r="S7" s="0" t="n">
        <f aca="false">$AD$7</f>
        <v>7500</v>
      </c>
      <c r="T7" s="0" t="n">
        <f aca="false">$AD$12</f>
        <v>1500</v>
      </c>
      <c r="Z7" s="616"/>
      <c r="AA7" s="616"/>
      <c r="AB7" s="482" t="n">
        <v>3</v>
      </c>
      <c r="AC7" s="0" t="n">
        <f aca="false">Услуги!C6</f>
        <v>3800</v>
      </c>
      <c r="AD7" s="0" t="n">
        <f aca="false">Услуги!D6</f>
        <v>7500</v>
      </c>
    </row>
    <row r="8" customFormat="false" ht="12.8" hidden="false" customHeight="false" outlineLevel="0" collapsed="false">
      <c r="A8" s="331" t="s">
        <v>736</v>
      </c>
      <c r="B8" s="331" t="s">
        <v>900</v>
      </c>
      <c r="C8" s="331" t="n">
        <v>4</v>
      </c>
      <c r="D8" s="653" t="n">
        <f aca="false">'данные по ЭК в долларах'!D39</f>
        <v>19700</v>
      </c>
      <c r="E8" s="653" t="n">
        <f aca="false">'данные по ЭК в долларах'!E39</f>
        <v>22700</v>
      </c>
      <c r="F8" s="653" t="n">
        <f aca="false">'данные по ЭК в долларах'!F39</f>
        <v>25800</v>
      </c>
      <c r="G8" s="653" t="n">
        <f aca="false">'данные по ЭК в долларах'!G39</f>
        <v>28900</v>
      </c>
      <c r="H8" s="653" t="n">
        <f aca="false">'данные по ЭК в долларах'!H39</f>
        <v>31900</v>
      </c>
      <c r="I8" s="653" t="n">
        <f aca="false">'данные по ЭК в долларах'!I39</f>
        <v>35000</v>
      </c>
      <c r="J8" s="653" t="n">
        <f aca="false">'данные по ЭК в долларах'!J39</f>
        <v>39200</v>
      </c>
      <c r="K8" s="653" t="n">
        <f aca="false">'данные по ЭК в долларах'!K39</f>
        <v>43400</v>
      </c>
      <c r="L8" s="653" t="n">
        <f aca="false">'данные по ЭК в долларах'!L39</f>
        <v>47600</v>
      </c>
      <c r="M8" s="653" t="n">
        <f aca="false">'данные по ЭК в долларах'!M39</f>
        <v>51700</v>
      </c>
      <c r="N8" s="653" t="n">
        <f aca="false">'данные по ЭК в долларах'!N39</f>
        <v>55900</v>
      </c>
      <c r="O8" s="653" t="n">
        <f aca="false">'данные по ЭК в долларах'!O39</f>
        <v>60100</v>
      </c>
      <c r="Q8" s="0" t="n">
        <f aca="false">$AC$7</f>
        <v>3800</v>
      </c>
      <c r="R8" s="0" t="n">
        <f aca="false">$AC$12</f>
        <v>800</v>
      </c>
      <c r="S8" s="0" t="n">
        <f aca="false">$AD$7</f>
        <v>7500</v>
      </c>
      <c r="T8" s="0" t="n">
        <f aca="false">$AD$12</f>
        <v>1500</v>
      </c>
      <c r="Z8" s="616"/>
      <c r="AA8" s="616"/>
      <c r="AB8" s="482" t="n">
        <v>4</v>
      </c>
      <c r="AC8" s="0" t="n">
        <f aca="false">Услуги!C7</f>
        <v>4600</v>
      </c>
      <c r="AD8" s="0" t="n">
        <f aca="false">Услуги!D7</f>
        <v>9000</v>
      </c>
    </row>
    <row r="9" customFormat="false" ht="12.8" hidden="false" customHeight="false" outlineLevel="0" collapsed="false">
      <c r="A9" s="331" t="s">
        <v>737</v>
      </c>
      <c r="B9" s="331" t="s">
        <v>901</v>
      </c>
      <c r="C9" s="331" t="n">
        <v>5</v>
      </c>
      <c r="D9" s="652" t="n">
        <f aca="false">'данные по ЭК в долларах'!D41</f>
        <v>23500</v>
      </c>
      <c r="E9" s="652" t="n">
        <f aca="false">'данные по ЭК в долларах'!E41</f>
        <v>26600</v>
      </c>
      <c r="F9" s="652" t="n">
        <f aca="false">'данные по ЭК в долларах'!F41</f>
        <v>29600</v>
      </c>
      <c r="G9" s="652" t="n">
        <f aca="false">'данные по ЭК в долларах'!G41</f>
        <v>32700</v>
      </c>
      <c r="H9" s="652" t="n">
        <f aca="false">'данные по ЭК в долларах'!H41</f>
        <v>35800</v>
      </c>
      <c r="I9" s="652" t="n">
        <f aca="false">'данные по ЭК в долларах'!I41</f>
        <v>38800</v>
      </c>
      <c r="J9" s="652" t="n">
        <f aca="false">'данные по ЭК в долларах'!J41</f>
        <v>43000</v>
      </c>
      <c r="K9" s="652" t="n">
        <f aca="false">'данные по ЭК в долларах'!K41</f>
        <v>47200</v>
      </c>
      <c r="L9" s="652" t="n">
        <f aca="false">'данные по ЭК в долларах'!L41</f>
        <v>51400</v>
      </c>
      <c r="M9" s="652" t="n">
        <f aca="false">'данные по ЭК в долларах'!M41</f>
        <v>55600</v>
      </c>
      <c r="N9" s="652" t="n">
        <f aca="false">'данные по ЭК в долларах'!N41</f>
        <v>59800</v>
      </c>
      <c r="O9" s="652" t="n">
        <f aca="false">'данные по ЭК в долларах'!O41</f>
        <v>64000</v>
      </c>
      <c r="Q9" s="0" t="n">
        <f aca="false">$AC$7</f>
        <v>3800</v>
      </c>
      <c r="R9" s="0" t="n">
        <f aca="false">$AC$12</f>
        <v>800</v>
      </c>
      <c r="S9" s="0" t="n">
        <f aca="false">$AD$7</f>
        <v>7500</v>
      </c>
      <c r="T9" s="0" t="n">
        <f aca="false">$AD$12</f>
        <v>1500</v>
      </c>
      <c r="Z9" s="616"/>
      <c r="AB9" s="482" t="n">
        <v>5</v>
      </c>
      <c r="AC9" s="0" t="n">
        <f aca="false">Услуги!C8</f>
        <v>5400</v>
      </c>
      <c r="AD9" s="0" t="n">
        <f aca="false">Услуги!D8</f>
        <v>10500</v>
      </c>
    </row>
    <row r="10" customFormat="false" ht="12.8" hidden="false" customHeight="false" outlineLevel="0" collapsed="false">
      <c r="A10" s="331" t="s">
        <v>738</v>
      </c>
      <c r="B10" s="331" t="s">
        <v>902</v>
      </c>
      <c r="C10" s="331" t="n">
        <v>6</v>
      </c>
      <c r="D10" s="654" t="n">
        <f aca="false">'данные по ЭК в долларах'!D43</f>
        <v>20800</v>
      </c>
      <c r="E10" s="654" t="n">
        <f aca="false">'данные по ЭК в долларах'!E43</f>
        <v>23900</v>
      </c>
      <c r="F10" s="654" t="n">
        <f aca="false">'данные по ЭК в долларах'!F43</f>
        <v>26900</v>
      </c>
      <c r="G10" s="654" t="n">
        <f aca="false">'данные по ЭК в долларах'!G43</f>
        <v>30000</v>
      </c>
      <c r="H10" s="654" t="n">
        <f aca="false">'данные по ЭК в долларах'!H43</f>
        <v>33000</v>
      </c>
      <c r="I10" s="654" t="n">
        <f aca="false">'данные по ЭК в долларах'!I43</f>
        <v>36100</v>
      </c>
      <c r="J10" s="654" t="n">
        <f aca="false">'данные по ЭК в долларах'!J43</f>
        <v>40300</v>
      </c>
      <c r="K10" s="654" t="n">
        <f aca="false">'данные по ЭК в долларах'!K43</f>
        <v>44500</v>
      </c>
      <c r="L10" s="654" t="n">
        <f aca="false">'данные по ЭК в долларах'!L43</f>
        <v>48700</v>
      </c>
      <c r="M10" s="654" t="n">
        <f aca="false">'данные по ЭК в долларах'!M43</f>
        <v>52900</v>
      </c>
      <c r="N10" s="654" t="n">
        <f aca="false">'данные по ЭК в долларах'!N43</f>
        <v>57100</v>
      </c>
      <c r="O10" s="654" t="n">
        <f aca="false">'данные по ЭК в долларах'!O43</f>
        <v>61300</v>
      </c>
      <c r="Q10" s="0" t="n">
        <f aca="false">$AC$7</f>
        <v>3800</v>
      </c>
      <c r="R10" s="0" t="n">
        <f aca="false">$AC$12</f>
        <v>800</v>
      </c>
      <c r="S10" s="0" t="n">
        <f aca="false">$AD$7</f>
        <v>7500</v>
      </c>
      <c r="T10" s="0" t="n">
        <f aca="false">$AD$12</f>
        <v>1500</v>
      </c>
      <c r="Z10" s="616"/>
      <c r="AB10" s="482" t="n">
        <v>6</v>
      </c>
      <c r="AC10" s="0" t="n">
        <f aca="false">Услуги!C9</f>
        <v>6200</v>
      </c>
      <c r="AD10" s="0" t="n">
        <f aca="false">Услуги!D9</f>
        <v>12000</v>
      </c>
    </row>
    <row r="11" customFormat="false" ht="12.8" hidden="false" customHeight="false" outlineLevel="0" collapsed="false">
      <c r="A11" s="331" t="s">
        <v>739</v>
      </c>
      <c r="B11" s="331" t="s">
        <v>903</v>
      </c>
      <c r="C11" s="331" t="n">
        <v>7</v>
      </c>
      <c r="D11" s="652" t="n">
        <f aca="false">'данные по ЭК в долларах'!D45</f>
        <v>31200</v>
      </c>
      <c r="E11" s="652" t="n">
        <f aca="false">'данные по ЭК в долларах'!E45</f>
        <v>34300</v>
      </c>
      <c r="F11" s="652" t="n">
        <f aca="false">'данные по ЭК в долларах'!F45</f>
        <v>37400</v>
      </c>
      <c r="G11" s="652" t="n">
        <f aca="false">'данные по ЭК в долларах'!G45</f>
        <v>40400</v>
      </c>
      <c r="H11" s="652" t="n">
        <f aca="false">'данные по ЭК в долларах'!H45</f>
        <v>43500</v>
      </c>
      <c r="I11" s="652" t="n">
        <f aca="false">'данные по ЭК в долларах'!I45</f>
        <v>46500</v>
      </c>
      <c r="J11" s="652" t="n">
        <f aca="false">'данные по ЭК в долларах'!J45</f>
        <v>50700</v>
      </c>
      <c r="K11" s="652" t="n">
        <f aca="false">'данные по ЭК в долларах'!K45</f>
        <v>54900</v>
      </c>
      <c r="L11" s="459" t="s">
        <v>166</v>
      </c>
      <c r="M11" s="459" t="s">
        <v>166</v>
      </c>
      <c r="N11" s="459" t="s">
        <v>166</v>
      </c>
      <c r="O11" s="459" t="s">
        <v>166</v>
      </c>
      <c r="Q11" s="0" t="n">
        <f aca="false">$AC$7</f>
        <v>3800</v>
      </c>
      <c r="R11" s="0" t="n">
        <f aca="false">$AC$12</f>
        <v>800</v>
      </c>
      <c r="S11" s="0" t="n">
        <f aca="false">$AD$7</f>
        <v>7500</v>
      </c>
      <c r="T11" s="0" t="n">
        <f aca="false">$AD$12</f>
        <v>1500</v>
      </c>
      <c r="Z11" s="616"/>
      <c r="AB11" s="482" t="n">
        <v>7</v>
      </c>
      <c r="AC11" s="0" t="n">
        <f aca="false">Услуги!C10</f>
        <v>7000</v>
      </c>
      <c r="AD11" s="0" t="n">
        <f aca="false">Услуги!D10</f>
        <v>13500</v>
      </c>
    </row>
    <row r="12" customFormat="false" ht="12.8" hidden="false" customHeight="false" outlineLevel="0" collapsed="false">
      <c r="A12" s="331" t="s">
        <v>740</v>
      </c>
      <c r="B12" s="331" t="s">
        <v>904</v>
      </c>
      <c r="C12" s="331" t="n">
        <v>8</v>
      </c>
      <c r="D12" s="652" t="n">
        <f aca="false">'данные по ЭК в долларах'!D47</f>
        <v>21400</v>
      </c>
      <c r="E12" s="652" t="n">
        <f aca="false">'данные по ЭК в долларах'!E47</f>
        <v>24500</v>
      </c>
      <c r="F12" s="652" t="n">
        <f aca="false">'данные по ЭК в долларах'!F47</f>
        <v>27600</v>
      </c>
      <c r="G12" s="652" t="n">
        <f aca="false">'данные по ЭК в долларах'!G47</f>
        <v>30700</v>
      </c>
      <c r="H12" s="652" t="n">
        <f aca="false">'данные по ЭК в долларах'!H47</f>
        <v>33700</v>
      </c>
      <c r="I12" s="652" t="n">
        <f aca="false">'данные по ЭК в долларах'!I47</f>
        <v>36800</v>
      </c>
      <c r="J12" s="652" t="n">
        <f aca="false">'данные по ЭК в долларах'!J47</f>
        <v>41000</v>
      </c>
      <c r="K12" s="652" t="n">
        <f aca="false">'данные по ЭК в долларах'!K47</f>
        <v>45200</v>
      </c>
      <c r="L12" s="459" t="s">
        <v>166</v>
      </c>
      <c r="M12" s="459" t="s">
        <v>166</v>
      </c>
      <c r="N12" s="459" t="s">
        <v>166</v>
      </c>
      <c r="O12" s="459" t="s">
        <v>166</v>
      </c>
      <c r="Q12" s="0" t="n">
        <f aca="false">$AC$7</f>
        <v>3800</v>
      </c>
      <c r="R12" s="0" t="n">
        <f aca="false">$AC$12</f>
        <v>800</v>
      </c>
      <c r="S12" s="0" t="n">
        <f aca="false">$AD$7</f>
        <v>7500</v>
      </c>
      <c r="T12" s="0" t="n">
        <f aca="false">$AD$12</f>
        <v>1500</v>
      </c>
      <c r="Z12" s="616"/>
      <c r="AA12" s="616"/>
      <c r="AB12" s="0" t="s">
        <v>797</v>
      </c>
      <c r="AC12" s="0" t="n">
        <v>800</v>
      </c>
      <c r="AD12" s="0" t="n">
        <v>1500</v>
      </c>
      <c r="AF12" s="0" t="n">
        <f aca="false">AC7+(AF5-3)*AC12</f>
        <v>7800</v>
      </c>
      <c r="AG12" s="0" t="n">
        <f aca="false">AD7+(AG5-3)*AD12</f>
        <v>9000</v>
      </c>
    </row>
    <row r="13" customFormat="false" ht="12.8" hidden="false" customHeight="false" outlineLevel="0" collapsed="false">
      <c r="A13" s="331" t="s">
        <v>741</v>
      </c>
      <c r="B13" s="331" t="s">
        <v>905</v>
      </c>
      <c r="C13" s="331" t="n">
        <v>9</v>
      </c>
      <c r="D13" s="652" t="n">
        <f aca="false">'данные по ЭК в долларах'!D49</f>
        <v>23400</v>
      </c>
      <c r="E13" s="652" t="n">
        <f aca="false">'данные по ЭК в долларах'!E49</f>
        <v>26800</v>
      </c>
      <c r="F13" s="652" t="n">
        <f aca="false">'данные по ЭК в долларах'!F49</f>
        <v>30200</v>
      </c>
      <c r="G13" s="652" t="n">
        <f aca="false">'данные по ЭК в долларах'!G49</f>
        <v>33600</v>
      </c>
      <c r="H13" s="652" t="n">
        <f aca="false">'данные по ЭК в долларах'!H49</f>
        <v>36900</v>
      </c>
      <c r="I13" s="652" t="n">
        <f aca="false">'данные по ЭК в долларах'!I49</f>
        <v>40300</v>
      </c>
      <c r="J13" s="652" t="n">
        <f aca="false">'данные по ЭК в долларах'!J49</f>
        <v>44900</v>
      </c>
      <c r="K13" s="652" t="n">
        <f aca="false">'данные по ЭК в долларах'!K49</f>
        <v>49500</v>
      </c>
      <c r="L13" s="459" t="s">
        <v>166</v>
      </c>
      <c r="M13" s="459" t="s">
        <v>166</v>
      </c>
      <c r="N13" s="459" t="s">
        <v>166</v>
      </c>
      <c r="O13" s="459" t="s">
        <v>166</v>
      </c>
      <c r="Q13" s="0" t="n">
        <f aca="false">$AC$7</f>
        <v>3800</v>
      </c>
      <c r="R13" s="0" t="n">
        <f aca="false">$AC$12</f>
        <v>800</v>
      </c>
      <c r="S13" s="0" t="n">
        <f aca="false">$AD$7</f>
        <v>7500</v>
      </c>
      <c r="T13" s="0" t="n">
        <f aca="false">$AD$12</f>
        <v>1500</v>
      </c>
      <c r="Z13" s="616"/>
      <c r="AA13" s="616"/>
      <c r="AB13" s="629" t="s">
        <v>800</v>
      </c>
      <c r="AC13" s="629"/>
      <c r="AD13" s="629"/>
    </row>
    <row r="14" customFormat="false" ht="12.8" hidden="false" customHeight="false" outlineLevel="0" collapsed="false">
      <c r="A14" s="331" t="s">
        <v>715</v>
      </c>
      <c r="B14" s="331" t="s">
        <v>906</v>
      </c>
      <c r="C14" s="331" t="n">
        <v>10</v>
      </c>
      <c r="D14" s="331" t="n">
        <f aca="false">'данные по ЭК в долларах'!D11</f>
        <v>22300</v>
      </c>
      <c r="E14" s="331" t="n">
        <f aca="false">'данные по ЭК в долларах'!E11</f>
        <v>25300</v>
      </c>
      <c r="F14" s="331" t="n">
        <f aca="false">'данные по ЭК в долларах'!F11</f>
        <v>28300</v>
      </c>
      <c r="G14" s="331" t="n">
        <f aca="false">'данные по ЭК в долларах'!G11</f>
        <v>31300</v>
      </c>
      <c r="H14" s="331" t="n">
        <f aca="false">'данные по ЭК в долларах'!H11</f>
        <v>34300</v>
      </c>
      <c r="I14" s="331" t="n">
        <f aca="false">'данные по ЭК в долларах'!I11</f>
        <v>37300</v>
      </c>
      <c r="J14" s="331" t="n">
        <f aca="false">'данные по ЭК в долларах'!J11</f>
        <v>40300</v>
      </c>
      <c r="K14" s="331" t="n">
        <f aca="false">'данные по ЭК в долларах'!K11</f>
        <v>43300</v>
      </c>
      <c r="L14" s="655" t="s">
        <v>166</v>
      </c>
      <c r="M14" s="655" t="s">
        <v>166</v>
      </c>
      <c r="N14" s="655" t="s">
        <v>166</v>
      </c>
      <c r="O14" s="655" t="s">
        <v>166</v>
      </c>
      <c r="Q14" s="0" t="n">
        <f aca="false">$AC$7</f>
        <v>3800</v>
      </c>
      <c r="R14" s="0" t="n">
        <f aca="false">$AC$12</f>
        <v>800</v>
      </c>
      <c r="S14" s="0" t="n">
        <f aca="false">$AD$7</f>
        <v>7500</v>
      </c>
      <c r="T14" s="0" t="n">
        <f aca="false">$AD$12</f>
        <v>1500</v>
      </c>
      <c r="Z14" s="616"/>
      <c r="AA14" s="616"/>
      <c r="AC14" s="631" t="n">
        <v>1</v>
      </c>
      <c r="AD14" s="631" t="n">
        <v>2</v>
      </c>
    </row>
    <row r="15" customFormat="false" ht="12.8" hidden="false" customHeight="false" outlineLevel="0" collapsed="false">
      <c r="A15" s="331" t="s">
        <v>716</v>
      </c>
      <c r="B15" s="331" t="s">
        <v>907</v>
      </c>
      <c r="C15" s="331" t="n">
        <v>11</v>
      </c>
      <c r="D15" s="331" t="n">
        <f aca="false">'данные по ЭК в долларах'!D12</f>
        <v>21600</v>
      </c>
      <c r="E15" s="331" t="n">
        <f aca="false">'данные по ЭК в долларах'!E12</f>
        <v>24600</v>
      </c>
      <c r="F15" s="331" t="n">
        <f aca="false">'данные по ЭК в долларах'!F12</f>
        <v>27600</v>
      </c>
      <c r="G15" s="331" t="n">
        <f aca="false">'данные по ЭК в долларах'!G12</f>
        <v>30600</v>
      </c>
      <c r="H15" s="331" t="n">
        <f aca="false">'данные по ЭК в долларах'!H12</f>
        <v>33600</v>
      </c>
      <c r="I15" s="331" t="n">
        <f aca="false">'данные по ЭК в долларах'!I12</f>
        <v>36600</v>
      </c>
      <c r="J15" s="331" t="n">
        <f aca="false">'данные по ЭК в долларах'!J12</f>
        <v>39600</v>
      </c>
      <c r="K15" s="331" t="n">
        <f aca="false">'данные по ЭК в долларах'!K12</f>
        <v>42600</v>
      </c>
      <c r="L15" s="655" t="s">
        <v>166</v>
      </c>
      <c r="M15" s="655" t="s">
        <v>166</v>
      </c>
      <c r="N15" s="655" t="s">
        <v>166</v>
      </c>
      <c r="O15" s="655" t="s">
        <v>166</v>
      </c>
      <c r="Q15" s="0" t="n">
        <f aca="false">$AC$7</f>
        <v>3800</v>
      </c>
      <c r="R15" s="0" t="n">
        <f aca="false">$AC$12</f>
        <v>800</v>
      </c>
      <c r="S15" s="0" t="n">
        <f aca="false">$AD$7</f>
        <v>7500</v>
      </c>
      <c r="T15" s="0" t="n">
        <f aca="false">$AD$12</f>
        <v>1500</v>
      </c>
      <c r="Z15" s="616"/>
      <c r="AB15" s="482" t="n">
        <v>3</v>
      </c>
      <c r="AC15" s="0" t="n">
        <v>1500</v>
      </c>
      <c r="AD15" s="0" t="n">
        <f aca="false">Услуги!D14</f>
        <v>3000</v>
      </c>
    </row>
    <row r="16" customFormat="false" ht="12.8" hidden="false" customHeight="false" outlineLevel="0" collapsed="false">
      <c r="A16" s="331" t="s">
        <v>717</v>
      </c>
      <c r="B16" s="331" t="s">
        <v>908</v>
      </c>
      <c r="C16" s="331" t="n">
        <v>12</v>
      </c>
      <c r="D16" s="331" t="n">
        <f aca="false">'данные по ЭК в долларах'!D13</f>
        <v>22700</v>
      </c>
      <c r="E16" s="331" t="n">
        <f aca="false">'данные по ЭК в долларах'!E13</f>
        <v>25700</v>
      </c>
      <c r="F16" s="331" t="n">
        <f aca="false">'данные по ЭК в долларах'!F13</f>
        <v>28800</v>
      </c>
      <c r="G16" s="331" t="n">
        <f aca="false">'данные по ЭК в долларах'!G13</f>
        <v>31800</v>
      </c>
      <c r="H16" s="331" t="n">
        <f aca="false">'данные по ЭК в долларах'!H13</f>
        <v>34800</v>
      </c>
      <c r="I16" s="331" t="n">
        <f aca="false">'данные по ЭК в долларах'!I13</f>
        <v>37800</v>
      </c>
      <c r="J16" s="331" t="n">
        <f aca="false">'данные по ЭК в долларах'!J13</f>
        <v>40800</v>
      </c>
      <c r="K16" s="331" t="n">
        <f aca="false">'данные по ЭК в долларах'!K13</f>
        <v>43800</v>
      </c>
      <c r="L16" s="655" t="s">
        <v>166</v>
      </c>
      <c r="M16" s="655" t="s">
        <v>166</v>
      </c>
      <c r="N16" s="655" t="s">
        <v>166</v>
      </c>
      <c r="O16" s="655" t="s">
        <v>166</v>
      </c>
      <c r="Q16" s="0" t="n">
        <f aca="false">$AC$7</f>
        <v>3800</v>
      </c>
      <c r="R16" s="0" t="n">
        <f aca="false">$AC$12</f>
        <v>800</v>
      </c>
      <c r="S16" s="0" t="n">
        <f aca="false">$AD$7</f>
        <v>7500</v>
      </c>
      <c r="T16" s="0" t="n">
        <f aca="false">$AD$12</f>
        <v>1500</v>
      </c>
      <c r="Z16" s="616"/>
      <c r="AB16" s="482" t="n">
        <v>4</v>
      </c>
      <c r="AC16" s="0" t="n">
        <f aca="false">Услуги!C15</f>
        <v>2300</v>
      </c>
      <c r="AD16" s="0" t="n">
        <f aca="false">Услуги!D15</f>
        <v>4500</v>
      </c>
    </row>
    <row r="17" customFormat="false" ht="15.65" hidden="false" customHeight="true" outlineLevel="0" collapsed="false">
      <c r="A17" s="331" t="s">
        <v>718</v>
      </c>
      <c r="B17" s="656" t="s">
        <v>909</v>
      </c>
      <c r="C17" s="331" t="n">
        <v>13</v>
      </c>
      <c r="D17" s="331" t="n">
        <f aca="false">'данные по ЭК в долларах'!D14</f>
        <v>28900</v>
      </c>
      <c r="E17" s="331" t="n">
        <f aca="false">'данные по ЭК в долларах'!E14</f>
        <v>31900</v>
      </c>
      <c r="F17" s="331" t="n">
        <f aca="false">'данные по ЭК в долларах'!F14</f>
        <v>34900</v>
      </c>
      <c r="G17" s="331" t="n">
        <f aca="false">'данные по ЭК в долларах'!G14</f>
        <v>37900</v>
      </c>
      <c r="H17" s="331" t="n">
        <f aca="false">'данные по ЭК в долларах'!H14</f>
        <v>40900</v>
      </c>
      <c r="I17" s="331" t="n">
        <f aca="false">'данные по ЭК в долларах'!I14</f>
        <v>43900</v>
      </c>
      <c r="J17" s="331" t="str">
        <f aca="false">'данные по ЭК в долларах'!J14</f>
        <v>-</v>
      </c>
      <c r="K17" s="331" t="str">
        <f aca="false">'данные по ЭК в долларах'!K14</f>
        <v>-</v>
      </c>
      <c r="L17" s="655" t="s">
        <v>166</v>
      </c>
      <c r="M17" s="655" t="s">
        <v>166</v>
      </c>
      <c r="N17" s="655" t="s">
        <v>166</v>
      </c>
      <c r="O17" s="655" t="s">
        <v>166</v>
      </c>
      <c r="Q17" s="0" t="n">
        <f aca="false">$AC$7</f>
        <v>3800</v>
      </c>
      <c r="R17" s="0" t="n">
        <f aca="false">$AC$12</f>
        <v>800</v>
      </c>
      <c r="S17" s="0" t="n">
        <f aca="false">$AD$7</f>
        <v>7500</v>
      </c>
      <c r="T17" s="0" t="n">
        <f aca="false">$AD$12</f>
        <v>1500</v>
      </c>
      <c r="Z17" s="616"/>
      <c r="AB17" s="482" t="n">
        <v>5</v>
      </c>
      <c r="AC17" s="0" t="n">
        <f aca="false">Услуги!C16</f>
        <v>3100</v>
      </c>
      <c r="AD17" s="0" t="n">
        <f aca="false">Услуги!D16</f>
        <v>6000</v>
      </c>
    </row>
    <row r="18" customFormat="false" ht="12.8" hidden="false" customHeight="false" outlineLevel="0" collapsed="false">
      <c r="A18" s="619" t="s">
        <v>719</v>
      </c>
      <c r="B18" s="331" t="s">
        <v>910</v>
      </c>
      <c r="C18" s="331" t="n">
        <v>14</v>
      </c>
      <c r="D18" s="331" t="n">
        <f aca="false">'данные по ЭК в долларах'!D15</f>
        <v>41400</v>
      </c>
      <c r="E18" s="331" t="n">
        <f aca="false">'данные по ЭК в долларах'!E15</f>
        <v>44400</v>
      </c>
      <c r="F18" s="331" t="n">
        <f aca="false">'данные по ЭК в долларах'!F15</f>
        <v>47400</v>
      </c>
      <c r="G18" s="331" t="n">
        <f aca="false">'данные по ЭК в долларах'!G15</f>
        <v>50400</v>
      </c>
      <c r="H18" s="331" t="n">
        <f aca="false">'данные по ЭК в долларах'!H15</f>
        <v>53400</v>
      </c>
      <c r="I18" s="331" t="n">
        <f aca="false">'данные по ЭК в долларах'!I15</f>
        <v>56400</v>
      </c>
      <c r="J18" s="331" t="n">
        <f aca="false">'данные по ЭК в долларах'!J15</f>
        <v>59400</v>
      </c>
      <c r="K18" s="331" t="n">
        <f aca="false">'данные по ЭК в долларах'!K15</f>
        <v>62400</v>
      </c>
      <c r="L18" s="655" t="s">
        <v>166</v>
      </c>
      <c r="M18" s="655" t="s">
        <v>166</v>
      </c>
      <c r="N18" s="655" t="s">
        <v>166</v>
      </c>
      <c r="O18" s="655" t="s">
        <v>166</v>
      </c>
      <c r="Q18" s="0" t="n">
        <f aca="false">$AC$7</f>
        <v>3800</v>
      </c>
      <c r="R18" s="0" t="n">
        <f aca="false">$AC$12</f>
        <v>800</v>
      </c>
      <c r="S18" s="0" t="n">
        <f aca="false">$AD$7</f>
        <v>7500</v>
      </c>
      <c r="T18" s="0" t="n">
        <f aca="false">$AD$12</f>
        <v>1500</v>
      </c>
      <c r="Z18" s="616"/>
      <c r="AB18" s="482" t="n">
        <v>6</v>
      </c>
      <c r="AC18" s="0" t="n">
        <f aca="false">Услуги!C17</f>
        <v>3900</v>
      </c>
      <c r="AD18" s="0" t="n">
        <f aca="false">Услуги!D17</f>
        <v>7500</v>
      </c>
    </row>
    <row r="19" customFormat="false" ht="12.8" hidden="false" customHeight="false" outlineLevel="0" collapsed="false">
      <c r="A19" s="619" t="s">
        <v>720</v>
      </c>
      <c r="B19" s="331" t="s">
        <v>911</v>
      </c>
      <c r="C19" s="331" t="n">
        <v>15</v>
      </c>
      <c r="D19" s="331" t="n">
        <f aca="false">'данные по ЭК в долларах'!D16</f>
        <v>41400</v>
      </c>
      <c r="E19" s="331" t="n">
        <f aca="false">'данные по ЭК в долларах'!E16</f>
        <v>44400</v>
      </c>
      <c r="F19" s="331" t="n">
        <f aca="false">'данные по ЭК в долларах'!F16</f>
        <v>47400</v>
      </c>
      <c r="G19" s="331" t="n">
        <f aca="false">'данные по ЭК в долларах'!G16</f>
        <v>50400</v>
      </c>
      <c r="H19" s="331" t="n">
        <f aca="false">'данные по ЭК в долларах'!H16</f>
        <v>53400</v>
      </c>
      <c r="I19" s="331" t="n">
        <f aca="false">'данные по ЭК в долларах'!I16</f>
        <v>56400</v>
      </c>
      <c r="J19" s="331" t="n">
        <f aca="false">'данные по ЭК в долларах'!J16</f>
        <v>59400</v>
      </c>
      <c r="K19" s="331" t="n">
        <f aca="false">'данные по ЭК в долларах'!K16</f>
        <v>62400</v>
      </c>
      <c r="L19" s="655" t="s">
        <v>166</v>
      </c>
      <c r="M19" s="655" t="s">
        <v>166</v>
      </c>
      <c r="N19" s="655" t="s">
        <v>166</v>
      </c>
      <c r="O19" s="655" t="s">
        <v>166</v>
      </c>
      <c r="Q19" s="0" t="n">
        <f aca="false">$AC$7</f>
        <v>3800</v>
      </c>
      <c r="R19" s="0" t="n">
        <f aca="false">$AC$12</f>
        <v>800</v>
      </c>
      <c r="S19" s="0" t="n">
        <f aca="false">$AD$7</f>
        <v>7500</v>
      </c>
      <c r="T19" s="0" t="n">
        <f aca="false">$AD$12</f>
        <v>1500</v>
      </c>
      <c r="Z19" s="616"/>
      <c r="AB19" s="482" t="n">
        <v>7</v>
      </c>
      <c r="AC19" s="0" t="n">
        <f aca="false">Услуги!C18</f>
        <v>4700</v>
      </c>
      <c r="AD19" s="0" t="n">
        <f aca="false">Услуги!D18</f>
        <v>9000</v>
      </c>
    </row>
    <row r="20" customFormat="false" ht="12.8" hidden="false" customHeight="false" outlineLevel="0" collapsed="false">
      <c r="A20" s="619" t="s">
        <v>721</v>
      </c>
      <c r="B20" s="331" t="s">
        <v>912</v>
      </c>
      <c r="C20" s="331" t="n">
        <v>16</v>
      </c>
      <c r="D20" s="331" t="n">
        <f aca="false">'данные по ЭК в долларах'!D17</f>
        <v>47000</v>
      </c>
      <c r="E20" s="331" t="n">
        <f aca="false">'данные по ЭК в долларах'!E17</f>
        <v>50000</v>
      </c>
      <c r="F20" s="331" t="n">
        <f aca="false">'данные по ЭК в долларах'!F17</f>
        <v>53000</v>
      </c>
      <c r="G20" s="331" t="n">
        <f aca="false">'данные по ЭК в долларах'!G17</f>
        <v>56000</v>
      </c>
      <c r="H20" s="331" t="n">
        <f aca="false">'данные по ЭК в долларах'!H17</f>
        <v>59000</v>
      </c>
      <c r="I20" s="331" t="n">
        <f aca="false">'данные по ЭК в долларах'!I17</f>
        <v>62000</v>
      </c>
      <c r="J20" s="331" t="n">
        <f aca="false">'данные по ЭК в долларах'!J17</f>
        <v>65000</v>
      </c>
      <c r="K20" s="331" t="n">
        <f aca="false">'данные по ЭК в долларах'!K17</f>
        <v>68000</v>
      </c>
      <c r="L20" s="655" t="s">
        <v>166</v>
      </c>
      <c r="M20" s="655" t="s">
        <v>166</v>
      </c>
      <c r="N20" s="655" t="s">
        <v>166</v>
      </c>
      <c r="O20" s="655" t="s">
        <v>166</v>
      </c>
      <c r="Q20" s="0" t="n">
        <f aca="false">$AC$7</f>
        <v>3800</v>
      </c>
      <c r="R20" s="0" t="n">
        <f aca="false">$AC$12</f>
        <v>800</v>
      </c>
      <c r="S20" s="0" t="n">
        <f aca="false">$AD$7</f>
        <v>7500</v>
      </c>
      <c r="T20" s="0" t="n">
        <f aca="false">$AD$12</f>
        <v>1500</v>
      </c>
      <c r="Z20" s="616"/>
      <c r="AB20" s="0" t="s">
        <v>797</v>
      </c>
      <c r="AC20" s="0" t="n">
        <v>800</v>
      </c>
      <c r="AD20" s="0" t="n">
        <v>1500</v>
      </c>
    </row>
    <row r="21" customFormat="false" ht="12.8" hidden="false" customHeight="false" outlineLevel="0" collapsed="false">
      <c r="A21" s="619" t="s">
        <v>722</v>
      </c>
      <c r="B21" s="331" t="s">
        <v>913</v>
      </c>
      <c r="C21" s="331" t="n">
        <v>17</v>
      </c>
      <c r="D21" s="331" t="n">
        <f aca="false">'данные по ЭК в долларах'!D18</f>
        <v>42500</v>
      </c>
      <c r="E21" s="331" t="n">
        <f aca="false">'данные по ЭК в долларах'!E18</f>
        <v>45500</v>
      </c>
      <c r="F21" s="331" t="n">
        <f aca="false">'данные по ЭК в долларах'!F18</f>
        <v>48500</v>
      </c>
      <c r="G21" s="331" t="n">
        <f aca="false">'данные по ЭК в долларах'!G18</f>
        <v>51500</v>
      </c>
      <c r="H21" s="331" t="n">
        <f aca="false">'данные по ЭК в долларах'!H18</f>
        <v>54500</v>
      </c>
      <c r="I21" s="331" t="n">
        <f aca="false">'данные по ЭК в долларах'!I18</f>
        <v>57500</v>
      </c>
      <c r="J21" s="331" t="n">
        <f aca="false">'данные по ЭК в долларах'!J18</f>
        <v>60500</v>
      </c>
      <c r="K21" s="331" t="n">
        <f aca="false">'данные по ЭК в долларах'!K18</f>
        <v>63500</v>
      </c>
      <c r="L21" s="331" t="n">
        <f aca="false">'данные по ЭК в долларах'!L18</f>
        <v>66500</v>
      </c>
      <c r="M21" s="331" t="n">
        <f aca="false">'данные по ЭК в долларах'!M18</f>
        <v>69500</v>
      </c>
      <c r="N21" s="331" t="n">
        <f aca="false">'данные по ЭК в долларах'!N18</f>
        <v>72500</v>
      </c>
      <c r="O21" s="331" t="n">
        <f aca="false">'данные по ЭК в долларах'!O18</f>
        <v>75500</v>
      </c>
      <c r="Q21" s="0" t="n">
        <f aca="false">$AC$7</f>
        <v>3800</v>
      </c>
      <c r="R21" s="0" t="n">
        <f aca="false">$AC$12</f>
        <v>800</v>
      </c>
      <c r="S21" s="0" t="n">
        <f aca="false">$AD$7</f>
        <v>7500</v>
      </c>
      <c r="T21" s="0" t="n">
        <f aca="false">$AD$12</f>
        <v>1500</v>
      </c>
      <c r="Z21" s="616"/>
    </row>
    <row r="22" customFormat="false" ht="12.8" hidden="false" customHeight="false" outlineLevel="0" collapsed="false">
      <c r="A22" s="619" t="s">
        <v>723</v>
      </c>
      <c r="B22" s="331" t="s">
        <v>914</v>
      </c>
      <c r="C22" s="331" t="n">
        <v>18</v>
      </c>
      <c r="D22" s="331" t="n">
        <f aca="false">'данные по ЭК в долларах'!D19</f>
        <v>48100</v>
      </c>
      <c r="E22" s="331" t="n">
        <f aca="false">'данные по ЭК в долларах'!E19</f>
        <v>51100</v>
      </c>
      <c r="F22" s="331" t="n">
        <f aca="false">'данные по ЭК в долларах'!F19</f>
        <v>54200</v>
      </c>
      <c r="G22" s="331" t="n">
        <f aca="false">'данные по ЭК в долларах'!G19</f>
        <v>57200</v>
      </c>
      <c r="H22" s="331" t="n">
        <f aca="false">'данные по ЭК в долларах'!H19</f>
        <v>60200</v>
      </c>
      <c r="I22" s="331" t="n">
        <f aca="false">'данные по ЭК в долларах'!I19</f>
        <v>63200</v>
      </c>
      <c r="J22" s="331" t="n">
        <f aca="false">'данные по ЭК в долларах'!J19</f>
        <v>66200</v>
      </c>
      <c r="K22" s="331" t="n">
        <f aca="false">'данные по ЭК в долларах'!K19</f>
        <v>69200</v>
      </c>
      <c r="L22" s="331" t="n">
        <f aca="false">'данные по ЭК в долларах'!L19</f>
        <v>72200</v>
      </c>
      <c r="M22" s="331" t="n">
        <f aca="false">'данные по ЭК в долларах'!M19</f>
        <v>75200</v>
      </c>
      <c r="N22" s="331" t="n">
        <f aca="false">'данные по ЭК в долларах'!N19</f>
        <v>78200</v>
      </c>
      <c r="O22" s="331" t="n">
        <f aca="false">'данные по ЭК в долларах'!O19</f>
        <v>81200</v>
      </c>
      <c r="Q22" s="0" t="n">
        <f aca="false">$AC$7</f>
        <v>3800</v>
      </c>
      <c r="R22" s="0" t="n">
        <f aca="false">$AC$12</f>
        <v>800</v>
      </c>
      <c r="S22" s="0" t="n">
        <f aca="false">$AD$7</f>
        <v>7500</v>
      </c>
      <c r="T22" s="0" t="n">
        <f aca="false">$AD$12</f>
        <v>1500</v>
      </c>
      <c r="Z22" s="616"/>
    </row>
    <row r="23" customFormat="false" ht="12.8" hidden="false" customHeight="false" outlineLevel="0" collapsed="false">
      <c r="A23" s="619" t="s">
        <v>724</v>
      </c>
      <c r="B23" s="331" t="s">
        <v>915</v>
      </c>
      <c r="C23" s="331" t="n">
        <v>19</v>
      </c>
      <c r="D23" s="331" t="n">
        <f aca="false">'данные по ЭК в долларах'!D20</f>
        <v>42500</v>
      </c>
      <c r="E23" s="331" t="n">
        <f aca="false">'данные по ЭК в долларах'!E20</f>
        <v>45500</v>
      </c>
      <c r="F23" s="331" t="n">
        <f aca="false">'данные по ЭК в долларах'!F20</f>
        <v>48500</v>
      </c>
      <c r="G23" s="331" t="n">
        <f aca="false">'данные по ЭК в долларах'!G20</f>
        <v>51500</v>
      </c>
      <c r="H23" s="331" t="n">
        <f aca="false">'данные по ЭК в долларах'!H20</f>
        <v>54500</v>
      </c>
      <c r="I23" s="331" t="n">
        <f aca="false">'данные по ЭК в долларах'!I20</f>
        <v>57500</v>
      </c>
      <c r="J23" s="331" t="n">
        <f aca="false">'данные по ЭК в долларах'!J20</f>
        <v>60500</v>
      </c>
      <c r="K23" s="331" t="n">
        <f aca="false">'данные по ЭК в долларах'!K20</f>
        <v>63500</v>
      </c>
      <c r="L23" s="331" t="n">
        <f aca="false">'данные по ЭК в долларах'!L20</f>
        <v>66500</v>
      </c>
      <c r="M23" s="331" t="n">
        <f aca="false">'данные по ЭК в долларах'!M20</f>
        <v>69500</v>
      </c>
      <c r="N23" s="331" t="n">
        <f aca="false">'данные по ЭК в долларах'!N20</f>
        <v>72500</v>
      </c>
      <c r="O23" s="331" t="n">
        <f aca="false">'данные по ЭК в долларах'!O20</f>
        <v>75500</v>
      </c>
      <c r="Q23" s="0" t="n">
        <f aca="false">$AC$7</f>
        <v>3800</v>
      </c>
      <c r="R23" s="0" t="n">
        <f aca="false">$AC$12</f>
        <v>800</v>
      </c>
      <c r="S23" s="0" t="n">
        <f aca="false">$AD$7</f>
        <v>7500</v>
      </c>
      <c r="T23" s="0" t="n">
        <f aca="false">$AD$12</f>
        <v>1500</v>
      </c>
      <c r="Z23" s="616"/>
    </row>
    <row r="24" customFormat="false" ht="12.8" hidden="false" customHeight="false" outlineLevel="0" collapsed="false">
      <c r="A24" s="619" t="s">
        <v>725</v>
      </c>
      <c r="B24" s="331" t="s">
        <v>916</v>
      </c>
      <c r="C24" s="331" t="n">
        <v>20</v>
      </c>
      <c r="D24" s="331" t="n">
        <f aca="false">'данные по ЭК в долларах'!D21</f>
        <v>52500</v>
      </c>
      <c r="E24" s="331" t="n">
        <f aca="false">'данные по ЭК в долларах'!E21</f>
        <v>58200</v>
      </c>
      <c r="F24" s="331" t="n">
        <f aca="false">'данные по ЭК в долларах'!F21</f>
        <v>63900</v>
      </c>
      <c r="G24" s="331" t="n">
        <f aca="false">'данные по ЭК в долларах'!G21</f>
        <v>69700</v>
      </c>
      <c r="H24" s="331" t="n">
        <f aca="false">'данные по ЭК в долларах'!H21</f>
        <v>75400</v>
      </c>
      <c r="I24" s="331" t="n">
        <f aca="false">'данные по ЭК в долларах'!I21</f>
        <v>81100</v>
      </c>
      <c r="J24" s="331" t="n">
        <f aca="false">'данные по ЭК в долларах'!J21</f>
        <v>87700</v>
      </c>
      <c r="K24" s="331" t="n">
        <f aca="false">'данные по ЭК в долларах'!K21</f>
        <v>93400</v>
      </c>
      <c r="L24" s="331" t="n">
        <f aca="false">'данные по ЭК в долларах'!L21</f>
        <v>99200</v>
      </c>
      <c r="M24" s="331" t="n">
        <f aca="false">'данные по ЭК в долларах'!M21</f>
        <v>104900</v>
      </c>
      <c r="N24" s="331" t="n">
        <f aca="false">'данные по ЭК в долларах'!N21</f>
        <v>110600</v>
      </c>
      <c r="O24" s="331" t="n">
        <f aca="false">'данные по ЭК в долларах'!O21</f>
        <v>116300</v>
      </c>
      <c r="Q24" s="0" t="n">
        <f aca="false">$AC$7</f>
        <v>3800</v>
      </c>
      <c r="R24" s="0" t="n">
        <f aca="false">$AC$12</f>
        <v>800</v>
      </c>
      <c r="S24" s="0" t="n">
        <f aca="false">$AD$7</f>
        <v>7500</v>
      </c>
      <c r="T24" s="0" t="n">
        <f aca="false">$AD$12</f>
        <v>1500</v>
      </c>
      <c r="Z24" s="616"/>
    </row>
    <row r="25" customFormat="false" ht="12.8" hidden="false" customHeight="false" outlineLevel="0" collapsed="false">
      <c r="A25" s="620" t="s">
        <v>726</v>
      </c>
      <c r="B25" s="331" t="s">
        <v>917</v>
      </c>
      <c r="C25" s="331" t="n">
        <v>21</v>
      </c>
      <c r="D25" s="331" t="n">
        <f aca="false">'данные по ЭК в долларах'!D22</f>
        <v>52500</v>
      </c>
      <c r="E25" s="331" t="n">
        <f aca="false">'данные по ЭК в долларах'!E22</f>
        <v>58200</v>
      </c>
      <c r="F25" s="331" t="n">
        <f aca="false">'данные по ЭК в долларах'!F22</f>
        <v>63900</v>
      </c>
      <c r="G25" s="331" t="n">
        <f aca="false">'данные по ЭК в долларах'!G22</f>
        <v>69700</v>
      </c>
      <c r="H25" s="331" t="n">
        <f aca="false">'данные по ЭК в долларах'!H22</f>
        <v>75400</v>
      </c>
      <c r="I25" s="331" t="n">
        <f aca="false">'данные по ЭК в долларах'!I22</f>
        <v>81100</v>
      </c>
      <c r="J25" s="331" t="n">
        <f aca="false">'данные по ЭК в долларах'!J22</f>
        <v>87700</v>
      </c>
      <c r="K25" s="331" t="n">
        <f aca="false">'данные по ЭК в долларах'!K22</f>
        <v>93400</v>
      </c>
      <c r="L25" s="331" t="n">
        <f aca="false">'данные по ЭК в долларах'!L22</f>
        <v>99200</v>
      </c>
      <c r="M25" s="331" t="n">
        <f aca="false">'данные по ЭК в долларах'!M22</f>
        <v>104900</v>
      </c>
      <c r="N25" s="331" t="n">
        <f aca="false">'данные по ЭК в долларах'!N22</f>
        <v>110600</v>
      </c>
      <c r="O25" s="331" t="n">
        <f aca="false">'данные по ЭК в долларах'!O22</f>
        <v>116300</v>
      </c>
      <c r="Q25" s="0" t="n">
        <f aca="false">$AC$7</f>
        <v>3800</v>
      </c>
      <c r="R25" s="0" t="n">
        <f aca="false">$AC$12</f>
        <v>800</v>
      </c>
      <c r="S25" s="0" t="n">
        <f aca="false">$AD$7</f>
        <v>7500</v>
      </c>
      <c r="T25" s="0" t="n">
        <f aca="false">$AD$12</f>
        <v>1500</v>
      </c>
      <c r="Z25" s="616"/>
    </row>
    <row r="26" customFormat="false" ht="12.8" hidden="false" customHeight="false" outlineLevel="0" collapsed="false">
      <c r="A26" s="620" t="s">
        <v>727</v>
      </c>
      <c r="B26" s="331" t="s">
        <v>918</v>
      </c>
      <c r="C26" s="331" t="n">
        <v>22</v>
      </c>
      <c r="D26" s="331" t="n">
        <f aca="false">'данные по ЭК в долларах'!D23</f>
        <v>58100</v>
      </c>
      <c r="E26" s="331" t="n">
        <f aca="false">'данные по ЭК в долларах'!E23</f>
        <v>63800</v>
      </c>
      <c r="F26" s="331" t="n">
        <f aca="false">'данные по ЭК в долларах'!F23</f>
        <v>69500</v>
      </c>
      <c r="G26" s="331" t="n">
        <f aca="false">'данные по ЭК в долларах'!G23</f>
        <v>75300</v>
      </c>
      <c r="H26" s="331" t="n">
        <f aca="false">'данные по ЭК в долларах'!H23</f>
        <v>81000</v>
      </c>
      <c r="I26" s="331" t="n">
        <f aca="false">'данные по ЭК в долларах'!I23</f>
        <v>86700</v>
      </c>
      <c r="J26" s="331" t="n">
        <f aca="false">'данные по ЭК в долларах'!J23</f>
        <v>93300</v>
      </c>
      <c r="K26" s="331" t="n">
        <f aca="false">'данные по ЭК в долларах'!K23</f>
        <v>99100</v>
      </c>
      <c r="L26" s="331" t="n">
        <f aca="false">'данные по ЭК в долларах'!L23</f>
        <v>104800</v>
      </c>
      <c r="M26" s="331" t="n">
        <f aca="false">'данные по ЭК в долларах'!M23</f>
        <v>110500</v>
      </c>
      <c r="N26" s="331" t="n">
        <f aca="false">'данные по ЭК в долларах'!N23</f>
        <v>116200</v>
      </c>
      <c r="O26" s="331" t="n">
        <f aca="false">'данные по ЭК в долларах'!O23</f>
        <v>121900</v>
      </c>
      <c r="Q26" s="0" t="n">
        <f aca="false">$AC$7</f>
        <v>3800</v>
      </c>
      <c r="R26" s="0" t="n">
        <f aca="false">$AC$12</f>
        <v>800</v>
      </c>
      <c r="S26" s="0" t="n">
        <f aca="false">$AD$7</f>
        <v>7500</v>
      </c>
      <c r="T26" s="0" t="n">
        <f aca="false">$AD$12</f>
        <v>1500</v>
      </c>
      <c r="Z26" s="616"/>
    </row>
    <row r="27" customFormat="false" ht="12.8" hidden="false" customHeight="false" outlineLevel="0" collapsed="false">
      <c r="A27" s="619" t="s">
        <v>728</v>
      </c>
      <c r="B27" s="331" t="s">
        <v>919</v>
      </c>
      <c r="C27" s="331" t="n">
        <v>23</v>
      </c>
      <c r="D27" s="331" t="n">
        <f aca="false">'данные по ЭК в долларах'!D24</f>
        <v>53700</v>
      </c>
      <c r="E27" s="331" t="n">
        <f aca="false">'данные по ЭК в долларах'!E24</f>
        <v>59400</v>
      </c>
      <c r="F27" s="331" t="n">
        <f aca="false">'данные по ЭК в долларах'!F24</f>
        <v>65100</v>
      </c>
      <c r="G27" s="331" t="n">
        <f aca="false">'данные по ЭК в долларах'!G24</f>
        <v>70800</v>
      </c>
      <c r="H27" s="331" t="n">
        <f aca="false">'данные по ЭК в долларах'!H24</f>
        <v>76500</v>
      </c>
      <c r="I27" s="331" t="n">
        <f aca="false">'данные по ЭК в долларах'!I24</f>
        <v>82200</v>
      </c>
      <c r="J27" s="331" t="n">
        <f aca="false">'данные по ЭК в долларах'!J24</f>
        <v>88900</v>
      </c>
      <c r="K27" s="331" t="n">
        <f aca="false">'данные по ЭК в долларах'!K24</f>
        <v>94600</v>
      </c>
      <c r="L27" s="331" t="n">
        <f aca="false">'данные по ЭК в долларах'!L24</f>
        <v>100300</v>
      </c>
      <c r="M27" s="331" t="n">
        <f aca="false">'данные по ЭК в долларах'!M24</f>
        <v>106000</v>
      </c>
      <c r="N27" s="331" t="n">
        <f aca="false">'данные по ЭК в долларах'!N24</f>
        <v>111700</v>
      </c>
      <c r="O27" s="331" t="n">
        <f aca="false">'данные по ЭК в долларах'!O24</f>
        <v>117400</v>
      </c>
      <c r="Q27" s="0" t="n">
        <f aca="false">$AC$7</f>
        <v>3800</v>
      </c>
      <c r="R27" s="0" t="n">
        <f aca="false">$AC$12</f>
        <v>800</v>
      </c>
      <c r="S27" s="0" t="n">
        <f aca="false">$AD$7</f>
        <v>7500</v>
      </c>
      <c r="T27" s="0" t="n">
        <f aca="false">$AD$12</f>
        <v>1500</v>
      </c>
      <c r="Z27" s="616"/>
    </row>
    <row r="28" customFormat="false" ht="12.8" hidden="false" customHeight="false" outlineLevel="0" collapsed="false">
      <c r="A28" s="620" t="s">
        <v>729</v>
      </c>
      <c r="B28" s="331" t="s">
        <v>920</v>
      </c>
      <c r="C28" s="331" t="n">
        <v>24</v>
      </c>
      <c r="D28" s="331" t="n">
        <f aca="false">'данные по ЭК в долларах'!D25</f>
        <v>59300</v>
      </c>
      <c r="E28" s="331" t="n">
        <f aca="false">'данные по ЭК в долларах'!E25</f>
        <v>65000</v>
      </c>
      <c r="F28" s="331" t="n">
        <f aca="false">'данные по ЭК в долларах'!F25</f>
        <v>70700</v>
      </c>
      <c r="G28" s="331" t="n">
        <f aca="false">'данные по ЭК в долларах'!G25</f>
        <v>76400</v>
      </c>
      <c r="H28" s="331" t="n">
        <f aca="false">'данные по ЭК в долларах'!H25</f>
        <v>82100</v>
      </c>
      <c r="I28" s="331" t="n">
        <f aca="false">'данные по ЭК в долларах'!I25</f>
        <v>87800</v>
      </c>
      <c r="J28" s="331" t="n">
        <f aca="false">'данные по ЭК в долларах'!J25</f>
        <v>94500</v>
      </c>
      <c r="K28" s="331" t="n">
        <f aca="false">'данные по ЭК в долларах'!K25</f>
        <v>100200</v>
      </c>
      <c r="L28" s="331" t="n">
        <f aca="false">'данные по ЭК в долларах'!L25</f>
        <v>105900</v>
      </c>
      <c r="M28" s="331" t="n">
        <f aca="false">'данные по ЭК в долларах'!M25</f>
        <v>111600</v>
      </c>
      <c r="N28" s="331" t="n">
        <f aca="false">'данные по ЭК в долларах'!N25</f>
        <v>117300</v>
      </c>
      <c r="O28" s="331" t="n">
        <f aca="false">'данные по ЭК в долларах'!O25</f>
        <v>123100</v>
      </c>
      <c r="Q28" s="0" t="n">
        <f aca="false">$AC$7</f>
        <v>3800</v>
      </c>
      <c r="R28" s="0" t="n">
        <f aca="false">$AC$12</f>
        <v>800</v>
      </c>
      <c r="S28" s="0" t="n">
        <f aca="false">$AD$7</f>
        <v>7500</v>
      </c>
      <c r="T28" s="0" t="n">
        <f aca="false">$AD$12</f>
        <v>1500</v>
      </c>
      <c r="Z28" s="616"/>
    </row>
    <row r="29" customFormat="false" ht="12.8" hidden="false" customHeight="false" outlineLevel="0" collapsed="false">
      <c r="A29" s="620" t="s">
        <v>730</v>
      </c>
      <c r="B29" s="331" t="s">
        <v>921</v>
      </c>
      <c r="C29" s="331" t="n">
        <v>25</v>
      </c>
      <c r="D29" s="331" t="n">
        <f aca="false">'данные по ЭК в долларах'!D26</f>
        <v>53700</v>
      </c>
      <c r="E29" s="331" t="n">
        <f aca="false">'данные по ЭК в долларах'!E26</f>
        <v>59400</v>
      </c>
      <c r="F29" s="331" t="n">
        <f aca="false">'данные по ЭК в долларах'!F26</f>
        <v>65100</v>
      </c>
      <c r="G29" s="331" t="n">
        <f aca="false">'данные по ЭК в долларах'!G26</f>
        <v>70800</v>
      </c>
      <c r="H29" s="331" t="n">
        <f aca="false">'данные по ЭК в долларах'!H26</f>
        <v>76500</v>
      </c>
      <c r="I29" s="331" t="n">
        <f aca="false">'данные по ЭК в долларах'!I26</f>
        <v>82200</v>
      </c>
      <c r="J29" s="331" t="n">
        <f aca="false">'данные по ЭК в долларах'!J26</f>
        <v>88900</v>
      </c>
      <c r="K29" s="331" t="n">
        <f aca="false">'данные по ЭК в долларах'!K26</f>
        <v>94600</v>
      </c>
      <c r="L29" s="331" t="n">
        <f aca="false">'данные по ЭК в долларах'!L26</f>
        <v>100300</v>
      </c>
      <c r="M29" s="331" t="n">
        <f aca="false">'данные по ЭК в долларах'!M26</f>
        <v>106000</v>
      </c>
      <c r="N29" s="331" t="n">
        <f aca="false">'данные по ЭК в долларах'!N26</f>
        <v>111700</v>
      </c>
      <c r="O29" s="331" t="n">
        <f aca="false">'данные по ЭК в долларах'!O26</f>
        <v>117400</v>
      </c>
      <c r="Q29" s="0" t="n">
        <f aca="false">$AC$7</f>
        <v>3800</v>
      </c>
      <c r="R29" s="0" t="n">
        <f aca="false">$AC$12</f>
        <v>800</v>
      </c>
      <c r="S29" s="0" t="n">
        <f aca="false">$AD$7</f>
        <v>7500</v>
      </c>
      <c r="T29" s="0" t="n">
        <f aca="false">$AD$12</f>
        <v>1500</v>
      </c>
      <c r="Z29" s="616"/>
    </row>
    <row r="30" customFormat="false" ht="12.8" hidden="false" customHeight="false" outlineLevel="0" collapsed="false">
      <c r="A30" s="620" t="s">
        <v>731</v>
      </c>
      <c r="B30" s="331" t="s">
        <v>922</v>
      </c>
      <c r="C30" s="331" t="n">
        <v>26</v>
      </c>
      <c r="D30" s="652" t="n">
        <f aca="false">'данные по ЭК в долларах'!D51</f>
        <v>28100</v>
      </c>
      <c r="E30" s="652" t="n">
        <f aca="false">'данные по ЭК в долларах'!E51</f>
        <v>32300</v>
      </c>
      <c r="F30" s="652" t="n">
        <f aca="false">'данные по ЭК в долларах'!F51</f>
        <v>36500</v>
      </c>
      <c r="G30" s="652" t="n">
        <f aca="false">'данные по ЭК в долларах'!G51</f>
        <v>40700</v>
      </c>
      <c r="H30" s="652" t="n">
        <f aca="false">'данные по ЭК в долларах'!H51</f>
        <v>44900</v>
      </c>
      <c r="I30" s="652" t="n">
        <f aca="false">'данные по ЭК в долларах'!I51</f>
        <v>49200</v>
      </c>
      <c r="J30" s="652" t="n">
        <f aca="false">'данные по ЭК в долларах'!J51</f>
        <v>54500</v>
      </c>
      <c r="K30" s="652" t="n">
        <f aca="false">'данные по ЭК в долларах'!K51</f>
        <v>59900</v>
      </c>
      <c r="L30" s="655" t="s">
        <v>166</v>
      </c>
      <c r="M30" s="655" t="s">
        <v>166</v>
      </c>
      <c r="N30" s="655" t="s">
        <v>166</v>
      </c>
      <c r="O30" s="655" t="s">
        <v>166</v>
      </c>
      <c r="Q30" s="0" t="n">
        <f aca="false">$AC$7</f>
        <v>3800</v>
      </c>
      <c r="R30" s="0" t="n">
        <f aca="false">$AC$12</f>
        <v>800</v>
      </c>
      <c r="S30" s="0" t="n">
        <f aca="false">$AD$7</f>
        <v>7500</v>
      </c>
      <c r="T30" s="0" t="n">
        <f aca="false">$AD$12</f>
        <v>1500</v>
      </c>
      <c r="Z30" s="616"/>
    </row>
    <row r="31" customFormat="false" ht="12.8" hidden="false" customHeight="false" outlineLevel="0" collapsed="false">
      <c r="A31" s="331" t="s">
        <v>732</v>
      </c>
      <c r="B31" s="331" t="s">
        <v>923</v>
      </c>
      <c r="C31" s="331" t="n">
        <v>27</v>
      </c>
      <c r="D31" s="331" t="n">
        <f aca="false">'данные по ЭК в долларах'!D28</f>
        <v>48300</v>
      </c>
      <c r="E31" s="331" t="n">
        <f aca="false">'данные по ЭК в долларах'!E28</f>
        <v>54000</v>
      </c>
      <c r="F31" s="331" t="n">
        <f aca="false">'данные по ЭК в долларах'!F28</f>
        <v>59800</v>
      </c>
      <c r="G31" s="331" t="n">
        <f aca="false">'данные по ЭК в долларах'!G28</f>
        <v>65500</v>
      </c>
      <c r="H31" s="331" t="n">
        <f aca="false">'данные по ЭК в долларах'!H28</f>
        <v>71200</v>
      </c>
      <c r="I31" s="331" t="n">
        <f aca="false">'данные по ЭК в долларах'!I28</f>
        <v>76900</v>
      </c>
      <c r="J31" s="331" t="n">
        <f aca="false">'данные по ЭК в долларах'!J28</f>
        <v>83600</v>
      </c>
      <c r="K31" s="331" t="n">
        <f aca="false">'данные по ЭК в долларах'!K28</f>
        <v>89300</v>
      </c>
      <c r="L31" s="331" t="str">
        <f aca="false">'данные по ЭК в долларах'!L28</f>
        <v>-</v>
      </c>
      <c r="M31" s="331" t="str">
        <f aca="false">'данные по ЭК в долларах'!M28</f>
        <v>-</v>
      </c>
      <c r="N31" s="655" t="s">
        <v>166</v>
      </c>
      <c r="O31" s="655" t="s">
        <v>166</v>
      </c>
      <c r="Q31" s="0" t="n">
        <f aca="false">$AC$7</f>
        <v>3800</v>
      </c>
      <c r="R31" s="0" t="n">
        <f aca="false">$AC$12</f>
        <v>800</v>
      </c>
      <c r="S31" s="0" t="n">
        <f aca="false">$AD$7</f>
        <v>7500</v>
      </c>
      <c r="T31" s="0" t="n">
        <f aca="false">$AD$12</f>
        <v>1500</v>
      </c>
      <c r="Z31" s="616"/>
    </row>
    <row r="32" customFormat="false" ht="12.8" hidden="false" customHeight="false" outlineLevel="0" collapsed="false">
      <c r="A32" s="331" t="s">
        <v>733</v>
      </c>
      <c r="B32" s="331" t="s">
        <v>924</v>
      </c>
      <c r="C32" s="331" t="n">
        <v>28</v>
      </c>
      <c r="D32" s="331" t="n">
        <f aca="false">'данные по ЭК в долларах'!D29</f>
        <v>48300</v>
      </c>
      <c r="E32" s="331" t="n">
        <f aca="false">'данные по ЭК в долларах'!E29</f>
        <v>54000</v>
      </c>
      <c r="F32" s="331" t="n">
        <f aca="false">'данные по ЭК в долларах'!F29</f>
        <v>59800</v>
      </c>
      <c r="G32" s="331" t="n">
        <f aca="false">'данные по ЭК в долларах'!G29</f>
        <v>65500</v>
      </c>
      <c r="H32" s="331" t="n">
        <f aca="false">'данные по ЭК в долларах'!H29</f>
        <v>71200</v>
      </c>
      <c r="I32" s="331" t="n">
        <f aca="false">'данные по ЭК в долларах'!I29</f>
        <v>76900</v>
      </c>
      <c r="J32" s="331" t="n">
        <f aca="false">'данные по ЭК в долларах'!J29</f>
        <v>83600</v>
      </c>
      <c r="K32" s="331" t="n">
        <f aca="false">'данные по ЭК в долларах'!K29</f>
        <v>89300</v>
      </c>
      <c r="L32" s="331" t="str">
        <f aca="false">'данные по ЭК в долларах'!L29</f>
        <v>-</v>
      </c>
      <c r="M32" s="331" t="str">
        <f aca="false">'данные по ЭК в долларах'!M29</f>
        <v>-</v>
      </c>
      <c r="N32" s="655" t="s">
        <v>166</v>
      </c>
      <c r="O32" s="655" t="s">
        <v>166</v>
      </c>
      <c r="Q32" s="0" t="n">
        <f aca="false">$AC$7</f>
        <v>3800</v>
      </c>
      <c r="R32" s="0" t="n">
        <f aca="false">$AC$12</f>
        <v>800</v>
      </c>
      <c r="S32" s="0" t="n">
        <f aca="false">$AD$7</f>
        <v>7500</v>
      </c>
      <c r="T32" s="0" t="n">
        <f aca="false">$AD$12</f>
        <v>1500</v>
      </c>
      <c r="Z32" s="616"/>
    </row>
    <row r="33" customFormat="false" ht="12.8" hidden="false" customHeight="false" outlineLevel="0" collapsed="false">
      <c r="A33" s="0" t="s">
        <v>925</v>
      </c>
      <c r="B33" s="0" t="s">
        <v>925</v>
      </c>
      <c r="C33" s="331" t="n">
        <v>29</v>
      </c>
      <c r="D33" s="0" t="n">
        <v>1500</v>
      </c>
      <c r="E33" s="0" t="n">
        <f aca="false">D33+$D$33</f>
        <v>3000</v>
      </c>
      <c r="F33" s="0" t="n">
        <f aca="false">E33+$D$33</f>
        <v>4500</v>
      </c>
      <c r="G33" s="0" t="n">
        <f aca="false">F33+$D$33</f>
        <v>6000</v>
      </c>
      <c r="H33" s="0" t="n">
        <f aca="false">G33+$D$33</f>
        <v>7500</v>
      </c>
      <c r="I33" s="0" t="n">
        <f aca="false">H33+$D$33</f>
        <v>9000</v>
      </c>
      <c r="J33" s="0" t="n">
        <f aca="false">I33+$D$33</f>
        <v>10500</v>
      </c>
      <c r="K33" s="0" t="n">
        <f aca="false">J33+$D$33</f>
        <v>12000</v>
      </c>
      <c r="L33" s="0" t="n">
        <f aca="false">K33+$D$33</f>
        <v>13500</v>
      </c>
      <c r="M33" s="0" t="n">
        <f aca="false">L33+$D$33</f>
        <v>15000</v>
      </c>
      <c r="N33" s="0" t="n">
        <f aca="false">M33+$D$33</f>
        <v>16500</v>
      </c>
      <c r="O33" s="0" t="n">
        <f aca="false">N33+$D$33</f>
        <v>18000</v>
      </c>
      <c r="Q33" s="489" t="n">
        <f aca="false">$AC$15</f>
        <v>1500</v>
      </c>
      <c r="R33" s="489" t="n">
        <f aca="false">$AC$20</f>
        <v>800</v>
      </c>
      <c r="S33" s="489" t="n">
        <f aca="false">$AD$15</f>
        <v>3000</v>
      </c>
      <c r="T33" s="489" t="n">
        <f aca="false">$AD$20</f>
        <v>1500</v>
      </c>
      <c r="U33" s="489"/>
      <c r="V33" s="489"/>
      <c r="W33" s="489"/>
      <c r="X33" s="489"/>
      <c r="Y33" s="489"/>
      <c r="Z33" s="489"/>
    </row>
    <row r="35" customFormat="false" ht="19.25" hidden="false" customHeight="false" outlineLevel="0" collapsed="false">
      <c r="A35" s="657" t="s">
        <v>926</v>
      </c>
      <c r="B35" s="115"/>
      <c r="C35" s="115"/>
      <c r="D35" s="115"/>
      <c r="E35" s="115"/>
      <c r="F35" s="115"/>
      <c r="G35" s="115"/>
      <c r="H35" s="324"/>
      <c r="I35" s="324"/>
      <c r="J35" s="324"/>
      <c r="K35" s="324" t="s">
        <v>332</v>
      </c>
    </row>
    <row r="36" customFormat="false" ht="12.8" hidden="false" customHeight="false" outlineLevel="0" collapsed="false">
      <c r="A36" s="115" t="s">
        <v>927</v>
      </c>
      <c r="B36" s="115" t="s">
        <v>928</v>
      </c>
      <c r="C36" s="115"/>
      <c r="D36" s="115"/>
      <c r="E36" s="115"/>
      <c r="F36" s="115"/>
      <c r="G36" s="115"/>
      <c r="H36" s="115"/>
      <c r="I36" s="658"/>
      <c r="J36" s="659"/>
      <c r="K36" s="660" t="n">
        <v>2700</v>
      </c>
    </row>
    <row r="37" customFormat="false" ht="12.8" hidden="false" customHeight="false" outlineLevel="0" collapsed="false">
      <c r="A37" s="115" t="s">
        <v>929</v>
      </c>
      <c r="B37" s="115" t="s">
        <v>930</v>
      </c>
      <c r="C37" s="115"/>
      <c r="D37" s="115"/>
      <c r="E37" s="115"/>
      <c r="F37" s="115"/>
      <c r="G37" s="115"/>
      <c r="H37" s="115"/>
      <c r="I37" s="115"/>
      <c r="J37" s="115"/>
      <c r="K37" s="660" t="n">
        <v>8554</v>
      </c>
    </row>
    <row r="38" customFormat="false" ht="12.8" hidden="false" customHeight="false" outlineLevel="0" collapsed="false">
      <c r="A38" s="115" t="s">
        <v>931</v>
      </c>
      <c r="B38" s="115" t="s">
        <v>932</v>
      </c>
      <c r="K38" s="115" t="n">
        <v>2340</v>
      </c>
    </row>
  </sheetData>
  <mergeCells count="4">
    <mergeCell ref="Q3:Z3"/>
    <mergeCell ref="D4:O4"/>
    <mergeCell ref="AB4:AD4"/>
    <mergeCell ref="AB13:AD1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I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83"/>
    <col collapsed="false" customWidth="true" hidden="false" outlineLevel="0" max="64" min="2" style="0" width="11.63"/>
  </cols>
  <sheetData>
    <row r="3" customFormat="false" ht="12.8" hidden="false" customHeight="false" outlineLevel="0" collapsed="false">
      <c r="B3" s="629" t="s">
        <v>788</v>
      </c>
      <c r="C3" s="629"/>
      <c r="D3" s="629"/>
      <c r="H3" s="0" t="s">
        <v>933</v>
      </c>
    </row>
    <row r="4" customFormat="false" ht="35.5" hidden="false" customHeight="false" outlineLevel="0" collapsed="false">
      <c r="A4" s="661" t="s">
        <v>934</v>
      </c>
      <c r="B4" s="630" t="s">
        <v>790</v>
      </c>
      <c r="C4" s="478" t="s">
        <v>791</v>
      </c>
      <c r="D4" s="478" t="s">
        <v>792</v>
      </c>
      <c r="H4" s="478" t="s">
        <v>935</v>
      </c>
      <c r="I4" s="478" t="s">
        <v>936</v>
      </c>
    </row>
    <row r="5" customFormat="false" ht="12.8" hidden="false" customHeight="false" outlineLevel="0" collapsed="false">
      <c r="C5" s="631" t="n">
        <v>1</v>
      </c>
      <c r="D5" s="631" t="n">
        <v>2</v>
      </c>
      <c r="H5" s="631" t="n">
        <v>1</v>
      </c>
      <c r="I5" s="631" t="n">
        <v>2</v>
      </c>
    </row>
    <row r="6" customFormat="false" ht="12.8" hidden="false" customHeight="false" outlineLevel="0" collapsed="false">
      <c r="A6" s="0" t="s">
        <v>937</v>
      </c>
      <c r="B6" s="482" t="n">
        <v>3</v>
      </c>
      <c r="C6" s="0" t="n">
        <v>3800</v>
      </c>
      <c r="D6" s="0" t="n">
        <v>7500</v>
      </c>
      <c r="H6" s="0" t="n">
        <v>3800</v>
      </c>
      <c r="I6" s="0" t="n">
        <v>7500</v>
      </c>
    </row>
    <row r="7" customFormat="false" ht="12.8" hidden="false" customHeight="false" outlineLevel="0" collapsed="false">
      <c r="A7" s="0" t="s">
        <v>938</v>
      </c>
      <c r="B7" s="482" t="n">
        <v>4</v>
      </c>
      <c r="C7" s="0" t="n">
        <v>4600</v>
      </c>
      <c r="D7" s="0" t="n">
        <v>9000</v>
      </c>
    </row>
    <row r="8" customFormat="false" ht="12.8" hidden="false" customHeight="false" outlineLevel="0" collapsed="false">
      <c r="A8" s="0" t="s">
        <v>939</v>
      </c>
      <c r="B8" s="482" t="n">
        <v>5</v>
      </c>
      <c r="C8" s="0" t="n">
        <v>5400</v>
      </c>
      <c r="D8" s="0" t="n">
        <v>10500</v>
      </c>
    </row>
    <row r="9" customFormat="false" ht="12.8" hidden="false" customHeight="false" outlineLevel="0" collapsed="false">
      <c r="A9" s="0" t="s">
        <v>940</v>
      </c>
      <c r="B9" s="482" t="n">
        <v>6</v>
      </c>
      <c r="C9" s="0" t="n">
        <v>6200</v>
      </c>
      <c r="D9" s="0" t="n">
        <v>12000</v>
      </c>
    </row>
    <row r="10" customFormat="false" ht="12.8" hidden="false" customHeight="false" outlineLevel="0" collapsed="false">
      <c r="A10" s="0" t="s">
        <v>941</v>
      </c>
      <c r="B10" s="482" t="n">
        <v>7</v>
      </c>
      <c r="C10" s="0" t="n">
        <v>7000</v>
      </c>
      <c r="D10" s="0" t="n">
        <v>13500</v>
      </c>
    </row>
    <row r="11" customFormat="false" ht="12.8" hidden="false" customHeight="false" outlineLevel="0" collapsed="false">
      <c r="H11" s="0" t="s">
        <v>942</v>
      </c>
    </row>
    <row r="12" customFormat="false" ht="25.35" hidden="false" customHeight="true" outlineLevel="0" collapsed="false">
      <c r="B12" s="662" t="s">
        <v>943</v>
      </c>
      <c r="C12" s="662"/>
      <c r="D12" s="662"/>
      <c r="H12" s="478" t="s">
        <v>935</v>
      </c>
      <c r="I12" s="478" t="s">
        <v>936</v>
      </c>
    </row>
    <row r="13" customFormat="false" ht="12.8" hidden="false" customHeight="false" outlineLevel="0" collapsed="false">
      <c r="C13" s="631" t="n">
        <v>1</v>
      </c>
      <c r="D13" s="631" t="n">
        <v>2</v>
      </c>
      <c r="H13" s="631" t="n">
        <v>1</v>
      </c>
      <c r="I13" s="631" t="n">
        <v>2</v>
      </c>
    </row>
    <row r="14" customFormat="false" ht="12.8" hidden="false" customHeight="false" outlineLevel="0" collapsed="false">
      <c r="A14" s="0" t="s">
        <v>937</v>
      </c>
      <c r="B14" s="482" t="n">
        <v>3</v>
      </c>
      <c r="C14" s="0" t="n">
        <v>2000</v>
      </c>
      <c r="D14" s="0" t="n">
        <v>3000</v>
      </c>
      <c r="H14" s="0" t="n">
        <v>2000</v>
      </c>
      <c r="I14" s="0" t="n">
        <v>3000</v>
      </c>
    </row>
    <row r="15" customFormat="false" ht="12.8" hidden="false" customHeight="false" outlineLevel="0" collapsed="false">
      <c r="A15" s="0" t="s">
        <v>938</v>
      </c>
      <c r="B15" s="482" t="n">
        <v>4</v>
      </c>
      <c r="C15" s="0" t="n">
        <v>2300</v>
      </c>
      <c r="D15" s="0" t="n">
        <v>4500</v>
      </c>
    </row>
    <row r="16" customFormat="false" ht="12.8" hidden="false" customHeight="false" outlineLevel="0" collapsed="false">
      <c r="A16" s="0" t="s">
        <v>939</v>
      </c>
      <c r="B16" s="482" t="n">
        <v>5</v>
      </c>
      <c r="C16" s="0" t="n">
        <v>3100</v>
      </c>
      <c r="D16" s="0" t="n">
        <v>6000</v>
      </c>
    </row>
    <row r="17" customFormat="false" ht="12.8" hidden="false" customHeight="false" outlineLevel="0" collapsed="false">
      <c r="A17" s="0" t="s">
        <v>940</v>
      </c>
      <c r="B17" s="482" t="n">
        <v>6</v>
      </c>
      <c r="C17" s="0" t="n">
        <v>3900</v>
      </c>
      <c r="D17" s="0" t="n">
        <v>7500</v>
      </c>
      <c r="H17" s="0" t="s">
        <v>944</v>
      </c>
    </row>
    <row r="18" customFormat="false" ht="12.8" hidden="false" customHeight="false" outlineLevel="0" collapsed="false">
      <c r="A18" s="0" t="s">
        <v>941</v>
      </c>
      <c r="B18" s="482" t="n">
        <v>7</v>
      </c>
      <c r="C18" s="0" t="n">
        <v>4700</v>
      </c>
      <c r="D18" s="0" t="n">
        <v>9000</v>
      </c>
      <c r="H18" s="478" t="s">
        <v>935</v>
      </c>
      <c r="I18" s="478" t="s">
        <v>936</v>
      </c>
    </row>
    <row r="19" customFormat="false" ht="12.8" hidden="false" customHeight="false" outlineLevel="0" collapsed="false">
      <c r="G19" s="0" t="s">
        <v>945</v>
      </c>
      <c r="H19" s="0" t="n">
        <v>3800</v>
      </c>
      <c r="I19" s="0" t="n">
        <v>7500</v>
      </c>
    </row>
    <row r="20" customFormat="false" ht="12.8" hidden="false" customHeight="false" outlineLevel="0" collapsed="false">
      <c r="G20" s="0" t="s">
        <v>946</v>
      </c>
      <c r="H20" s="0" t="n">
        <v>2000</v>
      </c>
      <c r="I20" s="0" t="n">
        <v>3000</v>
      </c>
    </row>
    <row r="22" customFormat="false" ht="12.8" hidden="false" customHeight="false" outlineLevel="0" collapsed="false">
      <c r="H22" s="0" t="s">
        <v>947</v>
      </c>
    </row>
    <row r="23" customFormat="false" ht="12.8" hidden="false" customHeight="false" outlineLevel="0" collapsed="false">
      <c r="H23" s="478" t="s">
        <v>935</v>
      </c>
      <c r="I23" s="478" t="s">
        <v>936</v>
      </c>
    </row>
    <row r="24" customFormat="false" ht="12.8" hidden="false" customHeight="false" outlineLevel="0" collapsed="false">
      <c r="H24" s="631" t="n">
        <v>1</v>
      </c>
      <c r="I24" s="631" t="n">
        <v>2</v>
      </c>
    </row>
    <row r="25" customFormat="false" ht="12.8" hidden="false" customHeight="false" outlineLevel="0" collapsed="false">
      <c r="H25" s="0" t="n">
        <v>2000</v>
      </c>
      <c r="I25" s="0" t="n">
        <v>3000</v>
      </c>
    </row>
  </sheetData>
  <mergeCells count="2">
    <mergeCell ref="B3:D3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16" width="12.15"/>
    <col collapsed="false" customWidth="true" hidden="false" outlineLevel="0" max="2" min="2" style="0" width="12.15"/>
    <col collapsed="false" customWidth="true" hidden="false" outlineLevel="0" max="3" min="3" style="0" width="39.28"/>
    <col collapsed="false" customWidth="true" hidden="false" outlineLevel="0" max="4" min="4" style="0" width="13.55"/>
    <col collapsed="false" customWidth="true" hidden="false" outlineLevel="0" max="5" min="5" style="0" width="13.09"/>
    <col collapsed="false" customWidth="true" hidden="false" outlineLevel="0" max="7" min="6" style="0" width="12.71"/>
    <col collapsed="false" customWidth="true" hidden="false" outlineLevel="0" max="8" min="8" style="0" width="25.53"/>
    <col collapsed="false" customWidth="true" hidden="false" outlineLevel="0" max="10" min="9" style="0" width="11.63"/>
    <col collapsed="false" customWidth="true" hidden="false" outlineLevel="0" max="11" min="11" style="0" width="18.39"/>
    <col collapsed="false" customWidth="true" hidden="false" outlineLevel="0" max="64" min="12" style="0" width="11.63"/>
  </cols>
  <sheetData>
    <row r="1" customFormat="false" ht="12.8" hidden="false" customHeight="false" outlineLevel="0" collapsed="false">
      <c r="C1" s="0" t="s">
        <v>948</v>
      </c>
    </row>
    <row r="2" customFormat="false" ht="12.8" hidden="false" customHeight="false" outlineLevel="0" collapsed="false">
      <c r="C2" s="0" t="s">
        <v>949</v>
      </c>
    </row>
    <row r="3" customFormat="false" ht="12.8" hidden="false" customHeight="false" outlineLevel="0" collapsed="false">
      <c r="C3" s="0" t="s">
        <v>950</v>
      </c>
    </row>
    <row r="4" customFormat="false" ht="12.8" hidden="false" customHeight="false" outlineLevel="0" collapsed="false">
      <c r="C4" s="0" t="s">
        <v>951</v>
      </c>
    </row>
    <row r="5" customFormat="false" ht="12.8" hidden="false" customHeight="false" outlineLevel="0" collapsed="false">
      <c r="C5" s="0" t="s">
        <v>952</v>
      </c>
    </row>
    <row r="6" customFormat="false" ht="46.95" hidden="false" customHeight="false" outlineLevel="0" collapsed="false">
      <c r="I6" s="625" t="s">
        <v>953</v>
      </c>
    </row>
    <row r="7" customFormat="false" ht="46.95" hidden="false" customHeight="false" outlineLevel="0" collapsed="false">
      <c r="C7" s="338" t="s">
        <v>954</v>
      </c>
      <c r="D7" s="338" t="s">
        <v>955</v>
      </c>
      <c r="E7" s="338" t="s">
        <v>956</v>
      </c>
      <c r="F7" s="338" t="s">
        <v>527</v>
      </c>
      <c r="G7" s="338" t="s">
        <v>957</v>
      </c>
      <c r="H7" s="338" t="s">
        <v>520</v>
      </c>
      <c r="I7" s="338" t="s">
        <v>958</v>
      </c>
      <c r="J7" s="338" t="s">
        <v>959</v>
      </c>
      <c r="K7" s="625" t="s">
        <v>960</v>
      </c>
      <c r="L7" s="663" t="s">
        <v>961</v>
      </c>
    </row>
    <row r="8" customFormat="false" ht="12.8" hidden="false" customHeight="false" outlineLevel="0" collapsed="false">
      <c r="A8" s="616" t="n">
        <v>1</v>
      </c>
      <c r="B8" s="0" t="s">
        <v>949</v>
      </c>
      <c r="C8" s="637" t="s">
        <v>962</v>
      </c>
      <c r="D8" s="483" t="n">
        <f aca="false">VLOOKUP(C8,'Рулонки с ЭП расчёт систем и оп'!$F$7:$M$473,7,0)</f>
        <v>539.21396826975</v>
      </c>
      <c r="E8" s="483" t="n">
        <f aca="false">VLOOKUP(C8,'Рулонки с ЭП расчёт систем и оп'!$F$7:$M$473,8,0)</f>
        <v>1238.92566</v>
      </c>
      <c r="F8" s="483"/>
      <c r="G8" s="637" t="n">
        <v>0</v>
      </c>
      <c r="H8" s="637" t="s">
        <v>963</v>
      </c>
      <c r="L8" s="0" t="s">
        <v>964</v>
      </c>
    </row>
    <row r="9" customFormat="false" ht="12.8" hidden="false" customHeight="false" outlineLevel="0" collapsed="false">
      <c r="A9" s="616" t="n">
        <v>2</v>
      </c>
      <c r="B9" s="0" t="s">
        <v>949</v>
      </c>
      <c r="C9" s="637" t="s">
        <v>965</v>
      </c>
      <c r="D9" s="483" t="n">
        <f aca="false">'Рулонки с ЭП расчёт систем и оп'!L14</f>
        <v>1436.68901826975</v>
      </c>
      <c r="E9" s="483" t="n">
        <f aca="false">'Рулонки с ЭП расчёт систем и оп'!M14</f>
        <v>1238.92566</v>
      </c>
      <c r="F9" s="483"/>
      <c r="G9" s="637" t="n">
        <v>0</v>
      </c>
      <c r="H9" s="637" t="s">
        <v>966</v>
      </c>
    </row>
    <row r="10" customFormat="false" ht="12.8" hidden="false" customHeight="false" outlineLevel="0" collapsed="false">
      <c r="A10" s="616" t="n">
        <v>3</v>
      </c>
      <c r="B10" s="0" t="s">
        <v>949</v>
      </c>
      <c r="C10" s="637" t="s">
        <v>967</v>
      </c>
      <c r="D10" s="483" t="n">
        <f aca="false">'Рулонки с ЭП расчёт систем и оп'!L22</f>
        <v>1394.87071826975</v>
      </c>
      <c r="E10" s="483" t="n">
        <f aca="false">'Рулонки с ЭП расчёт систем и оп'!M22</f>
        <v>1238.92566</v>
      </c>
      <c r="F10" s="483"/>
      <c r="G10" s="637" t="n">
        <v>0</v>
      </c>
      <c r="H10" s="637" t="s">
        <v>968</v>
      </c>
    </row>
    <row r="11" customFormat="false" ht="12.8" hidden="false" customHeight="false" outlineLevel="0" collapsed="false">
      <c r="A11" s="616" t="n">
        <v>4</v>
      </c>
      <c r="B11" s="0" t="s">
        <v>949</v>
      </c>
      <c r="C11" s="637" t="s">
        <v>969</v>
      </c>
      <c r="D11" s="483" t="n">
        <f aca="false">VLOOKUP(C11,'Рулонки с ЭП расчёт систем и оп'!$F$7:$M$473,7,0)</f>
        <v>951.7558116005</v>
      </c>
      <c r="E11" s="483" t="n">
        <f aca="false">VLOOKUP(C11,'Рулонки с ЭП расчёт систем и оп'!$F$7:$M$473,8,0)</f>
        <v>1568.7498</v>
      </c>
      <c r="F11" s="483"/>
      <c r="G11" s="637" t="n">
        <v>0</v>
      </c>
      <c r="H11" s="637" t="s">
        <v>970</v>
      </c>
      <c r="L11" s="664" t="s">
        <v>971</v>
      </c>
    </row>
    <row r="12" customFormat="false" ht="12.8" hidden="false" customHeight="false" outlineLevel="0" collapsed="false">
      <c r="A12" s="616" t="n">
        <v>5</v>
      </c>
      <c r="B12" s="0" t="s">
        <v>949</v>
      </c>
      <c r="C12" s="637" t="s">
        <v>972</v>
      </c>
      <c r="D12" s="483"/>
      <c r="E12" s="483"/>
      <c r="F12" s="483"/>
      <c r="G12" s="637" t="n">
        <v>0</v>
      </c>
      <c r="H12" s="637"/>
    </row>
    <row r="13" customFormat="false" ht="12.8" hidden="false" customHeight="false" outlineLevel="0" collapsed="false">
      <c r="A13" s="616" t="n">
        <v>6</v>
      </c>
      <c r="B13" s="0" t="s">
        <v>949</v>
      </c>
      <c r="C13" s="637" t="s">
        <v>973</v>
      </c>
      <c r="D13" s="483"/>
      <c r="E13" s="483"/>
      <c r="F13" s="483"/>
      <c r="G13" s="637" t="n">
        <v>0</v>
      </c>
      <c r="H13" s="637"/>
    </row>
    <row r="14" customFormat="false" ht="12.8" hidden="false" customHeight="false" outlineLevel="0" collapsed="false">
      <c r="A14" s="616" t="n">
        <v>7</v>
      </c>
      <c r="B14" s="0" t="s">
        <v>949</v>
      </c>
      <c r="C14" s="637" t="s">
        <v>974</v>
      </c>
      <c r="D14" s="483" t="n">
        <f aca="false">VLOOKUP(C14,'Рулонки с ЭП расчёт систем и оп'!$F$7:$M$473,7,0)</f>
        <v>1255.1902541525</v>
      </c>
      <c r="E14" s="483" t="n">
        <f aca="false">VLOOKUP(C14,'Рулонки с ЭП расчёт систем и оп'!$F$7:$M$473,8,0)</f>
        <v>3478.87218</v>
      </c>
      <c r="F14" s="483"/>
      <c r="G14" s="637" t="n">
        <v>0</v>
      </c>
      <c r="H14" s="637" t="s">
        <v>975</v>
      </c>
    </row>
    <row r="15" customFormat="false" ht="12.8" hidden="false" customHeight="false" outlineLevel="0" collapsed="false">
      <c r="A15" s="616" t="n">
        <v>8</v>
      </c>
      <c r="B15" s="0" t="s">
        <v>949</v>
      </c>
      <c r="C15" s="331" t="s">
        <v>976</v>
      </c>
      <c r="D15" s="483"/>
      <c r="E15" s="483"/>
      <c r="F15" s="483"/>
      <c r="G15" s="637" t="n">
        <v>0</v>
      </c>
      <c r="H15" s="637"/>
    </row>
    <row r="16" customFormat="false" ht="12.8" hidden="false" customHeight="false" outlineLevel="0" collapsed="false">
      <c r="A16" s="616" t="n">
        <v>9</v>
      </c>
      <c r="B16" s="0" t="s">
        <v>949</v>
      </c>
      <c r="C16" s="637" t="s">
        <v>977</v>
      </c>
      <c r="D16" s="483"/>
      <c r="E16" s="483"/>
      <c r="F16" s="483"/>
      <c r="G16" s="637" t="n">
        <v>0</v>
      </c>
      <c r="H16" s="637"/>
    </row>
    <row r="17" customFormat="false" ht="12.8" hidden="false" customHeight="false" outlineLevel="0" collapsed="false">
      <c r="A17" s="616" t="n">
        <v>10</v>
      </c>
      <c r="B17" s="0" t="s">
        <v>949</v>
      </c>
      <c r="C17" s="637" t="s">
        <v>978</v>
      </c>
      <c r="D17" s="483" t="n">
        <f aca="false">VLOOKUP(C17,'Рулонки с ЭП расчёт систем и оп'!$F$7:$M$473,7,0)</f>
        <v>12406.2690330223</v>
      </c>
      <c r="E17" s="483" t="n">
        <f aca="false">VLOOKUP(C17,'Рулонки с ЭП расчёт систем и оп'!$F$7:$M$473,8,0)</f>
        <v>3478.87218</v>
      </c>
      <c r="F17" s="483"/>
      <c r="G17" s="637" t="n">
        <v>1</v>
      </c>
      <c r="H17" s="637" t="s">
        <v>979</v>
      </c>
    </row>
    <row r="18" customFormat="false" ht="12.8" hidden="false" customHeight="false" outlineLevel="0" collapsed="false">
      <c r="A18" s="616" t="n">
        <v>11</v>
      </c>
      <c r="B18" s="0" t="s">
        <v>949</v>
      </c>
      <c r="C18" s="331" t="s">
        <v>980</v>
      </c>
      <c r="D18" s="483" t="n">
        <f aca="false">VLOOKUP(C18,'Рулонки с ЭП расчёт систем и оп'!$F$7:$M$473,7,0)</f>
        <v>2409.85316826975</v>
      </c>
      <c r="E18" s="483" t="n">
        <f aca="false">VLOOKUP(C18,'Рулонки с ЭП расчёт систем и оп'!$F$7:$M$473,8,0)</f>
        <v>5468.60828</v>
      </c>
      <c r="F18" s="483"/>
      <c r="G18" s="331" t="n">
        <v>0</v>
      </c>
      <c r="H18" s="331" t="s">
        <v>981</v>
      </c>
    </row>
    <row r="19" customFormat="false" ht="12.8" hidden="false" customHeight="false" outlineLevel="0" collapsed="false">
      <c r="A19" s="616" t="n">
        <v>12</v>
      </c>
      <c r="B19" s="0" t="s">
        <v>949</v>
      </c>
      <c r="C19" s="637" t="s">
        <v>982</v>
      </c>
      <c r="D19" s="483" t="n">
        <f aca="false">VLOOKUP(C19,'Рулонки с ЭП расчёт систем и оп'!$F$7:$M$473,7,0)</f>
        <v>3297.6988616005</v>
      </c>
      <c r="E19" s="483" t="n">
        <f aca="false">VLOOKUP(C19,'Рулонки с ЭП расчёт систем и оп'!$F$7:$M$473,8,0)</f>
        <v>7060.27578</v>
      </c>
      <c r="F19" s="483"/>
      <c r="G19" s="331" t="n">
        <v>0</v>
      </c>
      <c r="H19" s="637" t="s">
        <v>983</v>
      </c>
    </row>
    <row r="20" customFormat="false" ht="12.8" hidden="false" customHeight="false" outlineLevel="0" collapsed="false">
      <c r="A20" s="616" t="n">
        <v>13</v>
      </c>
      <c r="B20" s="0" t="s">
        <v>949</v>
      </c>
      <c r="C20" s="637" t="s">
        <v>984</v>
      </c>
      <c r="D20" s="483" t="n">
        <f aca="false">VLOOKUP(C20,'Рулонки с ЭП расчёт систем и оп'!$F$7:$M$473,7,0)</f>
        <v>3597.2896041525</v>
      </c>
      <c r="E20" s="483" t="n">
        <f aca="false">VLOOKUP(C20,'Рулонки с ЭП расчёт систем и оп'!$F$7:$M$473,8,0)</f>
        <v>8970.39816</v>
      </c>
      <c r="F20" s="483"/>
      <c r="G20" s="331" t="n">
        <v>0</v>
      </c>
      <c r="H20" s="637" t="s">
        <v>985</v>
      </c>
    </row>
    <row r="21" customFormat="false" ht="12.8" hidden="false" customHeight="false" outlineLevel="0" collapsed="false">
      <c r="A21" s="616" t="n">
        <v>14</v>
      </c>
      <c r="B21" s="0" t="s">
        <v>949</v>
      </c>
      <c r="C21" s="637" t="s">
        <v>986</v>
      </c>
      <c r="D21" s="483" t="e">
        <f aca="false">VLOOKUP(C21,'Рулонки с ЭП расчёт систем и оп'!$F$7:$M$473,7,0)</f>
        <v>#N/A</v>
      </c>
      <c r="E21" s="483" t="e">
        <f aca="false">VLOOKUP(C21,'Рулонки с ЭП расчёт систем и оп'!$F$7:$M$473,8,0)</f>
        <v>#N/A</v>
      </c>
      <c r="F21" s="483"/>
      <c r="G21" s="331" t="n">
        <v>0</v>
      </c>
      <c r="H21" s="637" t="s">
        <v>970</v>
      </c>
    </row>
    <row r="22" customFormat="false" ht="12.8" hidden="false" customHeight="false" outlineLevel="0" collapsed="false">
      <c r="A22" s="616" t="n">
        <v>15</v>
      </c>
      <c r="B22" s="0" t="s">
        <v>949</v>
      </c>
      <c r="C22" s="637" t="s">
        <v>987</v>
      </c>
      <c r="D22" s="483" t="n">
        <f aca="false">VLOOKUP(C22,'Рулонки с ЭП расчёт систем и оп'!$F$7:$M$473,7,0)</f>
        <v>1852.7479692255</v>
      </c>
      <c r="E22" s="483" t="n">
        <f aca="false">VLOOKUP(C22,'Рулонки с ЭП расчёт систем и оп'!$F$7:$M$473,8,0)</f>
        <v>3478.87218</v>
      </c>
      <c r="F22" s="483"/>
      <c r="G22" s="331" t="n">
        <v>0</v>
      </c>
      <c r="H22" s="637" t="s">
        <v>975</v>
      </c>
    </row>
    <row r="23" customFormat="false" ht="12.8" hidden="false" customHeight="false" outlineLevel="0" collapsed="false">
      <c r="A23" s="616" t="n">
        <v>16</v>
      </c>
      <c r="B23" s="0" t="s">
        <v>949</v>
      </c>
      <c r="C23" s="637" t="s">
        <v>988</v>
      </c>
      <c r="D23" s="483" t="e">
        <f aca="false">VLOOKUP(C23,'Рулонки с ЭП расчёт систем и оп'!$F$7:$M$473,7,0)</f>
        <v>#N/A</v>
      </c>
      <c r="E23" s="483" t="e">
        <f aca="false">VLOOKUP(C23,'Рулонки с ЭП расчёт систем и оп'!$F$7:$M$473,8,0)</f>
        <v>#N/A</v>
      </c>
      <c r="F23" s="483"/>
      <c r="G23" s="331" t="n">
        <v>0</v>
      </c>
      <c r="H23" s="637" t="s">
        <v>983</v>
      </c>
    </row>
    <row r="24" customFormat="false" ht="12.8" hidden="false" customHeight="false" outlineLevel="0" collapsed="false">
      <c r="A24" s="616" t="n">
        <v>17</v>
      </c>
      <c r="B24" s="0" t="s">
        <v>949</v>
      </c>
      <c r="C24" s="637" t="s">
        <v>989</v>
      </c>
      <c r="D24" s="483" t="n">
        <f aca="false">VLOOKUP(C24,'Рулонки с ЭП расчёт систем и оп'!$F$7:$M$473,7,0)</f>
        <v>4194.8473192255</v>
      </c>
      <c r="E24" s="483" t="n">
        <f aca="false">VLOOKUP(C24,'Рулонки с ЭП расчёт систем и оп'!$F$7:$M$473,8,0)</f>
        <v>8927.58281</v>
      </c>
      <c r="F24" s="483"/>
      <c r="G24" s="331" t="n">
        <v>0</v>
      </c>
      <c r="H24" s="637" t="s">
        <v>985</v>
      </c>
    </row>
    <row r="25" customFormat="false" ht="12.8" hidden="false" customHeight="false" outlineLevel="0" collapsed="false">
      <c r="A25" s="616" t="n">
        <v>18</v>
      </c>
      <c r="B25" s="0" t="s">
        <v>949</v>
      </c>
      <c r="C25" s="331" t="s">
        <v>990</v>
      </c>
      <c r="D25" s="483" t="n">
        <f aca="false">VLOOKUP(C25,'Рулонки с ЭП расчёт систем и оп'!$F$7:$M$473,7,0)</f>
        <v>13003.8267480953</v>
      </c>
      <c r="E25" s="483" t="n">
        <f aca="false">VLOOKUP(C25,'Рулонки с ЭП расчёт систем и оп'!$F$7:$M$473,8,0)</f>
        <v>3560.54358</v>
      </c>
      <c r="F25" s="483"/>
      <c r="G25" s="637" t="n">
        <v>1</v>
      </c>
      <c r="H25" s="331" t="s">
        <v>979</v>
      </c>
    </row>
    <row r="26" customFormat="false" ht="12.8" hidden="false" customHeight="false" outlineLevel="0" collapsed="false">
      <c r="A26" s="616" t="n">
        <v>19</v>
      </c>
      <c r="B26" s="0" t="s">
        <v>951</v>
      </c>
      <c r="C26" s="331" t="s">
        <v>991</v>
      </c>
      <c r="D26" s="483" t="n">
        <f aca="false">VLOOKUP(C26,'Рулонки с ЭП расчёт систем и оп'!$F$7:$M$473,7,0)</f>
        <v>9045.4026</v>
      </c>
      <c r="E26" s="483" t="n">
        <f aca="false">VLOOKUP(C26,'Рулонки с ЭП расчёт систем и оп'!$F$7:$M$473,8,0)</f>
        <v>4981.755546</v>
      </c>
      <c r="F26" s="483"/>
      <c r="G26" s="331" t="n">
        <v>0</v>
      </c>
      <c r="H26" s="331" t="s">
        <v>991</v>
      </c>
    </row>
    <row r="27" customFormat="false" ht="12.8" hidden="false" customHeight="false" outlineLevel="0" collapsed="false">
      <c r="A27" s="616" t="n">
        <v>20</v>
      </c>
      <c r="B27" s="0" t="s">
        <v>950</v>
      </c>
      <c r="C27" s="331" t="s">
        <v>992</v>
      </c>
      <c r="D27" s="483" t="e">
        <f aca="false">VLOOKUP(C27,'Рулонки с ЭП расчёт систем и оп'!$F$7:$M$473,7,0)</f>
        <v>#N/A</v>
      </c>
      <c r="E27" s="483" t="e">
        <f aca="false">VLOOKUP(C27,'Рулонки с ЭП расчёт систем и оп'!$F$7:$M$473,8,0)</f>
        <v>#N/A</v>
      </c>
      <c r="F27" s="483"/>
      <c r="G27" s="331" t="n">
        <v>0</v>
      </c>
      <c r="H27" s="331" t="s">
        <v>992</v>
      </c>
    </row>
    <row r="28" customFormat="false" ht="12.8" hidden="false" customHeight="false" outlineLevel="0" collapsed="false">
      <c r="A28" s="616" t="n">
        <v>21</v>
      </c>
      <c r="B28" s="0" t="s">
        <v>952</v>
      </c>
      <c r="C28" s="637" t="s">
        <v>993</v>
      </c>
      <c r="D28" s="483" t="n">
        <f aca="false">VLOOKUP(C28,'Рулонки с ЭП расчёт систем и оп'!$F$7:$M$473,7,0)</f>
        <v>2647.3321034908</v>
      </c>
      <c r="E28" s="483" t="n">
        <f aca="false">VLOOKUP(C28,'Рулонки с ЭП расчёт систем и оп'!$F$7:$M$473,8,0)</f>
        <v>3220.31169332143</v>
      </c>
      <c r="F28" s="483"/>
      <c r="G28" s="331" t="n">
        <v>0</v>
      </c>
      <c r="H28" s="637" t="s">
        <v>994</v>
      </c>
    </row>
    <row r="29" customFormat="false" ht="12.8" hidden="false" customHeight="false" outlineLevel="0" collapsed="false">
      <c r="A29" s="616" t="n">
        <v>22</v>
      </c>
      <c r="B29" s="0" t="s">
        <v>952</v>
      </c>
      <c r="C29" s="637" t="s">
        <v>995</v>
      </c>
      <c r="D29" s="483" t="n">
        <f aca="false">VLOOKUP(C29,'Рулонки с ЭП расчёт систем и оп'!$F$7:$M$473,7,0)</f>
        <v>3737.8942512692</v>
      </c>
      <c r="E29" s="483" t="n">
        <f aca="false">VLOOKUP(C29,'Рулонки с ЭП расчёт систем и оп'!$F$7:$M$473,8,0)</f>
        <v>3956.65418951785</v>
      </c>
      <c r="F29" s="483"/>
      <c r="G29" s="331" t="n">
        <v>0</v>
      </c>
      <c r="H29" s="637" t="s">
        <v>996</v>
      </c>
    </row>
    <row r="30" customFormat="false" ht="12.8" hidden="false" customHeight="false" outlineLevel="0" collapsed="false">
      <c r="A30" s="616" t="n">
        <v>23</v>
      </c>
      <c r="B30" s="0" t="s">
        <v>952</v>
      </c>
      <c r="C30" s="637" t="s">
        <v>997</v>
      </c>
      <c r="D30" s="483" t="n">
        <f aca="false">VLOOKUP(C30,'Рулонки с ЭП расчёт систем и оп'!$F$7:$M$473,7,0)</f>
        <v>3945.742717532</v>
      </c>
      <c r="E30" s="483" t="n">
        <f aca="false">VLOOKUP(C30,'Рулонки с ЭП расчёт систем и оп'!$F$7:$M$473,8,0)</f>
        <v>6679.04717903572</v>
      </c>
      <c r="F30" s="483"/>
      <c r="G30" s="331" t="n">
        <v>0</v>
      </c>
      <c r="H30" s="637" t="s">
        <v>998</v>
      </c>
    </row>
    <row r="31" customFormat="false" ht="12.8" hidden="false" customHeight="false" outlineLevel="0" collapsed="false">
      <c r="A31" s="616" t="n">
        <v>24</v>
      </c>
      <c r="B31" s="0" t="s">
        <v>952</v>
      </c>
      <c r="C31" s="637" t="s">
        <v>999</v>
      </c>
      <c r="D31" s="483" t="n">
        <f aca="false">VLOOKUP(C31,'Рулонки с ЭП расчёт систем и оп'!$F$7:$M$473,7,0)</f>
        <v>3545.1685137154</v>
      </c>
      <c r="E31" s="483" t="n">
        <f aca="false">VLOOKUP(C31,'Рулонки с ЭП расчёт систем и оп'!$F$7:$M$473,8,0)</f>
        <v>3220.31169332143</v>
      </c>
      <c r="F31" s="483"/>
      <c r="G31" s="331" t="n">
        <v>0</v>
      </c>
      <c r="H31" s="637" t="s">
        <v>994</v>
      </c>
    </row>
    <row r="32" customFormat="false" ht="12.8" hidden="false" customHeight="false" outlineLevel="0" collapsed="false">
      <c r="A32" s="616" t="n">
        <v>25</v>
      </c>
      <c r="B32" s="0" t="s">
        <v>952</v>
      </c>
      <c r="C32" s="637" t="s">
        <v>1000</v>
      </c>
      <c r="D32" s="483" t="n">
        <f aca="false">VLOOKUP(C32,'Рулонки с ЭП расчёт систем и оп'!$F$7:$M$473,7,0)</f>
        <v>3459.63820983</v>
      </c>
      <c r="E32" s="483" t="n">
        <f aca="false">VLOOKUP(C32,'Рулонки с ЭП расчёт систем и оп'!$F$7:$M$473,8,0)</f>
        <v>4271.26432189285</v>
      </c>
      <c r="F32" s="483"/>
      <c r="G32" s="331" t="n">
        <v>0</v>
      </c>
      <c r="H32" s="637" t="s">
        <v>996</v>
      </c>
    </row>
    <row r="33" customFormat="false" ht="12.8" hidden="false" customHeight="false" outlineLevel="0" collapsed="false">
      <c r="A33" s="616" t="n">
        <v>26</v>
      </c>
      <c r="B33" s="0" t="s">
        <v>952</v>
      </c>
      <c r="C33" s="637" t="s">
        <v>1001</v>
      </c>
      <c r="D33" s="483" t="n">
        <f aca="false">VLOOKUP(C33,'Рулонки с ЭП расчёт систем и оп'!$F$7:$M$473,7,0)</f>
        <v>3983.185583542</v>
      </c>
      <c r="E33" s="483" t="n">
        <f aca="false">VLOOKUP(C33,'Рулонки с ЭП расчёт систем и оп'!$F$7:$M$473,8,0)</f>
        <v>6679.04717903572</v>
      </c>
      <c r="F33" s="483"/>
      <c r="G33" s="331" t="n">
        <v>0</v>
      </c>
      <c r="H33" s="637" t="s">
        <v>998</v>
      </c>
    </row>
    <row r="34" customFormat="false" ht="12.8" hidden="false" customHeight="false" outlineLevel="0" collapsed="false">
      <c r="A34" s="616" t="n">
        <v>27</v>
      </c>
      <c r="B34" s="0" t="s">
        <v>952</v>
      </c>
      <c r="C34" s="637" t="s">
        <v>1002</v>
      </c>
      <c r="D34" s="483" t="n">
        <f aca="false">VLOOKUP(C34,'Рулонки с ЭП расчёт систем и оп'!$F$7:$M$473,7,0)</f>
        <v>3952.7792979708</v>
      </c>
      <c r="E34" s="483" t="n">
        <f aca="false">VLOOKUP(C34,'Рулонки с ЭП расчёт систем и оп'!$F$7:$M$473,8,0)</f>
        <v>13015.4034897086</v>
      </c>
      <c r="F34" s="483"/>
      <c r="G34" s="331" t="n">
        <v>0</v>
      </c>
      <c r="H34" s="637" t="s">
        <v>1003</v>
      </c>
      <c r="I34" s="459" t="s">
        <v>1004</v>
      </c>
    </row>
    <row r="35" customFormat="false" ht="12.8" hidden="false" customHeight="false" outlineLevel="0" collapsed="false">
      <c r="A35" s="616" t="n">
        <v>28</v>
      </c>
      <c r="B35" s="0" t="s">
        <v>952</v>
      </c>
      <c r="C35" s="637" t="s">
        <v>1005</v>
      </c>
      <c r="D35" s="483" t="n">
        <f aca="false">VLOOKUP(C35,'Рулонки с ЭП расчёт систем и оп'!$F$7:$M$473,7,0)</f>
        <v>4138.6625317642</v>
      </c>
      <c r="E35" s="483" t="n">
        <f aca="false">VLOOKUP(C35,'Рулонки с ЭП расчёт систем и оп'!$F$7:$M$473,8,0)</f>
        <v>14066.35611828</v>
      </c>
      <c r="F35" s="483"/>
      <c r="G35" s="331" t="n">
        <v>0</v>
      </c>
      <c r="H35" s="637" t="s">
        <v>1006</v>
      </c>
      <c r="I35" s="459" t="s">
        <v>1004</v>
      </c>
    </row>
    <row r="36" customFormat="false" ht="12.8" hidden="false" customHeight="false" outlineLevel="0" collapsed="false">
      <c r="A36" s="616" t="n">
        <v>29</v>
      </c>
      <c r="B36" s="0" t="s">
        <v>952</v>
      </c>
      <c r="C36" s="637" t="s">
        <v>1007</v>
      </c>
      <c r="D36" s="483" t="n">
        <f aca="false">VLOOKUP(C36,'Рулонки с ЭП расчёт систем и оп'!$F$7:$M$473,7,0)</f>
        <v>5251.189912012</v>
      </c>
      <c r="E36" s="483" t="n">
        <f aca="false">VLOOKUP(C36,'Рулонки с ЭП расчёт систем и оп'!$F$7:$M$473,8,0)</f>
        <v>16474.1389754229</v>
      </c>
      <c r="F36" s="483"/>
      <c r="G36" s="331" t="n">
        <v>0</v>
      </c>
      <c r="H36" s="637" t="s">
        <v>1008</v>
      </c>
      <c r="I36" s="459" t="s">
        <v>1004</v>
      </c>
    </row>
    <row r="37" customFormat="false" ht="12.8" hidden="false" customHeight="false" outlineLevel="0" collapsed="false">
      <c r="A37" s="616" t="n">
        <v>30</v>
      </c>
      <c r="B37" s="0" t="s">
        <v>952</v>
      </c>
      <c r="C37" s="637" t="s">
        <v>1009</v>
      </c>
      <c r="D37" s="483" t="n">
        <f aca="false">VLOOKUP(C37,'Рулонки с ЭП расчёт систем и оп'!$F$7:$M$473,7,0)</f>
        <v>4459.9303573704</v>
      </c>
      <c r="E37" s="483" t="n">
        <f aca="false">VLOOKUP(C37,'Рулонки с ЭП расчёт систем и оп'!$F$7:$M$473,8,0)</f>
        <v>13015.4034897086</v>
      </c>
      <c r="F37" s="483"/>
      <c r="G37" s="331" t="n">
        <v>0</v>
      </c>
      <c r="H37" s="637" t="s">
        <v>1003</v>
      </c>
      <c r="I37" s="459" t="s">
        <v>1004</v>
      </c>
    </row>
    <row r="38" customFormat="false" ht="12.8" hidden="false" customHeight="false" outlineLevel="0" collapsed="false">
      <c r="A38" s="616" t="n">
        <v>31</v>
      </c>
      <c r="B38" s="0" t="s">
        <v>952</v>
      </c>
      <c r="C38" s="637" t="s">
        <v>1010</v>
      </c>
      <c r="D38" s="483" t="n">
        <f aca="false">VLOOKUP(C38,'Рулонки с ЭП расчёт систем и оп'!$F$7:$M$473,7,0)</f>
        <v>4638.437601611</v>
      </c>
      <c r="E38" s="483" t="n">
        <f aca="false">VLOOKUP(C38,'Рулонки с ЭП расчёт систем и оп'!$F$7:$M$473,8,0)</f>
        <v>14066.35611828</v>
      </c>
      <c r="F38" s="483"/>
      <c r="G38" s="331" t="n">
        <v>0</v>
      </c>
      <c r="H38" s="637" t="s">
        <v>1006</v>
      </c>
      <c r="I38" s="459" t="s">
        <v>1004</v>
      </c>
    </row>
    <row r="39" customFormat="false" ht="12.8" hidden="false" customHeight="false" outlineLevel="0" collapsed="false">
      <c r="A39" s="616" t="n">
        <v>32</v>
      </c>
      <c r="B39" s="0" t="s">
        <v>952</v>
      </c>
      <c r="C39" s="637" t="s">
        <v>1011</v>
      </c>
      <c r="D39" s="483" t="n">
        <f aca="false">VLOOKUP(C39,'Рулонки с ЭП расчёт систем и оп'!$F$7:$M$473,7,0)</f>
        <v>4119.278462277</v>
      </c>
      <c r="E39" s="483" t="n">
        <f aca="false">VLOOKUP(C39,'Рулонки с ЭП расчёт систем и оп'!$F$7:$M$473,8,0)</f>
        <v>16474.1389754229</v>
      </c>
      <c r="F39" s="483"/>
      <c r="G39" s="331" t="n">
        <v>0</v>
      </c>
      <c r="H39" s="637" t="s">
        <v>1008</v>
      </c>
      <c r="I39" s="459" t="s">
        <v>1004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45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5" topLeftCell="A430" activePane="bottomLeft" state="frozen"/>
      <selection pane="topLeft" activeCell="A1" activeCellId="0" sqref="A1"/>
      <selection pane="bottomLeft" activeCell="G3" activeCellId="0" sqref="G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2" min="2" style="661" width="10.41"/>
    <col collapsed="false" customWidth="true" hidden="false" outlineLevel="0" max="3" min="3" style="479" width="9.03"/>
    <col collapsed="false" customWidth="true" hidden="false" outlineLevel="0" max="4" min="4" style="307" width="62.39"/>
    <col collapsed="false" customWidth="true" hidden="false" outlineLevel="0" max="5" min="5" style="0" width="3.58"/>
    <col collapsed="false" customWidth="true" hidden="false" outlineLevel="0" max="6" min="6" style="0" width="47.93"/>
    <col collapsed="false" customWidth="true" hidden="false" outlineLevel="0" max="7" min="7" style="0" width="8.3"/>
    <col collapsed="false" customWidth="true" hidden="false" outlineLevel="0" max="8" min="8" style="0" width="7.4"/>
    <col collapsed="false" customWidth="true" hidden="false" outlineLevel="0" max="9" min="9" style="0" width="12.63"/>
    <col collapsed="false" customWidth="true" hidden="false" outlineLevel="0" max="10" min="10" style="0" width="12.44"/>
    <col collapsed="false" customWidth="true" hidden="false" outlineLevel="0" max="11" min="11" style="0" width="12.71"/>
    <col collapsed="false" customWidth="true" hidden="false" outlineLevel="0" max="12" min="12" style="665" width="10.02"/>
    <col collapsed="false" customWidth="true" hidden="false" outlineLevel="0" max="13" min="13" style="665" width="9.38"/>
    <col collapsed="false" customWidth="true" hidden="false" outlineLevel="0" max="14" min="14" style="0" width="9.47"/>
    <col collapsed="false" customWidth="true" hidden="false" outlineLevel="0" max="15" min="15" style="616" width="12.27"/>
    <col collapsed="false" customWidth="true" hidden="false" outlineLevel="0" max="16" min="16" style="0" width="14.88"/>
    <col collapsed="false" customWidth="true" hidden="false" outlineLevel="0" max="17" min="17" style="482" width="13.78"/>
    <col collapsed="false" customWidth="true" hidden="false" outlineLevel="0" max="18" min="18" style="482" width="11.54"/>
    <col collapsed="false" customWidth="true" hidden="false" outlineLevel="0" max="20" min="19" style="666" width="11.54"/>
    <col collapsed="false" customWidth="true" hidden="false" outlineLevel="0" max="21" min="21" style="666" width="11.57"/>
  </cols>
  <sheetData>
    <row r="1" customFormat="false" ht="12.8" hidden="false" customHeight="false" outlineLevel="0" collapsed="false">
      <c r="G1" s="4" t="s">
        <v>0</v>
      </c>
      <c r="H1" s="5" t="s">
        <v>1</v>
      </c>
      <c r="I1" s="6" t="s">
        <v>2</v>
      </c>
    </row>
    <row r="2" customFormat="false" ht="12.8" hidden="false" customHeight="false" outlineLevel="0" collapsed="false">
      <c r="G2" s="667" t="n">
        <f aca="false">'ШАБЛОН РАСЧЁТА'!B2</f>
        <v>85</v>
      </c>
      <c r="H2" s="0" t="n">
        <f aca="false">'ШАБЛОН РАСЧЁТА'!C2</f>
        <v>120</v>
      </c>
      <c r="I2" s="0" t="n">
        <f aca="false">'ШАБЛОН РАСЧЁТА'!D2</f>
        <v>12.54</v>
      </c>
    </row>
    <row r="3" customFormat="false" ht="12.8" hidden="false" customHeight="false" outlineLevel="0" collapsed="false">
      <c r="K3" s="475" t="s">
        <v>336</v>
      </c>
      <c r="L3" s="668" t="s">
        <v>1012</v>
      </c>
    </row>
    <row r="4" customFormat="false" ht="12.8" hidden="false" customHeight="false" outlineLevel="0" collapsed="false">
      <c r="F4" s="477" t="s">
        <v>518</v>
      </c>
      <c r="G4" s="477"/>
      <c r="H4" s="477"/>
      <c r="I4" s="477"/>
      <c r="J4" s="477"/>
      <c r="K4" s="476" t="n">
        <v>2</v>
      </c>
      <c r="L4" s="669" t="n">
        <v>1</v>
      </c>
    </row>
    <row r="5" customFormat="false" ht="46.95" hidden="false" customHeight="false" outlineLevel="0" collapsed="false">
      <c r="B5" s="478" t="s">
        <v>519</v>
      </c>
      <c r="D5" s="505" t="s">
        <v>520</v>
      </c>
      <c r="E5" s="0" t="n">
        <f aca="false">SUM(E7:E998)</f>
        <v>39</v>
      </c>
      <c r="I5" s="478" t="s">
        <v>522</v>
      </c>
      <c r="J5" s="478" t="s">
        <v>523</v>
      </c>
      <c r="K5" s="478" t="s">
        <v>524</v>
      </c>
      <c r="L5" s="670" t="s">
        <v>525</v>
      </c>
      <c r="M5" s="671" t="s">
        <v>526</v>
      </c>
      <c r="N5" s="672" t="s">
        <v>527</v>
      </c>
      <c r="O5" s="673" t="s">
        <v>957</v>
      </c>
      <c r="P5" s="661" t="s">
        <v>41</v>
      </c>
      <c r="Q5" s="674" t="s">
        <v>528</v>
      </c>
      <c r="R5" s="674" t="s">
        <v>529</v>
      </c>
      <c r="S5" s="478" t="s">
        <v>1013</v>
      </c>
      <c r="T5" s="478" t="s">
        <v>1014</v>
      </c>
      <c r="U5" s="478" t="s">
        <v>1015</v>
      </c>
      <c r="V5" s="625" t="s">
        <v>1016</v>
      </c>
    </row>
    <row r="6" customFormat="false" ht="12.8" hidden="false" customHeight="false" outlineLevel="0" collapsed="false">
      <c r="I6" s="478"/>
      <c r="J6" s="478"/>
      <c r="K6" s="478"/>
      <c r="L6" s="670"/>
      <c r="M6" s="671"/>
      <c r="N6" s="672"/>
      <c r="V6" s="625"/>
    </row>
    <row r="7" s="246" customFormat="true" ht="12.8" hidden="false" customHeight="false" outlineLevel="0" collapsed="false">
      <c r="A7" s="246" t="str">
        <f aca="false">"Рул - "&amp;B7</f>
        <v>Рул - 1</v>
      </c>
      <c r="B7" s="675" t="s">
        <v>1017</v>
      </c>
      <c r="C7" s="676" t="s">
        <v>962</v>
      </c>
      <c r="D7" s="307" t="s">
        <v>1018</v>
      </c>
      <c r="E7" s="246" t="n">
        <v>1</v>
      </c>
      <c r="F7" s="677" t="s">
        <v>962</v>
      </c>
      <c r="G7" s="678"/>
      <c r="H7" s="655"/>
      <c r="I7" s="0"/>
      <c r="J7" s="0"/>
      <c r="K7" s="0"/>
      <c r="L7" s="665" t="n">
        <f aca="false">SUM(K8:K9)</f>
        <v>539.21396826975</v>
      </c>
      <c r="M7" s="679" t="n">
        <f aca="false">SUM(K10:K12)</f>
        <v>1238.92566</v>
      </c>
      <c r="N7" s="0"/>
      <c r="O7" s="661" t="n">
        <v>0</v>
      </c>
      <c r="P7" s="331" t="s">
        <v>1019</v>
      </c>
      <c r="Q7" s="680"/>
      <c r="R7" s="680"/>
      <c r="S7" s="459" t="n">
        <v>1</v>
      </c>
      <c r="T7" s="459"/>
      <c r="U7" s="332" t="s">
        <v>824</v>
      </c>
    </row>
    <row r="8" customFormat="false" ht="12.8" hidden="false" customHeight="false" outlineLevel="0" collapsed="false">
      <c r="B8" s="675"/>
      <c r="F8" s="115" t="s">
        <v>1020</v>
      </c>
      <c r="G8" s="331" t="n">
        <v>2</v>
      </c>
      <c r="H8" s="459"/>
      <c r="I8" s="483" t="n">
        <f aca="false">VLOOKUP(F8,'Рулонки компл. Амиго '!$B$7:$D$1031,3,0)</f>
        <v>40.9224</v>
      </c>
      <c r="J8" s="483" t="n">
        <f aca="false">I8*G8</f>
        <v>81.8448</v>
      </c>
      <c r="K8" s="483" t="n">
        <f aca="false">J8*$K$4</f>
        <v>163.6896</v>
      </c>
    </row>
    <row r="9" customFormat="false" ht="12.8" hidden="false" customHeight="false" outlineLevel="0" collapsed="false">
      <c r="F9" s="331" t="s">
        <v>1021</v>
      </c>
      <c r="G9" s="331" t="n">
        <v>1</v>
      </c>
      <c r="H9" s="459"/>
      <c r="I9" s="483" t="n">
        <f aca="false">VLOOKUP(F9,'Рулонки компл. Амиго '!$B$7:$D$1031,3,0)</f>
        <v>187.762184134875</v>
      </c>
      <c r="J9" s="483" t="n">
        <f aca="false">I9*G9</f>
        <v>187.762184134875</v>
      </c>
      <c r="K9" s="483" t="n">
        <f aca="false">J9*$K$4</f>
        <v>375.52436826975</v>
      </c>
    </row>
    <row r="10" s="489" customFormat="true" ht="12.8" hidden="false" customHeight="false" outlineLevel="0" collapsed="false">
      <c r="B10" s="681"/>
      <c r="C10" s="682"/>
      <c r="D10" s="683"/>
      <c r="E10" s="684"/>
      <c r="F10" s="490" t="s">
        <v>1022</v>
      </c>
      <c r="G10" s="490" t="n">
        <v>1</v>
      </c>
      <c r="H10" s="491"/>
      <c r="I10" s="685" t="n">
        <f aca="false">VLOOKUP(F10,'Рулонки компл. Амиго '!$B$7:$D$1031,3,0)</f>
        <v>19.428025</v>
      </c>
      <c r="J10" s="685" t="n">
        <f aca="false">I10*G10</f>
        <v>19.428025</v>
      </c>
      <c r="K10" s="685" t="n">
        <f aca="false">J10*$K$4</f>
        <v>38.85605</v>
      </c>
      <c r="L10" s="679"/>
      <c r="M10" s="679"/>
      <c r="O10" s="686"/>
      <c r="Q10" s="687"/>
      <c r="R10" s="687"/>
      <c r="S10" s="688"/>
      <c r="T10" s="688"/>
      <c r="U10" s="688"/>
    </row>
    <row r="11" s="489" customFormat="true" ht="12.8" hidden="false" customHeight="false" outlineLevel="0" collapsed="false">
      <c r="B11" s="681"/>
      <c r="C11" s="682"/>
      <c r="D11" s="683"/>
      <c r="F11" s="490" t="s">
        <v>1023</v>
      </c>
      <c r="G11" s="490" t="n">
        <v>1</v>
      </c>
      <c r="H11" s="491"/>
      <c r="I11" s="685" t="n">
        <f aca="false">VLOOKUP(F11,'Рулонки компл. Амиго '!$B$7:$D$1031,3,0)</f>
        <v>21.407675</v>
      </c>
      <c r="J11" s="685" t="n">
        <f aca="false">I11*G11</f>
        <v>21.407675</v>
      </c>
      <c r="K11" s="685" t="n">
        <f aca="false">J11*$K$4</f>
        <v>42.81535</v>
      </c>
      <c r="L11" s="679"/>
      <c r="M11" s="679"/>
      <c r="O11" s="686"/>
      <c r="Q11" s="687"/>
      <c r="R11" s="687"/>
      <c r="S11" s="688"/>
      <c r="T11" s="688"/>
      <c r="U11" s="688"/>
    </row>
    <row r="12" s="489" customFormat="true" ht="12.8" hidden="false" customHeight="false" outlineLevel="0" collapsed="false">
      <c r="B12" s="681"/>
      <c r="C12" s="682"/>
      <c r="D12" s="683"/>
      <c r="F12" s="490" t="s">
        <v>1019</v>
      </c>
      <c r="G12" s="490" t="n">
        <v>1.2</v>
      </c>
      <c r="H12" s="491" t="s">
        <v>1024</v>
      </c>
      <c r="I12" s="685" t="n">
        <f aca="false">VLOOKUP(F12,'Рулонки компл. Амиго '!$B$7:$D$1031,3,0)</f>
        <v>482.189275</v>
      </c>
      <c r="J12" s="685" t="n">
        <f aca="false">I12*G12</f>
        <v>578.62713</v>
      </c>
      <c r="K12" s="685" t="n">
        <f aca="false">J12*$K$4</f>
        <v>1157.25426</v>
      </c>
      <c r="L12" s="679"/>
      <c r="M12" s="679"/>
      <c r="O12" s="686"/>
      <c r="Q12" s="687"/>
      <c r="R12" s="687"/>
      <c r="S12" s="688"/>
      <c r="T12" s="688"/>
      <c r="U12" s="688"/>
    </row>
    <row r="13" customFormat="false" ht="12.8" hidden="false" customHeight="false" outlineLevel="0" collapsed="false">
      <c r="E13" s="246"/>
      <c r="G13" s="331"/>
      <c r="H13" s="459"/>
      <c r="I13" s="483"/>
      <c r="J13" s="689"/>
    </row>
    <row r="14" customFormat="false" ht="14.45" hidden="false" customHeight="false" outlineLevel="0" collapsed="false">
      <c r="A14" s="246" t="str">
        <f aca="false">"Рул - "&amp;B14</f>
        <v>Рул - 2</v>
      </c>
      <c r="B14" s="661" t="n">
        <v>2</v>
      </c>
      <c r="C14" s="676" t="s">
        <v>965</v>
      </c>
      <c r="D14" s="307" t="s">
        <v>1025</v>
      </c>
      <c r="E14" s="0" t="n">
        <v>1</v>
      </c>
      <c r="F14" s="677" t="s">
        <v>965</v>
      </c>
      <c r="G14" s="331"/>
      <c r="H14" s="459"/>
      <c r="I14" s="483"/>
      <c r="J14" s="689"/>
      <c r="L14" s="665" t="n">
        <f aca="false">SUM(K15:K17)</f>
        <v>1436.68901826975</v>
      </c>
      <c r="M14" s="679" t="n">
        <f aca="false">SUM(K18:K20)</f>
        <v>1238.92566</v>
      </c>
      <c r="O14" s="616" t="n">
        <v>0</v>
      </c>
      <c r="P14" s="331" t="s">
        <v>1019</v>
      </c>
      <c r="Q14" s="680"/>
      <c r="R14" s="680"/>
      <c r="S14" s="459" t="n">
        <v>1</v>
      </c>
      <c r="T14" s="459"/>
      <c r="U14" s="332" t="s">
        <v>824</v>
      </c>
    </row>
    <row r="15" customFormat="false" ht="12.8" hidden="false" customHeight="false" outlineLevel="0" collapsed="false">
      <c r="F15" s="331" t="s">
        <v>1026</v>
      </c>
      <c r="G15" s="331" t="n">
        <v>2</v>
      </c>
      <c r="H15" s="459"/>
      <c r="I15" s="483" t="n">
        <f aca="false">VLOOKUP(F15,'Рулонки компл. Амиго '!$B$7:$D$1031,3,0)</f>
        <v>45.70535</v>
      </c>
      <c r="J15" s="483" t="n">
        <f aca="false">I15*G15</f>
        <v>91.4107</v>
      </c>
      <c r="K15" s="483" t="n">
        <f aca="false">J15*$K$4</f>
        <v>182.8214</v>
      </c>
    </row>
    <row r="16" customFormat="false" ht="12.8" hidden="false" customHeight="false" outlineLevel="0" collapsed="false">
      <c r="F16" s="331" t="s">
        <v>1021</v>
      </c>
      <c r="G16" s="331" t="n">
        <v>1</v>
      </c>
      <c r="H16" s="459"/>
      <c r="I16" s="483" t="n">
        <f aca="false">VLOOKUP(F16,'Рулонки компл. Амиго '!$B$7:$D$1031,3,0)</f>
        <v>187.762184134875</v>
      </c>
      <c r="J16" s="483" t="n">
        <f aca="false">I16*G16</f>
        <v>187.762184134875</v>
      </c>
      <c r="K16" s="483" t="n">
        <f aca="false">J16*$K$4</f>
        <v>375.52436826975</v>
      </c>
    </row>
    <row r="17" customFormat="false" ht="12.8" hidden="false" customHeight="false" outlineLevel="0" collapsed="false">
      <c r="F17" s="331" t="s">
        <v>1027</v>
      </c>
      <c r="G17" s="331" t="n">
        <v>1</v>
      </c>
      <c r="H17" s="459"/>
      <c r="I17" s="483" t="n">
        <f aca="false">VLOOKUP(F17,'Рулонки компл. Амиго '!$B$7:$D$1031,3,0)</f>
        <v>439.171625</v>
      </c>
      <c r="J17" s="483" t="n">
        <f aca="false">I17*G17</f>
        <v>439.171625</v>
      </c>
      <c r="K17" s="483" t="n">
        <f aca="false">J17*$K$4</f>
        <v>878.34325</v>
      </c>
    </row>
    <row r="18" s="489" customFormat="true" ht="12.8" hidden="false" customHeight="false" outlineLevel="0" collapsed="false">
      <c r="B18" s="681"/>
      <c r="C18" s="682"/>
      <c r="D18" s="683"/>
      <c r="F18" s="490" t="s">
        <v>1022</v>
      </c>
      <c r="G18" s="490" t="n">
        <v>1</v>
      </c>
      <c r="H18" s="491"/>
      <c r="I18" s="685" t="n">
        <f aca="false">VLOOKUP(F18,'Рулонки компл. Амиго '!$B$7:$D$1031,3,0)</f>
        <v>19.428025</v>
      </c>
      <c r="J18" s="685" t="n">
        <f aca="false">I18*G18</f>
        <v>19.428025</v>
      </c>
      <c r="K18" s="685" t="n">
        <f aca="false">J18*$K$4</f>
        <v>38.85605</v>
      </c>
      <c r="L18" s="679"/>
      <c r="M18" s="679"/>
      <c r="O18" s="686"/>
      <c r="Q18" s="687"/>
      <c r="R18" s="687"/>
      <c r="S18" s="688"/>
      <c r="T18" s="688"/>
      <c r="U18" s="688"/>
    </row>
    <row r="19" s="489" customFormat="true" ht="12.8" hidden="false" customHeight="false" outlineLevel="0" collapsed="false">
      <c r="B19" s="681"/>
      <c r="C19" s="682"/>
      <c r="D19" s="683"/>
      <c r="F19" s="490" t="s">
        <v>1023</v>
      </c>
      <c r="G19" s="490" t="n">
        <v>1</v>
      </c>
      <c r="H19" s="491"/>
      <c r="I19" s="685" t="n">
        <f aca="false">VLOOKUP(F19,'Рулонки компл. Амиго '!$B$7:$D$1031,3,0)</f>
        <v>21.407675</v>
      </c>
      <c r="J19" s="685" t="n">
        <f aca="false">I19*G19</f>
        <v>21.407675</v>
      </c>
      <c r="K19" s="685" t="n">
        <f aca="false">J19*$K$4</f>
        <v>42.81535</v>
      </c>
      <c r="L19" s="679"/>
      <c r="M19" s="679"/>
      <c r="O19" s="686"/>
      <c r="Q19" s="687"/>
      <c r="R19" s="687"/>
      <c r="S19" s="688"/>
      <c r="T19" s="688"/>
      <c r="U19" s="688"/>
    </row>
    <row r="20" s="489" customFormat="true" ht="12.8" hidden="false" customHeight="false" outlineLevel="0" collapsed="false">
      <c r="B20" s="681"/>
      <c r="C20" s="682"/>
      <c r="D20" s="683"/>
      <c r="F20" s="490" t="s">
        <v>1019</v>
      </c>
      <c r="G20" s="490" t="n">
        <v>1.2</v>
      </c>
      <c r="H20" s="491" t="s">
        <v>1024</v>
      </c>
      <c r="I20" s="685" t="n">
        <f aca="false">VLOOKUP(F20,'Рулонки компл. Амиго '!$B$7:$D$1031,3,0)</f>
        <v>482.189275</v>
      </c>
      <c r="J20" s="685" t="n">
        <f aca="false">I20*G20</f>
        <v>578.62713</v>
      </c>
      <c r="K20" s="685" t="n">
        <f aca="false">J20*$K$4</f>
        <v>1157.25426</v>
      </c>
      <c r="L20" s="679"/>
      <c r="M20" s="679"/>
      <c r="O20" s="686"/>
      <c r="Q20" s="687"/>
      <c r="R20" s="687"/>
      <c r="S20" s="688"/>
      <c r="T20" s="688"/>
      <c r="U20" s="688"/>
    </row>
    <row r="21" customFormat="false" ht="12.8" hidden="false" customHeight="false" outlineLevel="0" collapsed="false">
      <c r="G21" s="331"/>
      <c r="H21" s="459"/>
      <c r="I21" s="483"/>
      <c r="J21" s="689"/>
    </row>
    <row r="22" customFormat="false" ht="14.45" hidden="false" customHeight="false" outlineLevel="0" collapsed="false">
      <c r="A22" s="246" t="str">
        <f aca="false">"Рул - "&amp;B22</f>
        <v>Рул - 3</v>
      </c>
      <c r="B22" s="661" t="n">
        <v>3</v>
      </c>
      <c r="C22" s="676" t="s">
        <v>967</v>
      </c>
      <c r="D22" s="307" t="s">
        <v>1028</v>
      </c>
      <c r="E22" s="0" t="n">
        <v>1</v>
      </c>
      <c r="F22" s="677" t="s">
        <v>967</v>
      </c>
      <c r="G22" s="331"/>
      <c r="H22" s="459"/>
      <c r="I22" s="483"/>
      <c r="J22" s="689"/>
      <c r="L22" s="665" t="n">
        <f aca="false">SUM(K23:K25)</f>
        <v>1394.87071826975</v>
      </c>
      <c r="M22" s="679" t="n">
        <f aca="false">SUM(K26:K28)</f>
        <v>1238.92566</v>
      </c>
      <c r="P22" s="331" t="s">
        <v>1019</v>
      </c>
      <c r="Q22" s="680"/>
      <c r="R22" s="680"/>
      <c r="S22" s="459" t="n">
        <v>1</v>
      </c>
      <c r="T22" s="459"/>
      <c r="U22" s="332" t="s">
        <v>824</v>
      </c>
    </row>
    <row r="23" customFormat="false" ht="12.8" hidden="false" customHeight="false" outlineLevel="0" collapsed="false">
      <c r="F23" s="331" t="s">
        <v>1026</v>
      </c>
      <c r="G23" s="331" t="n">
        <v>2</v>
      </c>
      <c r="H23" s="459"/>
      <c r="I23" s="483" t="n">
        <f aca="false">VLOOKUP(F23,'Рулонки компл. Амиго '!$B$7:$D$1031,3,0)</f>
        <v>45.70535</v>
      </c>
      <c r="J23" s="483" t="n">
        <f aca="false">I23*G23</f>
        <v>91.4107</v>
      </c>
      <c r="K23" s="483" t="n">
        <f aca="false">J23*$K$4</f>
        <v>182.8214</v>
      </c>
    </row>
    <row r="24" customFormat="false" ht="12.8" hidden="false" customHeight="false" outlineLevel="0" collapsed="false">
      <c r="F24" s="331" t="s">
        <v>1021</v>
      </c>
      <c r="G24" s="331" t="n">
        <v>1</v>
      </c>
      <c r="H24" s="459"/>
      <c r="I24" s="483" t="n">
        <f aca="false">VLOOKUP(F24,'Рулонки компл. Амиго '!$B$7:$D$1031,3,0)</f>
        <v>187.762184134875</v>
      </c>
      <c r="J24" s="483" t="n">
        <f aca="false">I24*G24</f>
        <v>187.762184134875</v>
      </c>
      <c r="K24" s="483" t="n">
        <f aca="false">J24*$K$4</f>
        <v>375.52436826975</v>
      </c>
    </row>
    <row r="25" customFormat="false" ht="12.8" hidden="false" customHeight="false" outlineLevel="0" collapsed="false">
      <c r="F25" s="0" t="s">
        <v>1029</v>
      </c>
      <c r="G25" s="331" t="n">
        <v>1</v>
      </c>
      <c r="H25" s="459"/>
      <c r="I25" s="483" t="n">
        <f aca="false">VLOOKUP(F25,'Рулонки компл. Амиго '!$B$7:$D$1031,3,0)</f>
        <v>418.262475</v>
      </c>
      <c r="J25" s="483" t="n">
        <f aca="false">I25*G25</f>
        <v>418.262475</v>
      </c>
      <c r="K25" s="483" t="n">
        <f aca="false">J25*$K$4</f>
        <v>836.52495</v>
      </c>
    </row>
    <row r="26" s="489" customFormat="true" ht="12.8" hidden="false" customHeight="false" outlineLevel="0" collapsed="false">
      <c r="B26" s="681"/>
      <c r="C26" s="682"/>
      <c r="D26" s="683"/>
      <c r="F26" s="490" t="s">
        <v>1022</v>
      </c>
      <c r="G26" s="490" t="n">
        <v>1</v>
      </c>
      <c r="H26" s="491"/>
      <c r="I26" s="685" t="n">
        <f aca="false">VLOOKUP(F26,'Рулонки компл. Амиго '!$B$7:$D$1031,3,0)</f>
        <v>19.428025</v>
      </c>
      <c r="J26" s="685" t="n">
        <f aca="false">I26*G26</f>
        <v>19.428025</v>
      </c>
      <c r="K26" s="685" t="n">
        <f aca="false">J26*$K$4</f>
        <v>38.85605</v>
      </c>
      <c r="L26" s="679"/>
      <c r="M26" s="679"/>
      <c r="O26" s="686"/>
      <c r="Q26" s="687"/>
      <c r="R26" s="687"/>
      <c r="S26" s="688"/>
      <c r="T26" s="688"/>
      <c r="U26" s="688"/>
    </row>
    <row r="27" s="489" customFormat="true" ht="12.8" hidden="false" customHeight="false" outlineLevel="0" collapsed="false">
      <c r="B27" s="681"/>
      <c r="C27" s="682"/>
      <c r="D27" s="683"/>
      <c r="F27" s="490" t="s">
        <v>1023</v>
      </c>
      <c r="G27" s="490" t="n">
        <v>1</v>
      </c>
      <c r="H27" s="491"/>
      <c r="I27" s="685" t="n">
        <f aca="false">VLOOKUP(F27,'Рулонки компл. Амиго '!$B$7:$D$1031,3,0)</f>
        <v>21.407675</v>
      </c>
      <c r="J27" s="685" t="n">
        <f aca="false">I27*G27</f>
        <v>21.407675</v>
      </c>
      <c r="K27" s="685" t="n">
        <f aca="false">J27*$K$4</f>
        <v>42.81535</v>
      </c>
      <c r="L27" s="679"/>
      <c r="M27" s="679"/>
      <c r="O27" s="686"/>
      <c r="Q27" s="687"/>
      <c r="R27" s="687"/>
      <c r="S27" s="688"/>
      <c r="T27" s="688"/>
      <c r="U27" s="688"/>
    </row>
    <row r="28" s="489" customFormat="true" ht="12.8" hidden="false" customHeight="false" outlineLevel="0" collapsed="false">
      <c r="B28" s="681"/>
      <c r="C28" s="682"/>
      <c r="D28" s="683"/>
      <c r="F28" s="490" t="s">
        <v>1019</v>
      </c>
      <c r="G28" s="490" t="n">
        <v>1.2</v>
      </c>
      <c r="H28" s="491" t="s">
        <v>1024</v>
      </c>
      <c r="I28" s="685" t="n">
        <f aca="false">VLOOKUP(F28,'Рулонки компл. Амиго '!$B$7:$D$1031,3,0)</f>
        <v>482.189275</v>
      </c>
      <c r="J28" s="685" t="n">
        <f aca="false">I28*G28</f>
        <v>578.62713</v>
      </c>
      <c r="K28" s="685" t="n">
        <f aca="false">J28*$K$4</f>
        <v>1157.25426</v>
      </c>
      <c r="L28" s="679"/>
      <c r="M28" s="679"/>
      <c r="O28" s="686"/>
      <c r="Q28" s="687"/>
      <c r="R28" s="687"/>
      <c r="S28" s="688"/>
      <c r="T28" s="688"/>
      <c r="U28" s="688"/>
    </row>
    <row r="29" customFormat="false" ht="12.8" hidden="false" customHeight="false" outlineLevel="0" collapsed="false">
      <c r="G29" s="331"/>
      <c r="H29" s="459"/>
      <c r="I29" s="483"/>
      <c r="J29" s="689"/>
    </row>
    <row r="30" customFormat="false" ht="12.8" hidden="false" customHeight="false" outlineLevel="0" collapsed="false">
      <c r="A30" s="246" t="str">
        <f aca="false">"Рул - "&amp;B30</f>
        <v>Рул - 4</v>
      </c>
      <c r="B30" s="661" t="n">
        <v>4</v>
      </c>
      <c r="C30" s="690" t="s">
        <v>969</v>
      </c>
      <c r="D30" s="307" t="s">
        <v>1030</v>
      </c>
      <c r="E30" s="0" t="n">
        <v>1</v>
      </c>
      <c r="F30" s="691" t="s">
        <v>969</v>
      </c>
      <c r="G30" s="331"/>
      <c r="H30" s="459"/>
      <c r="L30" s="665" t="n">
        <f aca="false">SUM(K31:K32)</f>
        <v>951.7558116005</v>
      </c>
      <c r="M30" s="679" t="n">
        <f aca="false">SUM(K33:K35)</f>
        <v>1568.7498</v>
      </c>
      <c r="P30" s="331" t="s">
        <v>1031</v>
      </c>
      <c r="Q30" s="680"/>
      <c r="R30" s="680"/>
      <c r="S30" s="459" t="n">
        <v>1</v>
      </c>
      <c r="T30" s="459"/>
      <c r="U30" s="332" t="s">
        <v>824</v>
      </c>
    </row>
    <row r="31" customFormat="false" ht="12.8" hidden="false" customHeight="false" outlineLevel="0" collapsed="false">
      <c r="F31" s="115" t="s">
        <v>1032</v>
      </c>
      <c r="G31" s="331" t="n">
        <v>2</v>
      </c>
      <c r="H31" s="459"/>
      <c r="I31" s="483" t="n">
        <f aca="false">VLOOKUP(F31,'Рулонки компл. Амиго '!$B$7:$D$1031,3,0)</f>
        <v>121.13435</v>
      </c>
      <c r="J31" s="483" t="n">
        <f aca="false">I31*G31</f>
        <v>242.2687</v>
      </c>
      <c r="K31" s="483" t="n">
        <f aca="false">J31*$K$4</f>
        <v>484.5374</v>
      </c>
    </row>
    <row r="32" customFormat="false" ht="12.8" hidden="false" customHeight="false" outlineLevel="0" collapsed="false">
      <c r="F32" s="331" t="s">
        <v>1033</v>
      </c>
      <c r="G32" s="331" t="n">
        <v>1</v>
      </c>
      <c r="H32" s="459"/>
      <c r="I32" s="483" t="n">
        <f aca="false">VLOOKUP(F32,'Рулонки компл. Амиго '!$B$7:$D$1031,3,0)</f>
        <v>233.60920580025</v>
      </c>
      <c r="J32" s="483" t="n">
        <f aca="false">I32*G32</f>
        <v>233.60920580025</v>
      </c>
      <c r="K32" s="483" t="n">
        <f aca="false">J32*$K$4</f>
        <v>467.2184116005</v>
      </c>
    </row>
    <row r="33" s="489" customFormat="true" ht="12.8" hidden="false" customHeight="false" outlineLevel="0" collapsed="false">
      <c r="B33" s="681"/>
      <c r="C33" s="682"/>
      <c r="D33" s="683"/>
      <c r="F33" s="490" t="s">
        <v>1022</v>
      </c>
      <c r="G33" s="490" t="n">
        <v>1</v>
      </c>
      <c r="H33" s="491"/>
      <c r="I33" s="685" t="n">
        <f aca="false">VLOOKUP(F33,'Рулонки компл. Амиго '!$B$7:$D$1031,3,0)</f>
        <v>19.428025</v>
      </c>
      <c r="J33" s="685" t="n">
        <f aca="false">I33*G33</f>
        <v>19.428025</v>
      </c>
      <c r="K33" s="685" t="n">
        <f aca="false">J33*$K$4</f>
        <v>38.85605</v>
      </c>
      <c r="L33" s="679"/>
      <c r="M33" s="679"/>
      <c r="O33" s="686"/>
      <c r="Q33" s="687"/>
      <c r="R33" s="687"/>
      <c r="S33" s="688"/>
      <c r="T33" s="688"/>
      <c r="U33" s="688"/>
    </row>
    <row r="34" s="489" customFormat="true" ht="12.8" hidden="false" customHeight="false" outlineLevel="0" collapsed="false">
      <c r="B34" s="681"/>
      <c r="C34" s="682"/>
      <c r="D34" s="683"/>
      <c r="F34" s="490" t="s">
        <v>1023</v>
      </c>
      <c r="G34" s="490" t="n">
        <v>1</v>
      </c>
      <c r="H34" s="491"/>
      <c r="I34" s="685" t="n">
        <f aca="false">VLOOKUP(F34,'Рулонки компл. Амиго '!$B$7:$D$1031,3,0)</f>
        <v>21.407675</v>
      </c>
      <c r="J34" s="685" t="n">
        <f aca="false">I34*G34</f>
        <v>21.407675</v>
      </c>
      <c r="K34" s="685" t="n">
        <f aca="false">J34*$K$4</f>
        <v>42.81535</v>
      </c>
      <c r="L34" s="679"/>
      <c r="M34" s="679"/>
      <c r="O34" s="686"/>
      <c r="Q34" s="687"/>
      <c r="R34" s="687"/>
      <c r="S34" s="688"/>
      <c r="T34" s="688"/>
      <c r="U34" s="688"/>
    </row>
    <row r="35" s="489" customFormat="true" ht="12.8" hidden="false" customHeight="false" outlineLevel="0" collapsed="false">
      <c r="B35" s="681"/>
      <c r="C35" s="682"/>
      <c r="D35" s="683"/>
      <c r="F35" s="490" t="s">
        <v>1031</v>
      </c>
      <c r="G35" s="490" t="n">
        <v>1.2</v>
      </c>
      <c r="H35" s="491" t="s">
        <v>1024</v>
      </c>
      <c r="I35" s="685" t="n">
        <f aca="false">VLOOKUP(F35,'Рулонки компл. Амиго '!$B$7:$D$1031,3,0)</f>
        <v>619.616</v>
      </c>
      <c r="J35" s="685" t="n">
        <f aca="false">I35*G35</f>
        <v>743.5392</v>
      </c>
      <c r="K35" s="685" t="n">
        <f aca="false">J35*$K$4</f>
        <v>1487.0784</v>
      </c>
      <c r="L35" s="679"/>
      <c r="M35" s="679"/>
      <c r="O35" s="686"/>
      <c r="Q35" s="687"/>
      <c r="R35" s="687"/>
      <c r="S35" s="688"/>
      <c r="T35" s="688"/>
      <c r="U35" s="688"/>
    </row>
    <row r="36" customFormat="false" ht="12.8" hidden="false" customHeight="false" outlineLevel="0" collapsed="false">
      <c r="F36" s="331"/>
      <c r="G36" s="331"/>
      <c r="H36" s="459"/>
    </row>
    <row r="37" customFormat="false" ht="14.45" hidden="false" customHeight="false" outlineLevel="0" collapsed="false">
      <c r="A37" s="246" t="str">
        <f aca="false">"Рул - "&amp;B37</f>
        <v>Рул - 5</v>
      </c>
      <c r="B37" s="661" t="n">
        <v>5</v>
      </c>
      <c r="C37" s="676" t="s">
        <v>972</v>
      </c>
      <c r="D37" s="307" t="s">
        <v>1034</v>
      </c>
      <c r="E37" s="0" t="n">
        <v>1</v>
      </c>
      <c r="F37" s="677" t="s">
        <v>972</v>
      </c>
      <c r="G37" s="331"/>
      <c r="H37" s="459"/>
      <c r="L37" s="665" t="n">
        <f aca="false">SUM(K38:K40)</f>
        <v>2621.4244116005</v>
      </c>
      <c r="M37" s="679" t="n">
        <f aca="false">SUM(K41:K43)</f>
        <v>1568.7498</v>
      </c>
      <c r="P37" s="331" t="s">
        <v>1031</v>
      </c>
      <c r="Q37" s="680"/>
      <c r="R37" s="680"/>
      <c r="S37" s="459" t="n">
        <v>1</v>
      </c>
      <c r="T37" s="459"/>
      <c r="U37" s="332" t="s">
        <v>824</v>
      </c>
    </row>
    <row r="38" customFormat="false" ht="12.8" hidden="false" customHeight="false" outlineLevel="0" collapsed="false">
      <c r="F38" s="331" t="s">
        <v>1035</v>
      </c>
      <c r="G38" s="331" t="n">
        <v>2</v>
      </c>
      <c r="H38" s="459"/>
      <c r="I38" s="483" t="n">
        <f aca="false">VLOOKUP(F38,'Рулонки компл. Амиго '!$B$7:$D$1031,3,0)</f>
        <v>139.31245</v>
      </c>
      <c r="J38" s="483" t="n">
        <f aca="false">I38*G38</f>
        <v>278.6249</v>
      </c>
      <c r="K38" s="483" t="n">
        <f aca="false">J38*$K$4</f>
        <v>557.2498</v>
      </c>
    </row>
    <row r="39" customFormat="false" ht="12.8" hidden="false" customHeight="false" outlineLevel="0" collapsed="false">
      <c r="F39" s="331" t="s">
        <v>1033</v>
      </c>
      <c r="G39" s="331" t="n">
        <v>1</v>
      </c>
      <c r="H39" s="459"/>
      <c r="I39" s="483" t="n">
        <f aca="false">VLOOKUP(F39,'Рулонки компл. Амиго '!$B$7:$D$1031,3,0)</f>
        <v>233.60920580025</v>
      </c>
      <c r="J39" s="483" t="n">
        <f aca="false">I39*G39</f>
        <v>233.60920580025</v>
      </c>
      <c r="K39" s="483" t="n">
        <f aca="false">J39*$K$4</f>
        <v>467.2184116005</v>
      </c>
    </row>
    <row r="40" customFormat="false" ht="12.8" hidden="false" customHeight="false" outlineLevel="0" collapsed="false">
      <c r="F40" s="331" t="s">
        <v>1036</v>
      </c>
      <c r="G40" s="331" t="n">
        <v>1</v>
      </c>
      <c r="H40" s="459"/>
      <c r="I40" s="483" t="n">
        <f aca="false">VLOOKUP(F40,'Рулонки компл. Амиго '!$B$7:$D$1031,3,0)</f>
        <v>798.4781</v>
      </c>
      <c r="J40" s="483" t="n">
        <f aca="false">I40*G40</f>
        <v>798.4781</v>
      </c>
      <c r="K40" s="483" t="n">
        <f aca="false">J40*$K$4</f>
        <v>1596.9562</v>
      </c>
    </row>
    <row r="41" s="489" customFormat="true" ht="12.8" hidden="false" customHeight="false" outlineLevel="0" collapsed="false">
      <c r="B41" s="681"/>
      <c r="C41" s="682"/>
      <c r="D41" s="683"/>
      <c r="F41" s="490" t="s">
        <v>1022</v>
      </c>
      <c r="G41" s="490" t="n">
        <v>1</v>
      </c>
      <c r="H41" s="491"/>
      <c r="I41" s="685" t="n">
        <f aca="false">VLOOKUP(F41,'Рулонки компл. Амиго '!$B$7:$D$1031,3,0)</f>
        <v>19.428025</v>
      </c>
      <c r="J41" s="685" t="n">
        <f aca="false">I41*G41</f>
        <v>19.428025</v>
      </c>
      <c r="K41" s="685" t="n">
        <f aca="false">J41*$K$4</f>
        <v>38.85605</v>
      </c>
      <c r="L41" s="679"/>
      <c r="M41" s="679"/>
      <c r="O41" s="686"/>
      <c r="Q41" s="687"/>
      <c r="R41" s="687"/>
      <c r="S41" s="688"/>
      <c r="T41" s="688"/>
      <c r="U41" s="688"/>
    </row>
    <row r="42" s="489" customFormat="true" ht="12.8" hidden="false" customHeight="false" outlineLevel="0" collapsed="false">
      <c r="B42" s="681"/>
      <c r="C42" s="682"/>
      <c r="D42" s="683"/>
      <c r="F42" s="490" t="s">
        <v>1023</v>
      </c>
      <c r="G42" s="490" t="n">
        <v>1</v>
      </c>
      <c r="H42" s="491"/>
      <c r="I42" s="685" t="n">
        <f aca="false">VLOOKUP(F42,'Рулонки компл. Амиго '!$B$7:$D$1031,3,0)</f>
        <v>21.407675</v>
      </c>
      <c r="J42" s="685" t="n">
        <f aca="false">I42*G42</f>
        <v>21.407675</v>
      </c>
      <c r="K42" s="685" t="n">
        <f aca="false">J42*$K$4</f>
        <v>42.81535</v>
      </c>
      <c r="L42" s="679"/>
      <c r="M42" s="679"/>
      <c r="O42" s="686"/>
      <c r="Q42" s="687"/>
      <c r="R42" s="687"/>
      <c r="S42" s="688"/>
      <c r="T42" s="688"/>
      <c r="U42" s="688"/>
    </row>
    <row r="43" s="489" customFormat="true" ht="12.8" hidden="false" customHeight="false" outlineLevel="0" collapsed="false">
      <c r="B43" s="681"/>
      <c r="C43" s="682"/>
      <c r="D43" s="683"/>
      <c r="F43" s="490" t="s">
        <v>1031</v>
      </c>
      <c r="G43" s="490" t="n">
        <v>1.2</v>
      </c>
      <c r="H43" s="491" t="s">
        <v>1024</v>
      </c>
      <c r="I43" s="685" t="n">
        <f aca="false">VLOOKUP(F43,'Рулонки компл. Амиго '!$B$7:$D$1031,3,0)</f>
        <v>619.616</v>
      </c>
      <c r="J43" s="685" t="n">
        <f aca="false">I43*G43</f>
        <v>743.5392</v>
      </c>
      <c r="K43" s="685" t="n">
        <f aca="false">J43*$K$4</f>
        <v>1487.0784</v>
      </c>
      <c r="L43" s="679"/>
      <c r="M43" s="679"/>
      <c r="O43" s="686"/>
      <c r="Q43" s="687"/>
      <c r="R43" s="687"/>
      <c r="S43" s="688"/>
      <c r="T43" s="688"/>
      <c r="U43" s="688"/>
    </row>
    <row r="44" customFormat="false" ht="12.8" hidden="false" customHeight="false" outlineLevel="0" collapsed="false">
      <c r="F44" s="331"/>
      <c r="G44" s="331"/>
      <c r="H44" s="459"/>
    </row>
    <row r="45" customFormat="false" ht="14.45" hidden="false" customHeight="false" outlineLevel="0" collapsed="false">
      <c r="A45" s="246" t="str">
        <f aca="false">"Рул - "&amp;B45</f>
        <v>Рул - 6</v>
      </c>
      <c r="B45" s="661" t="n">
        <v>6</v>
      </c>
      <c r="C45" s="676" t="s">
        <v>973</v>
      </c>
      <c r="D45" s="307" t="s">
        <v>1037</v>
      </c>
      <c r="E45" s="0" t="n">
        <v>1</v>
      </c>
      <c r="F45" s="677" t="s">
        <v>973</v>
      </c>
      <c r="G45" s="331"/>
      <c r="H45" s="459"/>
      <c r="L45" s="665" t="n">
        <f aca="false">SUM(K46:K48)</f>
        <v>2621.4244116005</v>
      </c>
      <c r="M45" s="679" t="n">
        <f aca="false">SUM(K49:K51)</f>
        <v>1568.7498</v>
      </c>
      <c r="P45" s="331" t="s">
        <v>1031</v>
      </c>
      <c r="Q45" s="680"/>
      <c r="R45" s="680"/>
      <c r="S45" s="459" t="n">
        <v>1</v>
      </c>
      <c r="T45" s="459"/>
      <c r="U45" s="332" t="s">
        <v>824</v>
      </c>
    </row>
    <row r="46" customFormat="false" ht="12.8" hidden="false" customHeight="false" outlineLevel="0" collapsed="false">
      <c r="F46" s="331" t="s">
        <v>1035</v>
      </c>
      <c r="G46" s="331" t="n">
        <v>2</v>
      </c>
      <c r="H46" s="459"/>
      <c r="I46" s="483" t="n">
        <f aca="false">VLOOKUP(F46,'Рулонки компл. Амиго '!$B$7:$D$1031,3,0)</f>
        <v>139.31245</v>
      </c>
      <c r="J46" s="483" t="n">
        <f aca="false">I46*G46</f>
        <v>278.6249</v>
      </c>
      <c r="K46" s="483" t="n">
        <f aca="false">J46*$K$4</f>
        <v>557.2498</v>
      </c>
    </row>
    <row r="47" customFormat="false" ht="12.8" hidden="false" customHeight="false" outlineLevel="0" collapsed="false">
      <c r="F47" s="331" t="s">
        <v>1033</v>
      </c>
      <c r="G47" s="331" t="n">
        <v>1</v>
      </c>
      <c r="H47" s="459"/>
      <c r="I47" s="483" t="n">
        <f aca="false">VLOOKUP(F47,'Рулонки компл. Амиго '!$B$7:$D$1031,3,0)</f>
        <v>233.60920580025</v>
      </c>
      <c r="J47" s="483" t="n">
        <f aca="false">I47*G47</f>
        <v>233.60920580025</v>
      </c>
      <c r="K47" s="483" t="n">
        <f aca="false">J47*$K$4</f>
        <v>467.2184116005</v>
      </c>
    </row>
    <row r="48" customFormat="false" ht="12.8" hidden="false" customHeight="false" outlineLevel="0" collapsed="false">
      <c r="F48" s="331" t="s">
        <v>1036</v>
      </c>
      <c r="G48" s="331" t="n">
        <v>1</v>
      </c>
      <c r="H48" s="459"/>
      <c r="I48" s="483" t="n">
        <f aca="false">VLOOKUP(F48,'Рулонки компл. Амиго '!$B$7:$D$1031,3,0)</f>
        <v>798.4781</v>
      </c>
      <c r="J48" s="483" t="n">
        <f aca="false">I48*G48</f>
        <v>798.4781</v>
      </c>
      <c r="K48" s="483" t="n">
        <f aca="false">J48*$K$4</f>
        <v>1596.9562</v>
      </c>
    </row>
    <row r="49" s="489" customFormat="true" ht="12.8" hidden="false" customHeight="false" outlineLevel="0" collapsed="false">
      <c r="B49" s="681"/>
      <c r="C49" s="682"/>
      <c r="D49" s="683"/>
      <c r="F49" s="490" t="s">
        <v>1022</v>
      </c>
      <c r="G49" s="490" t="n">
        <v>1</v>
      </c>
      <c r="H49" s="491"/>
      <c r="I49" s="685" t="n">
        <f aca="false">VLOOKUP(F49,'Рулонки компл. Амиго '!$B$7:$D$1031,3,0)</f>
        <v>19.428025</v>
      </c>
      <c r="J49" s="685" t="n">
        <f aca="false">I49*G49</f>
        <v>19.428025</v>
      </c>
      <c r="K49" s="685" t="n">
        <f aca="false">J49*$K$4</f>
        <v>38.85605</v>
      </c>
      <c r="L49" s="679"/>
      <c r="M49" s="679"/>
      <c r="O49" s="686"/>
      <c r="Q49" s="687"/>
      <c r="R49" s="687"/>
      <c r="S49" s="688"/>
      <c r="T49" s="688"/>
      <c r="U49" s="688"/>
    </row>
    <row r="50" s="489" customFormat="true" ht="12.8" hidden="false" customHeight="false" outlineLevel="0" collapsed="false">
      <c r="B50" s="681"/>
      <c r="C50" s="682"/>
      <c r="D50" s="683"/>
      <c r="F50" s="490" t="s">
        <v>1023</v>
      </c>
      <c r="G50" s="490" t="n">
        <v>1</v>
      </c>
      <c r="H50" s="491"/>
      <c r="I50" s="685" t="n">
        <f aca="false">VLOOKUP(F50,'Рулонки компл. Амиго '!$B$7:$D$1031,3,0)</f>
        <v>21.407675</v>
      </c>
      <c r="J50" s="685" t="n">
        <f aca="false">I50*G50</f>
        <v>21.407675</v>
      </c>
      <c r="K50" s="685" t="n">
        <f aca="false">J50*$K$4</f>
        <v>42.81535</v>
      </c>
      <c r="L50" s="679"/>
      <c r="M50" s="679"/>
      <c r="O50" s="686"/>
      <c r="Q50" s="687"/>
      <c r="R50" s="687"/>
      <c r="S50" s="688"/>
      <c r="T50" s="688"/>
      <c r="U50" s="688"/>
    </row>
    <row r="51" s="489" customFormat="true" ht="12.8" hidden="false" customHeight="false" outlineLevel="0" collapsed="false">
      <c r="B51" s="681"/>
      <c r="C51" s="682"/>
      <c r="D51" s="683"/>
      <c r="F51" s="490" t="s">
        <v>1031</v>
      </c>
      <c r="G51" s="490" t="n">
        <v>1.2</v>
      </c>
      <c r="H51" s="491" t="s">
        <v>1024</v>
      </c>
      <c r="I51" s="685" t="n">
        <f aca="false">VLOOKUP(F51,'Рулонки компл. Амиго '!$B$7:$D$1031,3,0)</f>
        <v>619.616</v>
      </c>
      <c r="J51" s="685" t="n">
        <f aca="false">I51*G51</f>
        <v>743.5392</v>
      </c>
      <c r="K51" s="685" t="n">
        <f aca="false">J51*$K$4</f>
        <v>1487.0784</v>
      </c>
      <c r="L51" s="679"/>
      <c r="M51" s="679"/>
      <c r="O51" s="686"/>
      <c r="Q51" s="687"/>
      <c r="R51" s="687"/>
      <c r="S51" s="688"/>
      <c r="T51" s="688"/>
      <c r="U51" s="688"/>
    </row>
    <row r="52" customFormat="false" ht="12.8" hidden="false" customHeight="false" outlineLevel="0" collapsed="false">
      <c r="F52" s="331"/>
      <c r="G52" s="331"/>
      <c r="H52" s="459"/>
    </row>
    <row r="53" s="691" customFormat="true" ht="12.8" hidden="false" customHeight="false" outlineLevel="0" collapsed="false">
      <c r="A53" s="246" t="str">
        <f aca="false">"Рул - "&amp;B53</f>
        <v>Рул - 7</v>
      </c>
      <c r="B53" s="655" t="n">
        <v>7</v>
      </c>
      <c r="C53" s="690" t="s">
        <v>974</v>
      </c>
      <c r="D53" s="307" t="s">
        <v>1038</v>
      </c>
      <c r="E53" s="691" t="n">
        <v>1</v>
      </c>
      <c r="F53" s="691" t="s">
        <v>974</v>
      </c>
      <c r="H53" s="680"/>
      <c r="L53" s="665" t="n">
        <f aca="false">SUM(K54:K57)</f>
        <v>1255.1902541525</v>
      </c>
      <c r="M53" s="679" t="n">
        <f aca="false">SUM(K58:K60)</f>
        <v>3478.87218</v>
      </c>
      <c r="N53" s="0"/>
      <c r="O53" s="680"/>
      <c r="P53" s="331" t="s">
        <v>1039</v>
      </c>
      <c r="Q53" s="680"/>
      <c r="R53" s="680"/>
      <c r="S53" s="459" t="n">
        <v>1</v>
      </c>
      <c r="T53" s="459"/>
      <c r="U53" s="332" t="s">
        <v>824</v>
      </c>
    </row>
    <row r="54" s="331" customFormat="true" ht="12.8" hidden="false" customHeight="false" outlineLevel="0" collapsed="false">
      <c r="B54" s="655"/>
      <c r="C54" s="479"/>
      <c r="D54" s="307"/>
      <c r="F54" s="331" t="s">
        <v>1040</v>
      </c>
      <c r="G54" s="331" t="n">
        <v>2</v>
      </c>
      <c r="H54" s="459"/>
      <c r="I54" s="483" t="n">
        <f aca="false">VLOOKUP(F54,'Рулонки компл. Амиго '!$B$7:$D$1031,3,0)</f>
        <v>122.095275</v>
      </c>
      <c r="J54" s="483" t="n">
        <f aca="false">I54*G54</f>
        <v>244.19055</v>
      </c>
      <c r="K54" s="483" t="n">
        <f aca="false">J54*$K$4</f>
        <v>488.3811</v>
      </c>
      <c r="L54" s="692"/>
      <c r="M54" s="692"/>
      <c r="N54" s="0"/>
      <c r="O54" s="459"/>
      <c r="P54" s="0"/>
      <c r="Q54" s="482"/>
      <c r="R54" s="482"/>
      <c r="S54" s="666"/>
      <c r="T54" s="666"/>
      <c r="U54" s="666"/>
    </row>
    <row r="55" s="331" customFormat="true" ht="12.8" hidden="false" customHeight="false" outlineLevel="0" collapsed="false">
      <c r="B55" s="655"/>
      <c r="C55" s="479"/>
      <c r="D55" s="307"/>
      <c r="F55" s="331" t="s">
        <v>1041</v>
      </c>
      <c r="G55" s="331" t="n">
        <v>1</v>
      </c>
      <c r="H55" s="459"/>
      <c r="I55" s="483" t="n">
        <f aca="false">VLOOKUP(F55,'Рулонки компл. Амиго '!$B$7:$D$1031,3,0)</f>
        <v>237.46643461275</v>
      </c>
      <c r="J55" s="483" t="n">
        <f aca="false">I55*G55</f>
        <v>237.46643461275</v>
      </c>
      <c r="K55" s="483" t="n">
        <f aca="false">J55*$K$4</f>
        <v>474.9328692255</v>
      </c>
      <c r="L55" s="692"/>
      <c r="M55" s="692"/>
      <c r="N55" s="0"/>
      <c r="O55" s="459"/>
      <c r="P55" s="0"/>
      <c r="Q55" s="482"/>
      <c r="R55" s="482"/>
      <c r="S55" s="666"/>
      <c r="T55" s="666"/>
      <c r="U55" s="666"/>
    </row>
    <row r="56" s="331" customFormat="true" ht="12.8" hidden="false" customHeight="false" outlineLevel="0" collapsed="false">
      <c r="B56" s="655"/>
      <c r="C56" s="479"/>
      <c r="D56" s="307"/>
      <c r="F56" s="331" t="s">
        <v>534</v>
      </c>
      <c r="G56" s="331" t="n">
        <v>1</v>
      </c>
      <c r="H56" s="459"/>
      <c r="I56" s="483" t="n">
        <f aca="false">VLOOKUP(F56,'Рулонки компл. Амиго '!$B$7:$D$1031,3,0)</f>
        <v>74.7491275</v>
      </c>
      <c r="J56" s="483" t="n">
        <f aca="false">I56*G56</f>
        <v>74.7491275</v>
      </c>
      <c r="K56" s="483" t="n">
        <f aca="false">J56*$K$4</f>
        <v>149.498255</v>
      </c>
      <c r="L56" s="692"/>
      <c r="M56" s="692"/>
      <c r="N56" s="0"/>
      <c r="O56" s="459"/>
      <c r="P56" s="0"/>
      <c r="Q56" s="482"/>
      <c r="R56" s="482"/>
      <c r="S56" s="666"/>
      <c r="T56" s="666"/>
      <c r="U56" s="666"/>
    </row>
    <row r="57" s="331" customFormat="true" ht="12.8" hidden="false" customHeight="false" outlineLevel="0" collapsed="false">
      <c r="B57" s="655"/>
      <c r="C57" s="479"/>
      <c r="D57" s="307"/>
      <c r="F57" s="331" t="s">
        <v>535</v>
      </c>
      <c r="G57" s="331" t="n">
        <v>1</v>
      </c>
      <c r="H57" s="459"/>
      <c r="I57" s="483" t="n">
        <f aca="false">VLOOKUP(F57,'Рулонки компл. Амиго '!$B$7:$D$1031,3,0)</f>
        <v>71.1890149635</v>
      </c>
      <c r="J57" s="483" t="n">
        <f aca="false">I57*G57</f>
        <v>71.1890149635</v>
      </c>
      <c r="K57" s="483" t="n">
        <f aca="false">J57*$K$4</f>
        <v>142.378029927</v>
      </c>
      <c r="L57" s="692"/>
      <c r="M57" s="692"/>
      <c r="N57" s="0"/>
      <c r="O57" s="459"/>
      <c r="P57" s="0"/>
      <c r="Q57" s="482"/>
      <c r="R57" s="482"/>
      <c r="S57" s="666"/>
      <c r="T57" s="666"/>
      <c r="U57" s="666"/>
    </row>
    <row r="58" s="490" customFormat="true" ht="12.8" hidden="false" customHeight="false" outlineLevel="0" collapsed="false">
      <c r="B58" s="693"/>
      <c r="C58" s="682"/>
      <c r="D58" s="683"/>
      <c r="F58" s="490" t="s">
        <v>1022</v>
      </c>
      <c r="G58" s="490" t="n">
        <v>1</v>
      </c>
      <c r="H58" s="491"/>
      <c r="I58" s="685" t="n">
        <f aca="false">VLOOKUP(F58,'Рулонки компл. Амиго '!$B$7:$D$1031,3,0)</f>
        <v>19.428025</v>
      </c>
      <c r="J58" s="685" t="n">
        <f aca="false">I58*G58</f>
        <v>19.428025</v>
      </c>
      <c r="K58" s="685" t="n">
        <f aca="false">J58*$K$4</f>
        <v>38.85605</v>
      </c>
      <c r="L58" s="694"/>
      <c r="M58" s="694"/>
      <c r="N58" s="489"/>
      <c r="O58" s="491"/>
      <c r="P58" s="489"/>
      <c r="Q58" s="687"/>
      <c r="R58" s="687"/>
      <c r="S58" s="688"/>
      <c r="T58" s="688"/>
      <c r="U58" s="688"/>
    </row>
    <row r="59" s="490" customFormat="true" ht="12.8" hidden="false" customHeight="false" outlineLevel="0" collapsed="false">
      <c r="B59" s="693"/>
      <c r="C59" s="682"/>
      <c r="D59" s="683"/>
      <c r="F59" s="490" t="s">
        <v>1023</v>
      </c>
      <c r="G59" s="490" t="n">
        <v>1</v>
      </c>
      <c r="H59" s="491"/>
      <c r="I59" s="685" t="n">
        <f aca="false">VLOOKUP(F59,'Рулонки компл. Амиго '!$B$7:$D$1031,3,0)</f>
        <v>21.407675</v>
      </c>
      <c r="J59" s="685" t="n">
        <f aca="false">I59*G59</f>
        <v>21.407675</v>
      </c>
      <c r="K59" s="685" t="n">
        <f aca="false">J59*$K$4</f>
        <v>42.81535</v>
      </c>
      <c r="L59" s="694"/>
      <c r="M59" s="694"/>
      <c r="N59" s="489"/>
      <c r="O59" s="491"/>
      <c r="P59" s="489"/>
      <c r="Q59" s="687"/>
      <c r="R59" s="687"/>
      <c r="S59" s="688"/>
      <c r="T59" s="688"/>
      <c r="U59" s="688"/>
    </row>
    <row r="60" s="490" customFormat="true" ht="12.8" hidden="false" customHeight="false" outlineLevel="0" collapsed="false">
      <c r="B60" s="693"/>
      <c r="C60" s="682"/>
      <c r="D60" s="683"/>
      <c r="F60" s="490" t="s">
        <v>1039</v>
      </c>
      <c r="G60" s="490" t="n">
        <v>1.2</v>
      </c>
      <c r="H60" s="491" t="s">
        <v>1024</v>
      </c>
      <c r="I60" s="685" t="n">
        <f aca="false">VLOOKUP(F60,'Рулонки компл. Амиго '!$B$7:$D$1031,3,0)</f>
        <v>1415.500325</v>
      </c>
      <c r="J60" s="685" t="n">
        <f aca="false">I60*G60</f>
        <v>1698.60039</v>
      </c>
      <c r="K60" s="685" t="n">
        <f aca="false">J60*$K$4</f>
        <v>3397.20078</v>
      </c>
      <c r="L60" s="694"/>
      <c r="M60" s="694"/>
      <c r="N60" s="489"/>
      <c r="O60" s="491"/>
      <c r="P60" s="489"/>
      <c r="Q60" s="687"/>
      <c r="R60" s="687"/>
      <c r="S60" s="688"/>
      <c r="T60" s="688"/>
      <c r="U60" s="688"/>
    </row>
    <row r="61" s="331" customFormat="true" ht="12.8" hidden="false" customHeight="false" outlineLevel="0" collapsed="false">
      <c r="B61" s="655"/>
      <c r="C61" s="479"/>
      <c r="D61" s="307"/>
      <c r="H61" s="459"/>
      <c r="L61" s="692"/>
      <c r="M61" s="692"/>
      <c r="N61" s="0"/>
      <c r="O61" s="459"/>
      <c r="P61" s="0"/>
      <c r="Q61" s="482"/>
      <c r="R61" s="482"/>
      <c r="S61" s="666"/>
      <c r="T61" s="666"/>
      <c r="U61" s="666"/>
    </row>
    <row r="62" s="331" customFormat="true" ht="48.75" hidden="false" customHeight="false" outlineLevel="0" collapsed="false">
      <c r="A62" s="246" t="str">
        <f aca="false">"Рул - "&amp;B62</f>
        <v>Рул - 8</v>
      </c>
      <c r="B62" s="655" t="n">
        <v>8</v>
      </c>
      <c r="C62" s="695" t="s">
        <v>1042</v>
      </c>
      <c r="D62" s="307" t="s">
        <v>1043</v>
      </c>
      <c r="E62" s="331" t="n">
        <v>1</v>
      </c>
      <c r="F62" s="691" t="s">
        <v>1044</v>
      </c>
      <c r="H62" s="459"/>
      <c r="L62" s="665" t="n">
        <f aca="false">SUM(K63:K67)</f>
        <v>2921.0151541525</v>
      </c>
      <c r="M62" s="679" t="n">
        <f aca="false">SUM(K68:K70)</f>
        <v>3478.87218</v>
      </c>
      <c r="N62" s="0"/>
      <c r="O62" s="459"/>
      <c r="P62" s="331" t="s">
        <v>1039</v>
      </c>
      <c r="Q62" s="680"/>
      <c r="R62" s="680"/>
      <c r="S62" s="459" t="n">
        <v>1</v>
      </c>
      <c r="T62" s="459"/>
      <c r="U62" s="332" t="s">
        <v>824</v>
      </c>
    </row>
    <row r="63" s="331" customFormat="true" ht="12.8" hidden="false" customHeight="false" outlineLevel="0" collapsed="false">
      <c r="B63" s="655"/>
      <c r="C63" s="479"/>
      <c r="D63" s="307"/>
      <c r="F63" s="331" t="s">
        <v>1035</v>
      </c>
      <c r="G63" s="331" t="n">
        <v>2</v>
      </c>
      <c r="H63" s="459"/>
      <c r="I63" s="483" t="n">
        <f aca="false">VLOOKUP(F63,'Рулонки компл. Амиго '!$B$7:$D$1031,3,0)</f>
        <v>139.31245</v>
      </c>
      <c r="J63" s="483" t="n">
        <f aca="false">I63*G63</f>
        <v>278.6249</v>
      </c>
      <c r="K63" s="483" t="n">
        <f aca="false">J63*$K$4</f>
        <v>557.2498</v>
      </c>
      <c r="L63" s="692"/>
      <c r="M63" s="692"/>
      <c r="N63" s="0"/>
      <c r="O63" s="459"/>
      <c r="P63" s="0"/>
      <c r="Q63" s="482"/>
      <c r="R63" s="482"/>
      <c r="S63" s="666"/>
      <c r="T63" s="666"/>
      <c r="U63" s="666"/>
    </row>
    <row r="64" s="331" customFormat="true" ht="12.8" hidden="false" customHeight="false" outlineLevel="0" collapsed="false">
      <c r="B64" s="655"/>
      <c r="C64" s="479"/>
      <c r="D64" s="307"/>
      <c r="F64" s="331" t="s">
        <v>1041</v>
      </c>
      <c r="G64" s="331" t="n">
        <v>1</v>
      </c>
      <c r="H64" s="459"/>
      <c r="I64" s="483" t="n">
        <f aca="false">VLOOKUP(F64,'Рулонки компл. Амиго '!$B$7:$D$1031,3,0)</f>
        <v>237.46643461275</v>
      </c>
      <c r="J64" s="483" t="n">
        <f aca="false">I64*G64</f>
        <v>237.46643461275</v>
      </c>
      <c r="K64" s="483" t="n">
        <f aca="false">J64*$K$4</f>
        <v>474.9328692255</v>
      </c>
      <c r="L64" s="692"/>
      <c r="M64" s="692"/>
      <c r="N64" s="0"/>
      <c r="O64" s="459"/>
      <c r="P64" s="0"/>
      <c r="Q64" s="482"/>
      <c r="R64" s="482"/>
      <c r="S64" s="666"/>
      <c r="T64" s="666"/>
      <c r="U64" s="666"/>
    </row>
    <row r="65" s="331" customFormat="true" ht="12.8" hidden="false" customHeight="false" outlineLevel="0" collapsed="false">
      <c r="B65" s="655"/>
      <c r="C65" s="479"/>
      <c r="D65" s="307"/>
      <c r="F65" s="331" t="s">
        <v>1036</v>
      </c>
      <c r="G65" s="331" t="n">
        <v>1</v>
      </c>
      <c r="H65" s="459"/>
      <c r="I65" s="483" t="n">
        <f aca="false">VLOOKUP(F65,'Рулонки компл. Амиго '!$B$7:$D$1031,3,0)</f>
        <v>798.4781</v>
      </c>
      <c r="J65" s="483" t="n">
        <f aca="false">I65*G65</f>
        <v>798.4781</v>
      </c>
      <c r="K65" s="483" t="n">
        <f aca="false">J65*$K$4</f>
        <v>1596.9562</v>
      </c>
      <c r="L65" s="692"/>
      <c r="M65" s="692"/>
      <c r="N65" s="0"/>
      <c r="O65" s="459"/>
      <c r="P65" s="0"/>
      <c r="Q65" s="482"/>
      <c r="R65" s="482"/>
      <c r="S65" s="666"/>
      <c r="T65" s="666"/>
      <c r="U65" s="666"/>
    </row>
    <row r="66" s="331" customFormat="true" ht="12.8" hidden="false" customHeight="false" outlineLevel="0" collapsed="false">
      <c r="B66" s="655"/>
      <c r="C66" s="479"/>
      <c r="D66" s="307"/>
      <c r="F66" s="331" t="s">
        <v>534</v>
      </c>
      <c r="G66" s="331" t="n">
        <v>1</v>
      </c>
      <c r="H66" s="459"/>
      <c r="I66" s="483" t="n">
        <f aca="false">VLOOKUP(F66,'Рулонки компл. Амиго '!$B$7:$D$1031,3,0)</f>
        <v>74.7491275</v>
      </c>
      <c r="J66" s="483" t="n">
        <f aca="false">I66*G66</f>
        <v>74.7491275</v>
      </c>
      <c r="K66" s="483" t="n">
        <f aca="false">J66*$K$4</f>
        <v>149.498255</v>
      </c>
      <c r="L66" s="692"/>
      <c r="M66" s="692"/>
      <c r="N66" s="0"/>
      <c r="O66" s="459"/>
      <c r="P66" s="0"/>
      <c r="Q66" s="482"/>
      <c r="R66" s="482"/>
      <c r="S66" s="666"/>
      <c r="T66" s="666"/>
      <c r="U66" s="666"/>
    </row>
    <row r="67" s="331" customFormat="true" ht="12.8" hidden="false" customHeight="false" outlineLevel="0" collapsed="false">
      <c r="B67" s="655"/>
      <c r="C67" s="479"/>
      <c r="D67" s="307"/>
      <c r="F67" s="331" t="s">
        <v>535</v>
      </c>
      <c r="G67" s="331" t="n">
        <v>1</v>
      </c>
      <c r="H67" s="459"/>
      <c r="I67" s="483" t="n">
        <f aca="false">VLOOKUP(F67,'Рулонки компл. Амиго '!$B$7:$D$1031,3,0)</f>
        <v>71.1890149635</v>
      </c>
      <c r="J67" s="483" t="n">
        <f aca="false">I67*G67</f>
        <v>71.1890149635</v>
      </c>
      <c r="K67" s="483" t="n">
        <f aca="false">J67*$K$4</f>
        <v>142.378029927</v>
      </c>
      <c r="L67" s="692"/>
      <c r="M67" s="692"/>
      <c r="N67" s="0"/>
      <c r="O67" s="459"/>
      <c r="P67" s="0"/>
      <c r="Q67" s="482"/>
      <c r="R67" s="482"/>
      <c r="S67" s="666"/>
      <c r="T67" s="666"/>
      <c r="U67" s="666"/>
    </row>
    <row r="68" s="490" customFormat="true" ht="12.8" hidden="false" customHeight="false" outlineLevel="0" collapsed="false">
      <c r="B68" s="693"/>
      <c r="C68" s="682"/>
      <c r="D68" s="683"/>
      <c r="F68" s="490" t="s">
        <v>1022</v>
      </c>
      <c r="G68" s="490" t="n">
        <v>1</v>
      </c>
      <c r="H68" s="491"/>
      <c r="I68" s="685" t="n">
        <f aca="false">VLOOKUP(F68,'Рулонки компл. Амиго '!$B$7:$D$1031,3,0)</f>
        <v>19.428025</v>
      </c>
      <c r="J68" s="685" t="n">
        <f aca="false">I68*G68</f>
        <v>19.428025</v>
      </c>
      <c r="K68" s="685" t="n">
        <f aca="false">J68*$K$4</f>
        <v>38.85605</v>
      </c>
      <c r="L68" s="694"/>
      <c r="M68" s="694"/>
      <c r="N68" s="489"/>
      <c r="O68" s="491"/>
      <c r="P68" s="489"/>
      <c r="Q68" s="687"/>
      <c r="R68" s="687"/>
      <c r="S68" s="688"/>
      <c r="T68" s="688"/>
      <c r="U68" s="688"/>
    </row>
    <row r="69" s="490" customFormat="true" ht="12.8" hidden="false" customHeight="false" outlineLevel="0" collapsed="false">
      <c r="B69" s="693"/>
      <c r="C69" s="682"/>
      <c r="D69" s="683"/>
      <c r="F69" s="490" t="s">
        <v>1023</v>
      </c>
      <c r="G69" s="490" t="n">
        <v>1</v>
      </c>
      <c r="H69" s="491"/>
      <c r="I69" s="685" t="n">
        <f aca="false">VLOOKUP(F69,'Рулонки компл. Амиго '!$B$7:$D$1031,3,0)</f>
        <v>21.407675</v>
      </c>
      <c r="J69" s="685" t="n">
        <f aca="false">I69*G69</f>
        <v>21.407675</v>
      </c>
      <c r="K69" s="685" t="n">
        <f aca="false">J69*$K$4</f>
        <v>42.81535</v>
      </c>
      <c r="L69" s="694"/>
      <c r="M69" s="694"/>
      <c r="N69" s="489"/>
      <c r="O69" s="491"/>
      <c r="P69" s="489"/>
      <c r="Q69" s="687"/>
      <c r="R69" s="687"/>
      <c r="S69" s="688"/>
      <c r="T69" s="688"/>
      <c r="U69" s="688"/>
    </row>
    <row r="70" s="490" customFormat="true" ht="12.8" hidden="false" customHeight="false" outlineLevel="0" collapsed="false">
      <c r="B70" s="693"/>
      <c r="C70" s="682"/>
      <c r="D70" s="683"/>
      <c r="F70" s="490" t="s">
        <v>1039</v>
      </c>
      <c r="G70" s="490" t="n">
        <v>1.2</v>
      </c>
      <c r="H70" s="491" t="s">
        <v>1024</v>
      </c>
      <c r="I70" s="685" t="n">
        <f aca="false">VLOOKUP(F70,'Рулонки компл. Амиго '!$B$7:$D$1031,3,0)</f>
        <v>1415.500325</v>
      </c>
      <c r="J70" s="685" t="n">
        <f aca="false">I70*G70</f>
        <v>1698.60039</v>
      </c>
      <c r="K70" s="685" t="n">
        <f aca="false">J70*$K$4</f>
        <v>3397.20078</v>
      </c>
      <c r="L70" s="694"/>
      <c r="M70" s="694"/>
      <c r="N70" s="489"/>
      <c r="O70" s="491"/>
      <c r="P70" s="489"/>
      <c r="Q70" s="687"/>
      <c r="R70" s="687"/>
      <c r="S70" s="688"/>
      <c r="T70" s="688"/>
      <c r="U70" s="688"/>
    </row>
    <row r="71" s="331" customFormat="true" ht="12.8" hidden="false" customHeight="false" outlineLevel="0" collapsed="false">
      <c r="B71" s="655"/>
      <c r="C71" s="479"/>
      <c r="D71" s="307"/>
      <c r="H71" s="459"/>
      <c r="L71" s="692"/>
      <c r="M71" s="692"/>
      <c r="N71" s="0"/>
      <c r="O71" s="459"/>
      <c r="P71" s="0"/>
      <c r="Q71" s="482"/>
      <c r="R71" s="482"/>
      <c r="S71" s="666"/>
      <c r="T71" s="666"/>
      <c r="U71" s="666"/>
    </row>
    <row r="72" s="331" customFormat="true" ht="27.7" hidden="false" customHeight="false" outlineLevel="0" collapsed="false">
      <c r="A72" s="246" t="str">
        <f aca="false">"Рул - "&amp;B72</f>
        <v>Рул - 9</v>
      </c>
      <c r="B72" s="655" t="n">
        <v>9</v>
      </c>
      <c r="C72" s="690" t="s">
        <v>977</v>
      </c>
      <c r="D72" s="307" t="s">
        <v>1045</v>
      </c>
      <c r="E72" s="331" t="n">
        <v>1</v>
      </c>
      <c r="F72" s="691" t="s">
        <v>977</v>
      </c>
      <c r="H72" s="459"/>
      <c r="L72" s="665" t="n">
        <f aca="false">SUM(K73:K77)</f>
        <v>2921.0151541525</v>
      </c>
      <c r="M72" s="679" t="n">
        <f aca="false">SUM(K78:K80)</f>
        <v>3478.87218</v>
      </c>
      <c r="N72" s="0"/>
      <c r="O72" s="459"/>
      <c r="P72" s="331" t="s">
        <v>1039</v>
      </c>
      <c r="Q72" s="680"/>
      <c r="R72" s="680"/>
      <c r="S72" s="459" t="n">
        <v>1</v>
      </c>
      <c r="T72" s="459"/>
      <c r="U72" s="332" t="s">
        <v>824</v>
      </c>
    </row>
    <row r="73" s="331" customFormat="true" ht="12.8" hidden="false" customHeight="false" outlineLevel="0" collapsed="false">
      <c r="B73" s="655"/>
      <c r="C73" s="479"/>
      <c r="D73" s="307"/>
      <c r="F73" s="331" t="s">
        <v>1035</v>
      </c>
      <c r="G73" s="331" t="n">
        <v>2</v>
      </c>
      <c r="H73" s="459"/>
      <c r="I73" s="483" t="n">
        <f aca="false">VLOOKUP(F73,'Рулонки компл. Амиго '!$B$7:$D$1031,3,0)</f>
        <v>139.31245</v>
      </c>
      <c r="J73" s="483" t="n">
        <f aca="false">I73*G73</f>
        <v>278.6249</v>
      </c>
      <c r="K73" s="483" t="n">
        <f aca="false">J73*$K$4</f>
        <v>557.2498</v>
      </c>
      <c r="L73" s="692"/>
      <c r="M73" s="692"/>
      <c r="N73" s="0"/>
      <c r="O73" s="459"/>
      <c r="P73" s="0"/>
      <c r="Q73" s="482"/>
      <c r="R73" s="482"/>
      <c r="S73" s="666"/>
      <c r="T73" s="666"/>
      <c r="U73" s="666"/>
    </row>
    <row r="74" s="331" customFormat="true" ht="12.8" hidden="false" customHeight="false" outlineLevel="0" collapsed="false">
      <c r="B74" s="655"/>
      <c r="C74" s="479"/>
      <c r="D74" s="307"/>
      <c r="F74" s="331" t="s">
        <v>1041</v>
      </c>
      <c r="G74" s="331" t="n">
        <v>1</v>
      </c>
      <c r="H74" s="459"/>
      <c r="I74" s="483" t="n">
        <f aca="false">VLOOKUP(F74,'Рулонки компл. Амиго '!$B$7:$D$1031,3,0)</f>
        <v>237.46643461275</v>
      </c>
      <c r="J74" s="483" t="n">
        <f aca="false">I74*G74</f>
        <v>237.46643461275</v>
      </c>
      <c r="K74" s="483" t="n">
        <f aca="false">J74*$K$4</f>
        <v>474.9328692255</v>
      </c>
      <c r="L74" s="692"/>
      <c r="M74" s="692"/>
      <c r="N74" s="0"/>
      <c r="O74" s="459"/>
      <c r="P74" s="0"/>
      <c r="Q74" s="482"/>
      <c r="R74" s="482"/>
      <c r="S74" s="666"/>
      <c r="T74" s="666"/>
      <c r="U74" s="666"/>
    </row>
    <row r="75" s="331" customFormat="true" ht="12.8" hidden="false" customHeight="false" outlineLevel="0" collapsed="false">
      <c r="B75" s="655"/>
      <c r="C75" s="479"/>
      <c r="D75" s="307"/>
      <c r="F75" s="331" t="s">
        <v>1036</v>
      </c>
      <c r="G75" s="331" t="n">
        <v>1</v>
      </c>
      <c r="H75" s="459"/>
      <c r="I75" s="483" t="n">
        <f aca="false">VLOOKUP(F75,'Рулонки компл. Амиго '!$B$7:$D$1031,3,0)</f>
        <v>798.4781</v>
      </c>
      <c r="J75" s="483" t="n">
        <f aca="false">I75*G75</f>
        <v>798.4781</v>
      </c>
      <c r="K75" s="483" t="n">
        <f aca="false">J75*$K$4</f>
        <v>1596.9562</v>
      </c>
      <c r="L75" s="692"/>
      <c r="M75" s="692"/>
      <c r="N75" s="0"/>
      <c r="O75" s="459"/>
      <c r="P75" s="0"/>
      <c r="Q75" s="482"/>
      <c r="R75" s="482"/>
      <c r="S75" s="666"/>
      <c r="T75" s="666"/>
      <c r="U75" s="666"/>
    </row>
    <row r="76" s="331" customFormat="true" ht="12.8" hidden="false" customHeight="false" outlineLevel="0" collapsed="false">
      <c r="B76" s="655"/>
      <c r="C76" s="479"/>
      <c r="D76" s="307"/>
      <c r="F76" s="331" t="s">
        <v>534</v>
      </c>
      <c r="G76" s="331" t="n">
        <v>1</v>
      </c>
      <c r="H76" s="459"/>
      <c r="I76" s="483" t="n">
        <f aca="false">VLOOKUP(F76,'Рулонки компл. Амиго '!$B$7:$D$1031,3,0)</f>
        <v>74.7491275</v>
      </c>
      <c r="J76" s="483" t="n">
        <f aca="false">I76*G76</f>
        <v>74.7491275</v>
      </c>
      <c r="K76" s="483" t="n">
        <f aca="false">J76*$K$4</f>
        <v>149.498255</v>
      </c>
      <c r="L76" s="692"/>
      <c r="M76" s="692"/>
      <c r="N76" s="0"/>
      <c r="O76" s="459"/>
      <c r="P76" s="0"/>
      <c r="Q76" s="482"/>
      <c r="R76" s="482"/>
      <c r="S76" s="666"/>
      <c r="T76" s="666"/>
      <c r="U76" s="666"/>
    </row>
    <row r="77" s="331" customFormat="true" ht="12.8" hidden="false" customHeight="false" outlineLevel="0" collapsed="false">
      <c r="B77" s="655"/>
      <c r="C77" s="479"/>
      <c r="D77" s="307"/>
      <c r="F77" s="331" t="s">
        <v>535</v>
      </c>
      <c r="G77" s="331" t="n">
        <v>1</v>
      </c>
      <c r="H77" s="459"/>
      <c r="I77" s="483" t="n">
        <f aca="false">VLOOKUP(F77,'Рулонки компл. Амиго '!$B$7:$D$1031,3,0)</f>
        <v>71.1890149635</v>
      </c>
      <c r="J77" s="483" t="n">
        <f aca="false">I77*G77</f>
        <v>71.1890149635</v>
      </c>
      <c r="K77" s="483" t="n">
        <f aca="false">J77*$K$4</f>
        <v>142.378029927</v>
      </c>
      <c r="L77" s="692"/>
      <c r="M77" s="692"/>
      <c r="N77" s="0"/>
      <c r="O77" s="459"/>
      <c r="P77" s="0"/>
      <c r="Q77" s="482"/>
      <c r="R77" s="482"/>
      <c r="S77" s="666"/>
      <c r="T77" s="666"/>
      <c r="U77" s="666"/>
    </row>
    <row r="78" s="490" customFormat="true" ht="12.8" hidden="false" customHeight="false" outlineLevel="0" collapsed="false">
      <c r="B78" s="693"/>
      <c r="C78" s="682"/>
      <c r="D78" s="683"/>
      <c r="F78" s="490" t="s">
        <v>1022</v>
      </c>
      <c r="G78" s="490" t="n">
        <v>1</v>
      </c>
      <c r="H78" s="491"/>
      <c r="I78" s="685" t="n">
        <f aca="false">VLOOKUP(F78,'Рулонки компл. Амиго '!$B$7:$D$1031,3,0)</f>
        <v>19.428025</v>
      </c>
      <c r="J78" s="685" t="n">
        <f aca="false">I78*G78</f>
        <v>19.428025</v>
      </c>
      <c r="K78" s="685" t="n">
        <f aca="false">J78*$K$4</f>
        <v>38.85605</v>
      </c>
      <c r="L78" s="694"/>
      <c r="M78" s="694"/>
      <c r="N78" s="489"/>
      <c r="O78" s="491"/>
      <c r="P78" s="489"/>
      <c r="Q78" s="687"/>
      <c r="R78" s="687"/>
      <c r="S78" s="688"/>
      <c r="T78" s="688"/>
      <c r="U78" s="688"/>
    </row>
    <row r="79" s="490" customFormat="true" ht="12.8" hidden="false" customHeight="false" outlineLevel="0" collapsed="false">
      <c r="B79" s="693"/>
      <c r="C79" s="682"/>
      <c r="D79" s="683"/>
      <c r="F79" s="490" t="s">
        <v>1023</v>
      </c>
      <c r="G79" s="490" t="n">
        <v>1</v>
      </c>
      <c r="H79" s="491"/>
      <c r="I79" s="685" t="n">
        <f aca="false">VLOOKUP(F79,'Рулонки компл. Амиго '!$B$7:$D$1031,3,0)</f>
        <v>21.407675</v>
      </c>
      <c r="J79" s="685" t="n">
        <f aca="false">I79*G79</f>
        <v>21.407675</v>
      </c>
      <c r="K79" s="685" t="n">
        <f aca="false">J79*$K$4</f>
        <v>42.81535</v>
      </c>
      <c r="L79" s="694"/>
      <c r="M79" s="694"/>
      <c r="N79" s="489"/>
      <c r="O79" s="491"/>
      <c r="P79" s="489"/>
      <c r="Q79" s="687"/>
      <c r="R79" s="687"/>
      <c r="S79" s="688"/>
      <c r="T79" s="688"/>
      <c r="U79" s="688"/>
    </row>
    <row r="80" s="490" customFormat="true" ht="12.8" hidden="false" customHeight="false" outlineLevel="0" collapsed="false">
      <c r="B80" s="693"/>
      <c r="C80" s="682"/>
      <c r="D80" s="683"/>
      <c r="F80" s="490" t="s">
        <v>1039</v>
      </c>
      <c r="G80" s="490" t="n">
        <v>1.2</v>
      </c>
      <c r="H80" s="491" t="s">
        <v>1024</v>
      </c>
      <c r="I80" s="685" t="n">
        <f aca="false">VLOOKUP(F80,'Рулонки компл. Амиго '!$B$7:$D$1031,3,0)</f>
        <v>1415.500325</v>
      </c>
      <c r="J80" s="685" t="n">
        <f aca="false">I80*G80</f>
        <v>1698.60039</v>
      </c>
      <c r="K80" s="685" t="n">
        <f aca="false">J80*$K$4</f>
        <v>3397.20078</v>
      </c>
      <c r="L80" s="694"/>
      <c r="M80" s="694"/>
      <c r="N80" s="489"/>
      <c r="O80" s="491"/>
      <c r="P80" s="489"/>
      <c r="Q80" s="687"/>
      <c r="R80" s="687"/>
      <c r="S80" s="688"/>
      <c r="T80" s="688"/>
      <c r="U80" s="688"/>
    </row>
    <row r="81" s="331" customFormat="true" ht="12.8" hidden="false" customHeight="false" outlineLevel="0" collapsed="false">
      <c r="B81" s="655"/>
      <c r="C81" s="479"/>
      <c r="D81" s="307"/>
      <c r="H81" s="459"/>
      <c r="L81" s="692"/>
      <c r="M81" s="692"/>
      <c r="N81" s="0"/>
      <c r="O81" s="459"/>
      <c r="P81" s="0"/>
      <c r="Q81" s="482"/>
      <c r="R81" s="482"/>
      <c r="S81" s="666"/>
      <c r="T81" s="666"/>
      <c r="U81" s="666"/>
    </row>
    <row r="82" s="331" customFormat="true" ht="12.8" hidden="false" customHeight="false" outlineLevel="0" collapsed="false">
      <c r="B82" s="655"/>
      <c r="C82" s="479"/>
      <c r="D82" s="307"/>
      <c r="H82" s="459"/>
      <c r="L82" s="692"/>
      <c r="M82" s="692"/>
      <c r="N82" s="0"/>
      <c r="O82" s="459"/>
      <c r="P82" s="0"/>
      <c r="Q82" s="482"/>
      <c r="R82" s="482"/>
      <c r="S82" s="666"/>
      <c r="T82" s="666"/>
      <c r="U82" s="666"/>
    </row>
    <row r="83" s="691" customFormat="true" ht="21.05" hidden="false" customHeight="false" outlineLevel="0" collapsed="false">
      <c r="A83" s="246" t="str">
        <f aca="false">"Рул - "&amp;B83</f>
        <v>Рул - 10</v>
      </c>
      <c r="B83" s="655" t="n">
        <v>10</v>
      </c>
      <c r="C83" s="690" t="s">
        <v>978</v>
      </c>
      <c r="D83" s="307" t="s">
        <v>1046</v>
      </c>
      <c r="E83" s="331" t="n">
        <v>1</v>
      </c>
      <c r="F83" s="691" t="s">
        <v>978</v>
      </c>
      <c r="H83" s="680"/>
      <c r="L83" s="665" t="n">
        <f aca="false">SUM(K84:K88)</f>
        <v>12406.2690330223</v>
      </c>
      <c r="M83" s="679" t="n">
        <f aca="false">SUM(K89:K91)</f>
        <v>3478.87218</v>
      </c>
      <c r="N83" s="0"/>
      <c r="O83" s="680" t="n">
        <v>1</v>
      </c>
      <c r="P83" s="331" t="s">
        <v>1039</v>
      </c>
      <c r="Q83" s="680"/>
      <c r="R83" s="680"/>
      <c r="S83" s="459" t="n">
        <v>1</v>
      </c>
      <c r="T83" s="459"/>
      <c r="U83" s="332" t="s">
        <v>824</v>
      </c>
    </row>
    <row r="84" s="331" customFormat="true" ht="12.8" hidden="false" customHeight="false" outlineLevel="0" collapsed="false">
      <c r="B84" s="655"/>
      <c r="C84" s="479"/>
      <c r="D84" s="307"/>
      <c r="F84" s="331" t="s">
        <v>1040</v>
      </c>
      <c r="G84" s="331" t="n">
        <v>2</v>
      </c>
      <c r="H84" s="459"/>
      <c r="I84" s="483" t="n">
        <f aca="false">VLOOKUP(F84,'Рулонки компл. Амиго '!$B$7:$D$1031,3,0)</f>
        <v>122.095275</v>
      </c>
      <c r="J84" s="483" t="n">
        <f aca="false">I84*G84</f>
        <v>244.19055</v>
      </c>
      <c r="K84" s="483" t="n">
        <f aca="false">J84*$K$4</f>
        <v>488.3811</v>
      </c>
      <c r="L84" s="692"/>
      <c r="M84" s="692"/>
      <c r="N84" s="0"/>
      <c r="O84" s="459"/>
      <c r="P84" s="0"/>
      <c r="Q84" s="482"/>
      <c r="R84" s="482"/>
      <c r="S84" s="666"/>
      <c r="T84" s="666"/>
      <c r="U84" s="666"/>
    </row>
    <row r="85" s="331" customFormat="true" ht="12.8" hidden="false" customHeight="false" outlineLevel="0" collapsed="false">
      <c r="B85" s="655"/>
      <c r="C85" s="479"/>
      <c r="D85" s="307"/>
      <c r="F85" s="331" t="s">
        <v>1041</v>
      </c>
      <c r="G85" s="331" t="n">
        <v>1</v>
      </c>
      <c r="H85" s="459"/>
      <c r="I85" s="483" t="n">
        <f aca="false">VLOOKUP(F85,'Рулонки компл. Амиго '!$B$7:$D$1031,3,0)</f>
        <v>237.46643461275</v>
      </c>
      <c r="J85" s="483" t="n">
        <f aca="false">I85*G85</f>
        <v>237.46643461275</v>
      </c>
      <c r="K85" s="483" t="n">
        <f aca="false">J85*$K$4</f>
        <v>474.9328692255</v>
      </c>
      <c r="L85" s="692"/>
      <c r="M85" s="692"/>
      <c r="N85" s="0"/>
      <c r="O85" s="459"/>
      <c r="P85" s="0"/>
      <c r="Q85" s="482"/>
      <c r="R85" s="482"/>
      <c r="S85" s="666"/>
      <c r="T85" s="666"/>
      <c r="U85" s="666"/>
    </row>
    <row r="86" s="331" customFormat="true" ht="12.8" hidden="false" customHeight="false" outlineLevel="0" collapsed="false">
      <c r="B86" s="655"/>
      <c r="C86" s="479"/>
      <c r="D86" s="307"/>
      <c r="F86" s="331" t="s">
        <v>534</v>
      </c>
      <c r="G86" s="331" t="n">
        <v>1</v>
      </c>
      <c r="H86" s="459"/>
      <c r="I86" s="483" t="n">
        <f aca="false">VLOOKUP(F86,'Рулонки компл. Амиго '!$B$7:$D$1031,3,0)</f>
        <v>74.7491275</v>
      </c>
      <c r="J86" s="483" t="n">
        <f aca="false">I86*G86</f>
        <v>74.7491275</v>
      </c>
      <c r="K86" s="483" t="n">
        <f aca="false">J86*$K$4</f>
        <v>149.498255</v>
      </c>
      <c r="L86" s="692"/>
      <c r="M86" s="692"/>
      <c r="N86" s="0"/>
      <c r="O86" s="459"/>
      <c r="P86" s="0"/>
      <c r="Q86" s="482"/>
      <c r="R86" s="482"/>
      <c r="S86" s="666"/>
      <c r="T86" s="666"/>
      <c r="U86" s="666"/>
    </row>
    <row r="87" s="331" customFormat="true" ht="12.8" hidden="false" customHeight="false" outlineLevel="0" collapsed="false">
      <c r="B87" s="655"/>
      <c r="C87" s="479"/>
      <c r="D87" s="307"/>
      <c r="F87" s="331" t="s">
        <v>535</v>
      </c>
      <c r="G87" s="331" t="n">
        <v>1</v>
      </c>
      <c r="H87" s="459"/>
      <c r="I87" s="483" t="n">
        <f aca="false">VLOOKUP(F87,'Рулонки компл. Амиго '!$B$7:$D$1031,3,0)</f>
        <v>71.1890149635</v>
      </c>
      <c r="J87" s="483" t="n">
        <f aca="false">I87*G87</f>
        <v>71.1890149635</v>
      </c>
      <c r="K87" s="483" t="n">
        <f aca="false">J87*$K$4</f>
        <v>142.378029927</v>
      </c>
      <c r="L87" s="692"/>
      <c r="M87" s="692"/>
      <c r="N87" s="0"/>
      <c r="O87" s="459"/>
      <c r="P87" s="0"/>
      <c r="Q87" s="482"/>
      <c r="R87" s="482"/>
      <c r="S87" s="666"/>
      <c r="T87" s="666"/>
      <c r="U87" s="666"/>
    </row>
    <row r="88" s="331" customFormat="true" ht="12.8" hidden="false" customHeight="false" outlineLevel="0" collapsed="false">
      <c r="B88" s="655"/>
      <c r="C88" s="479"/>
      <c r="D88" s="307"/>
      <c r="F88" s="331" t="s">
        <v>1047</v>
      </c>
      <c r="G88" s="331" t="n">
        <v>1</v>
      </c>
      <c r="H88" s="459"/>
      <c r="I88" s="483" t="n">
        <f aca="false">VLOOKUP(F88,'Рулонки компл. Амиго '!$B$7:$D$1031,3,0)</f>
        <v>5575.53938943488</v>
      </c>
      <c r="J88" s="483" t="n">
        <f aca="false">I88*G88</f>
        <v>5575.53938943488</v>
      </c>
      <c r="K88" s="483" t="n">
        <f aca="false">J88*$K$4</f>
        <v>11151.0787788698</v>
      </c>
      <c r="L88" s="692"/>
      <c r="M88" s="692"/>
      <c r="N88" s="0"/>
      <c r="O88" s="459"/>
      <c r="P88" s="0"/>
      <c r="Q88" s="482"/>
      <c r="R88" s="482"/>
      <c r="S88" s="666"/>
      <c r="T88" s="666"/>
      <c r="U88" s="666"/>
    </row>
    <row r="89" s="490" customFormat="true" ht="12.8" hidden="false" customHeight="false" outlineLevel="0" collapsed="false">
      <c r="B89" s="693"/>
      <c r="C89" s="682"/>
      <c r="D89" s="683"/>
      <c r="F89" s="490" t="s">
        <v>1022</v>
      </c>
      <c r="G89" s="490" t="n">
        <v>1</v>
      </c>
      <c r="H89" s="491"/>
      <c r="I89" s="685" t="n">
        <f aca="false">VLOOKUP(F89,'Рулонки компл. Амиго '!$B$7:$D$1031,3,0)</f>
        <v>19.428025</v>
      </c>
      <c r="J89" s="685" t="n">
        <f aca="false">I89*G89</f>
        <v>19.428025</v>
      </c>
      <c r="K89" s="685" t="n">
        <f aca="false">J89*$K$4</f>
        <v>38.85605</v>
      </c>
      <c r="L89" s="694"/>
      <c r="M89" s="694"/>
      <c r="N89" s="489"/>
      <c r="O89" s="491"/>
      <c r="P89" s="489"/>
      <c r="Q89" s="687"/>
      <c r="R89" s="687"/>
      <c r="S89" s="688"/>
      <c r="T89" s="688"/>
      <c r="U89" s="688"/>
    </row>
    <row r="90" s="490" customFormat="true" ht="12.8" hidden="false" customHeight="false" outlineLevel="0" collapsed="false">
      <c r="B90" s="693"/>
      <c r="C90" s="682"/>
      <c r="D90" s="683"/>
      <c r="F90" s="490" t="s">
        <v>1023</v>
      </c>
      <c r="G90" s="490" t="n">
        <v>1</v>
      </c>
      <c r="H90" s="491"/>
      <c r="I90" s="685" t="n">
        <f aca="false">VLOOKUP(F90,'Рулонки компл. Амиго '!$B$7:$D$1031,3,0)</f>
        <v>21.407675</v>
      </c>
      <c r="J90" s="685" t="n">
        <f aca="false">I90*G90</f>
        <v>21.407675</v>
      </c>
      <c r="K90" s="685" t="n">
        <f aca="false">J90*$K$4</f>
        <v>42.81535</v>
      </c>
      <c r="L90" s="694"/>
      <c r="M90" s="694"/>
      <c r="N90" s="489"/>
      <c r="O90" s="491"/>
      <c r="P90" s="489"/>
      <c r="Q90" s="687"/>
      <c r="R90" s="687"/>
      <c r="S90" s="688"/>
      <c r="T90" s="688"/>
      <c r="U90" s="688"/>
    </row>
    <row r="91" s="490" customFormat="true" ht="12.8" hidden="false" customHeight="false" outlineLevel="0" collapsed="false">
      <c r="B91" s="693"/>
      <c r="C91" s="682"/>
      <c r="D91" s="683"/>
      <c r="F91" s="490" t="s">
        <v>1039</v>
      </c>
      <c r="G91" s="490" t="n">
        <v>1.2</v>
      </c>
      <c r="H91" s="491" t="s">
        <v>1024</v>
      </c>
      <c r="I91" s="685" t="n">
        <f aca="false">VLOOKUP(F91,'Рулонки компл. Амиго '!$B$7:$D$1031,3,0)</f>
        <v>1415.500325</v>
      </c>
      <c r="J91" s="685" t="n">
        <f aca="false">I91*G91</f>
        <v>1698.60039</v>
      </c>
      <c r="K91" s="685" t="n">
        <f aca="false">J91*$K$4</f>
        <v>3397.20078</v>
      </c>
      <c r="L91" s="694"/>
      <c r="M91" s="694"/>
      <c r="N91" s="489"/>
      <c r="O91" s="491"/>
      <c r="P91" s="489"/>
      <c r="Q91" s="687"/>
      <c r="R91" s="687"/>
      <c r="S91" s="688"/>
      <c r="T91" s="688"/>
      <c r="U91" s="688"/>
    </row>
    <row r="92" s="331" customFormat="true" ht="12.8" hidden="false" customHeight="false" outlineLevel="0" collapsed="false">
      <c r="B92" s="655"/>
      <c r="C92" s="479"/>
      <c r="D92" s="307"/>
      <c r="N92" s="0"/>
      <c r="O92" s="459"/>
      <c r="P92" s="0"/>
      <c r="Q92" s="482"/>
      <c r="R92" s="482"/>
      <c r="S92" s="666"/>
      <c r="T92" s="666"/>
      <c r="U92" s="666"/>
    </row>
    <row r="93" s="691" customFormat="true" ht="35.5" hidden="false" customHeight="false" outlineLevel="0" collapsed="false">
      <c r="A93" s="246" t="str">
        <f aca="false">"Рул - "&amp;B93</f>
        <v>Рул - 11</v>
      </c>
      <c r="B93" s="655" t="n">
        <v>11</v>
      </c>
      <c r="C93" s="695" t="s">
        <v>980</v>
      </c>
      <c r="D93" s="307" t="s">
        <v>1048</v>
      </c>
      <c r="E93" s="691" t="n">
        <v>1</v>
      </c>
      <c r="F93" s="691" t="s">
        <v>980</v>
      </c>
      <c r="H93" s="680"/>
      <c r="L93" s="665" t="n">
        <f aca="false">SUM(K94:K96)</f>
        <v>2409.85316826975</v>
      </c>
      <c r="M93" s="679" t="n">
        <f aca="false">SUM(K97:K102)</f>
        <v>5468.60828</v>
      </c>
      <c r="N93" s="0"/>
      <c r="O93" s="680"/>
      <c r="P93" s="331" t="s">
        <v>1019</v>
      </c>
      <c r="Q93" s="680" t="n">
        <v>1</v>
      </c>
      <c r="R93" s="115" t="s">
        <v>1049</v>
      </c>
      <c r="S93" s="696" t="n">
        <v>1</v>
      </c>
      <c r="T93" s="696"/>
      <c r="U93" s="332" t="s">
        <v>824</v>
      </c>
    </row>
    <row r="94" s="331" customFormat="true" ht="12.8" hidden="false" customHeight="false" outlineLevel="0" collapsed="false">
      <c r="B94" s="655"/>
      <c r="C94" s="479"/>
      <c r="D94" s="307"/>
      <c r="F94" s="115" t="s">
        <v>1050</v>
      </c>
      <c r="G94" s="331" t="n">
        <v>1</v>
      </c>
      <c r="H94" s="459"/>
      <c r="I94" s="483" t="n">
        <f aca="false">VLOOKUP(F94,'Рулонки компл. Амиго '!$B$7:$D$1031,3,0)</f>
        <v>1014.6501</v>
      </c>
      <c r="J94" s="483" t="n">
        <f aca="false">I94*G94</f>
        <v>1014.6501</v>
      </c>
      <c r="K94" s="483" t="n">
        <f aca="false">J94*$K$4</f>
        <v>2029.3002</v>
      </c>
      <c r="L94" s="692"/>
      <c r="M94" s="692"/>
      <c r="N94" s="0"/>
      <c r="O94" s="459"/>
      <c r="P94" s="0"/>
      <c r="Q94" s="482"/>
      <c r="R94" s="482"/>
      <c r="S94" s="666"/>
      <c r="T94" s="666"/>
      <c r="U94" s="666"/>
    </row>
    <row r="95" s="331" customFormat="true" ht="12.8" hidden="false" customHeight="false" outlineLevel="0" collapsed="false">
      <c r="B95" s="655"/>
      <c r="C95" s="479"/>
      <c r="D95" s="307"/>
      <c r="F95" s="331" t="s">
        <v>1051</v>
      </c>
      <c r="G95" s="331" t="n">
        <v>1</v>
      </c>
      <c r="H95" s="459"/>
      <c r="I95" s="483" t="n">
        <f aca="false">VLOOKUP(F95,'Рулонки компл. Амиго '!$B$7:$D$1031,3,0)</f>
        <v>2.5143</v>
      </c>
      <c r="J95" s="483" t="n">
        <f aca="false">I95*G95</f>
        <v>2.5143</v>
      </c>
      <c r="K95" s="483" t="n">
        <f aca="false">J95*$K$4</f>
        <v>5.0286</v>
      </c>
      <c r="L95" s="692"/>
      <c r="M95" s="692"/>
      <c r="N95" s="0"/>
      <c r="O95" s="459"/>
      <c r="P95" s="0"/>
      <c r="Q95" s="482"/>
      <c r="R95" s="482"/>
      <c r="S95" s="666"/>
      <c r="T95" s="666"/>
      <c r="U95" s="666"/>
    </row>
    <row r="96" s="331" customFormat="true" ht="12.8" hidden="false" customHeight="false" outlineLevel="0" collapsed="false">
      <c r="B96" s="655"/>
      <c r="C96" s="479"/>
      <c r="D96" s="307"/>
      <c r="F96" s="331" t="s">
        <v>1021</v>
      </c>
      <c r="G96" s="331" t="n">
        <v>1</v>
      </c>
      <c r="H96" s="459"/>
      <c r="I96" s="483" t="n">
        <f aca="false">VLOOKUP(F96,'Рулонки компл. Амиго '!$B$7:$D$1031,3,0)</f>
        <v>187.762184134875</v>
      </c>
      <c r="J96" s="483" t="n">
        <f aca="false">I96*G96</f>
        <v>187.762184134875</v>
      </c>
      <c r="K96" s="483" t="n">
        <f aca="false">J96*$K$4</f>
        <v>375.52436826975</v>
      </c>
      <c r="L96" s="692"/>
      <c r="M96" s="692"/>
      <c r="N96" s="0"/>
      <c r="O96" s="459"/>
      <c r="P96" s="0"/>
      <c r="Q96" s="482"/>
      <c r="R96" s="482"/>
      <c r="S96" s="666"/>
      <c r="T96" s="666"/>
      <c r="U96" s="666"/>
    </row>
    <row r="97" s="490" customFormat="true" ht="12.8" hidden="false" customHeight="false" outlineLevel="0" collapsed="false">
      <c r="B97" s="693"/>
      <c r="C97" s="682"/>
      <c r="D97" s="683"/>
      <c r="F97" s="490" t="s">
        <v>1052</v>
      </c>
      <c r="G97" s="490" t="n">
        <v>2</v>
      </c>
      <c r="H97" s="491"/>
      <c r="I97" s="685" t="n">
        <f aca="false">VLOOKUP(F97,'Рулонки компл. Амиго '!$B$7:$D$1031,3,0)</f>
        <v>115.32545</v>
      </c>
      <c r="J97" s="685" t="n">
        <f aca="false">I97*G97</f>
        <v>230.6509</v>
      </c>
      <c r="K97" s="685" t="n">
        <f aca="false">J97*$K$4</f>
        <v>461.3018</v>
      </c>
      <c r="L97" s="694"/>
      <c r="M97" s="694"/>
      <c r="N97" s="489"/>
      <c r="O97" s="491"/>
      <c r="P97" s="489"/>
      <c r="Q97" s="687"/>
      <c r="R97" s="687"/>
      <c r="S97" s="688"/>
      <c r="T97" s="688"/>
      <c r="U97" s="688"/>
    </row>
    <row r="98" s="490" customFormat="true" ht="12.8" hidden="false" customHeight="false" outlineLevel="0" collapsed="false">
      <c r="B98" s="693"/>
      <c r="C98" s="682"/>
      <c r="D98" s="683"/>
      <c r="F98" s="490" t="s">
        <v>1053</v>
      </c>
      <c r="G98" s="490" t="n">
        <v>1.2</v>
      </c>
      <c r="H98" s="491" t="s">
        <v>1024</v>
      </c>
      <c r="I98" s="685" t="n">
        <f aca="false">VLOOKUP(F98,'Рулонки компл. Амиго '!$B$7:$D$1031,3,0)</f>
        <v>619.616</v>
      </c>
      <c r="J98" s="685" t="n">
        <f aca="false">I98*G98</f>
        <v>743.5392</v>
      </c>
      <c r="K98" s="685" t="n">
        <f aca="false">J98*$K$4</f>
        <v>1487.0784</v>
      </c>
      <c r="L98" s="694"/>
      <c r="M98" s="694"/>
      <c r="N98" s="489"/>
      <c r="O98" s="491"/>
      <c r="P98" s="489"/>
      <c r="Q98" s="687"/>
      <c r="R98" s="687"/>
      <c r="S98" s="688"/>
      <c r="T98" s="688"/>
      <c r="U98" s="688"/>
    </row>
    <row r="99" s="490" customFormat="true" ht="12.8" hidden="false" customHeight="false" outlineLevel="0" collapsed="false">
      <c r="B99" s="693"/>
      <c r="C99" s="682"/>
      <c r="D99" s="683"/>
      <c r="F99" s="490" t="s">
        <v>1054</v>
      </c>
      <c r="G99" s="490" t="n">
        <v>1.2</v>
      </c>
      <c r="H99" s="491" t="s">
        <v>1024</v>
      </c>
      <c r="I99" s="685" t="n">
        <f aca="false">VLOOKUP(F99,'Рулонки компл. Амиго '!$B$7:$D$1031,3,0)</f>
        <v>950.542675</v>
      </c>
      <c r="J99" s="685" t="n">
        <f aca="false">I99*G99</f>
        <v>1140.65121</v>
      </c>
      <c r="K99" s="685" t="n">
        <f aca="false">J99*$K$4</f>
        <v>2281.30242</v>
      </c>
      <c r="L99" s="694"/>
      <c r="M99" s="694"/>
      <c r="N99" s="489"/>
      <c r="O99" s="491"/>
      <c r="P99" s="489"/>
      <c r="Q99" s="687"/>
      <c r="R99" s="687"/>
      <c r="S99" s="688"/>
      <c r="T99" s="688"/>
      <c r="U99" s="688"/>
    </row>
    <row r="100" s="490" customFormat="true" ht="12.8" hidden="false" customHeight="false" outlineLevel="0" collapsed="false">
      <c r="B100" s="693"/>
      <c r="C100" s="682"/>
      <c r="D100" s="683"/>
      <c r="F100" s="490" t="s">
        <v>1019</v>
      </c>
      <c r="G100" s="490" t="n">
        <v>1.2</v>
      </c>
      <c r="H100" s="491" t="s">
        <v>1024</v>
      </c>
      <c r="I100" s="685" t="n">
        <f aca="false">VLOOKUP(F100,'Рулонки компл. Амиго '!$B$7:$D$1031,3,0)</f>
        <v>482.189275</v>
      </c>
      <c r="J100" s="685" t="n">
        <f aca="false">I100*G100</f>
        <v>578.62713</v>
      </c>
      <c r="K100" s="685" t="n">
        <f aca="false">J100*$K$4</f>
        <v>1157.25426</v>
      </c>
      <c r="L100" s="694"/>
      <c r="M100" s="694"/>
      <c r="N100" s="489"/>
      <c r="O100" s="491"/>
      <c r="P100" s="489"/>
      <c r="Q100" s="687"/>
      <c r="R100" s="687"/>
      <c r="S100" s="688"/>
      <c r="T100" s="688"/>
      <c r="U100" s="688"/>
    </row>
    <row r="101" s="490" customFormat="true" ht="12.8" hidden="false" customHeight="false" outlineLevel="0" collapsed="false">
      <c r="B101" s="693"/>
      <c r="C101" s="682"/>
      <c r="D101" s="683"/>
      <c r="F101" s="490" t="s">
        <v>1023</v>
      </c>
      <c r="G101" s="490" t="n">
        <v>1</v>
      </c>
      <c r="H101" s="491"/>
      <c r="I101" s="685" t="n">
        <f aca="false">VLOOKUP(F101,'Рулонки компл. Амиго '!$B$7:$D$1031,3,0)</f>
        <v>21.407675</v>
      </c>
      <c r="J101" s="685" t="n">
        <f aca="false">I101*G101</f>
        <v>21.407675</v>
      </c>
      <c r="K101" s="685" t="n">
        <f aca="false">J101*$K$4</f>
        <v>42.81535</v>
      </c>
      <c r="L101" s="694"/>
      <c r="M101" s="694"/>
      <c r="N101" s="489"/>
      <c r="O101" s="491"/>
      <c r="P101" s="489"/>
      <c r="Q101" s="687"/>
      <c r="R101" s="687"/>
      <c r="S101" s="688"/>
      <c r="T101" s="688"/>
      <c r="U101" s="688"/>
    </row>
    <row r="102" s="490" customFormat="true" ht="12.8" hidden="false" customHeight="false" outlineLevel="0" collapsed="false">
      <c r="B102" s="693"/>
      <c r="C102" s="682"/>
      <c r="D102" s="683"/>
      <c r="F102" s="490" t="s">
        <v>1022</v>
      </c>
      <c r="G102" s="490" t="n">
        <v>1</v>
      </c>
      <c r="H102" s="491"/>
      <c r="I102" s="685" t="n">
        <f aca="false">VLOOKUP(F102,'Рулонки компл. Амиго '!$B$7:$D$1031,3,0)</f>
        <v>19.428025</v>
      </c>
      <c r="J102" s="685" t="n">
        <f aca="false">I102*G102</f>
        <v>19.428025</v>
      </c>
      <c r="K102" s="685" t="n">
        <f aca="false">J102*$K$4</f>
        <v>38.85605</v>
      </c>
      <c r="L102" s="694"/>
      <c r="M102" s="694"/>
      <c r="N102" s="489"/>
      <c r="O102" s="491"/>
      <c r="P102" s="489"/>
      <c r="Q102" s="687"/>
      <c r="R102" s="687"/>
      <c r="S102" s="688"/>
      <c r="T102" s="688"/>
      <c r="U102" s="688"/>
    </row>
    <row r="103" s="331" customFormat="true" ht="12.8" hidden="false" customHeight="false" outlineLevel="0" collapsed="false">
      <c r="B103" s="655"/>
      <c r="C103" s="479"/>
      <c r="D103" s="307"/>
      <c r="H103" s="459"/>
      <c r="L103" s="692"/>
      <c r="M103" s="692"/>
      <c r="N103" s="0"/>
      <c r="O103" s="459"/>
      <c r="P103" s="0"/>
      <c r="Q103" s="482"/>
      <c r="R103" s="482"/>
      <c r="S103" s="666"/>
      <c r="T103" s="666"/>
      <c r="U103" s="666"/>
    </row>
    <row r="104" s="691" customFormat="true" ht="46.95" hidden="false" customHeight="false" outlineLevel="0" collapsed="false">
      <c r="A104" s="246" t="str">
        <f aca="false">"Рул - "&amp;B104</f>
        <v>Рул - 12</v>
      </c>
      <c r="B104" s="655" t="n">
        <v>12</v>
      </c>
      <c r="C104" s="695" t="s">
        <v>982</v>
      </c>
      <c r="D104" s="307" t="s">
        <v>1055</v>
      </c>
      <c r="E104" s="691" t="n">
        <v>1</v>
      </c>
      <c r="F104" s="691" t="s">
        <v>982</v>
      </c>
      <c r="H104" s="680"/>
      <c r="L104" s="665" t="n">
        <f aca="false">SUM(K105:K106)</f>
        <v>3297.6988616005</v>
      </c>
      <c r="M104" s="679" t="n">
        <f aca="false">SUM(K107:K112)</f>
        <v>7060.27578</v>
      </c>
      <c r="N104" s="0"/>
      <c r="O104" s="680"/>
      <c r="P104" s="331" t="s">
        <v>1031</v>
      </c>
      <c r="Q104" s="680" t="n">
        <v>1</v>
      </c>
      <c r="R104" s="115" t="s">
        <v>1056</v>
      </c>
      <c r="S104" s="696" t="n">
        <v>1</v>
      </c>
      <c r="T104" s="696"/>
      <c r="U104" s="332" t="s">
        <v>824</v>
      </c>
    </row>
    <row r="105" s="331" customFormat="true" ht="12.8" hidden="false" customHeight="false" outlineLevel="0" collapsed="false">
      <c r="B105" s="655"/>
      <c r="C105" s="479"/>
      <c r="D105" s="307"/>
      <c r="F105" s="331" t="s">
        <v>1057</v>
      </c>
      <c r="G105" s="331" t="n">
        <v>1</v>
      </c>
      <c r="H105" s="459"/>
      <c r="I105" s="483" t="n">
        <f aca="false">VLOOKUP(F105,'Рулонки компл. Амиго '!$B$7:$D$1031,3,0)</f>
        <v>1415.240225</v>
      </c>
      <c r="J105" s="483" t="n">
        <f aca="false">I105*G105</f>
        <v>1415.240225</v>
      </c>
      <c r="K105" s="483" t="n">
        <f aca="false">J105*$K$4</f>
        <v>2830.48045</v>
      </c>
      <c r="L105" s="692"/>
      <c r="M105" s="692"/>
      <c r="N105" s="0"/>
      <c r="O105" s="459"/>
      <c r="P105" s="0"/>
      <c r="Q105" s="482"/>
      <c r="R105" s="482"/>
      <c r="S105" s="666"/>
      <c r="T105" s="666"/>
      <c r="U105" s="666"/>
    </row>
    <row r="106" s="331" customFormat="true" ht="12.8" hidden="false" customHeight="false" outlineLevel="0" collapsed="false">
      <c r="B106" s="655"/>
      <c r="C106" s="479"/>
      <c r="D106" s="307"/>
      <c r="F106" s="331" t="s">
        <v>1033</v>
      </c>
      <c r="G106" s="331" t="n">
        <v>1</v>
      </c>
      <c r="H106" s="459"/>
      <c r="I106" s="483" t="n">
        <f aca="false">VLOOKUP(F106,'Рулонки компл. Амиго '!$B$7:$D$1031,3,0)</f>
        <v>233.60920580025</v>
      </c>
      <c r="J106" s="483" t="n">
        <f aca="false">I106*G106</f>
        <v>233.60920580025</v>
      </c>
      <c r="K106" s="483" t="n">
        <f aca="false">J106*$K$4</f>
        <v>467.2184116005</v>
      </c>
      <c r="L106" s="692"/>
      <c r="M106" s="692"/>
      <c r="N106" s="0"/>
      <c r="O106" s="459"/>
      <c r="P106" s="0"/>
      <c r="Q106" s="482"/>
      <c r="R106" s="482"/>
      <c r="S106" s="666"/>
      <c r="T106" s="666"/>
      <c r="U106" s="666"/>
    </row>
    <row r="107" s="490" customFormat="true" ht="12.8" hidden="false" customHeight="false" outlineLevel="0" collapsed="false">
      <c r="B107" s="693"/>
      <c r="C107" s="682"/>
      <c r="D107" s="683"/>
      <c r="F107" s="490" t="s">
        <v>1058</v>
      </c>
      <c r="G107" s="490" t="n">
        <v>2</v>
      </c>
      <c r="H107" s="491"/>
      <c r="I107" s="685" t="n">
        <f aca="false">VLOOKUP(F107,'Рулонки компл. Амиго '!$B$7:$D$1031,3,0)</f>
        <v>145.1358</v>
      </c>
      <c r="J107" s="685" t="n">
        <f aca="false">I107*G107</f>
        <v>290.2716</v>
      </c>
      <c r="K107" s="685" t="n">
        <f aca="false">J107*$K$4</f>
        <v>580.5432</v>
      </c>
      <c r="L107" s="694"/>
      <c r="M107" s="694"/>
      <c r="N107" s="489"/>
      <c r="O107" s="491"/>
      <c r="P107" s="489"/>
      <c r="Q107" s="687"/>
      <c r="R107" s="687"/>
      <c r="S107" s="688"/>
      <c r="T107" s="688"/>
      <c r="U107" s="688"/>
    </row>
    <row r="108" s="490" customFormat="true" ht="12.8" hidden="false" customHeight="false" outlineLevel="0" collapsed="false">
      <c r="B108" s="693"/>
      <c r="C108" s="682"/>
      <c r="D108" s="683"/>
      <c r="F108" s="490" t="s">
        <v>1022</v>
      </c>
      <c r="G108" s="490" t="n">
        <v>1</v>
      </c>
      <c r="H108" s="491"/>
      <c r="I108" s="685" t="n">
        <f aca="false">VLOOKUP(F108,'Рулонки компл. Амиго '!$B$7:$D$1031,3,0)</f>
        <v>19.428025</v>
      </c>
      <c r="J108" s="685" t="n">
        <f aca="false">I108*G108</f>
        <v>19.428025</v>
      </c>
      <c r="K108" s="685" t="n">
        <f aca="false">J108*$K$4</f>
        <v>38.85605</v>
      </c>
      <c r="L108" s="694"/>
      <c r="M108" s="694"/>
      <c r="N108" s="489"/>
      <c r="O108" s="491"/>
      <c r="P108" s="489"/>
      <c r="Q108" s="687"/>
      <c r="R108" s="687"/>
      <c r="S108" s="688"/>
      <c r="T108" s="688"/>
      <c r="U108" s="688"/>
    </row>
    <row r="109" s="490" customFormat="true" ht="12.8" hidden="false" customHeight="false" outlineLevel="0" collapsed="false">
      <c r="B109" s="693"/>
      <c r="C109" s="682"/>
      <c r="D109" s="683"/>
      <c r="F109" s="490" t="s">
        <v>1023</v>
      </c>
      <c r="G109" s="490" t="n">
        <v>1</v>
      </c>
      <c r="H109" s="491"/>
      <c r="I109" s="685" t="n">
        <f aca="false">VLOOKUP(F109,'Рулонки компл. Амиго '!$B$7:$D$1031,3,0)</f>
        <v>21.407675</v>
      </c>
      <c r="J109" s="685" t="n">
        <f aca="false">I109*G109</f>
        <v>21.407675</v>
      </c>
      <c r="K109" s="685" t="n">
        <f aca="false">J109*$K$4</f>
        <v>42.81535</v>
      </c>
      <c r="L109" s="694"/>
      <c r="M109" s="694"/>
      <c r="N109" s="489"/>
      <c r="O109" s="491"/>
      <c r="P109" s="489"/>
      <c r="Q109" s="687"/>
      <c r="R109" s="687"/>
      <c r="S109" s="688"/>
      <c r="T109" s="688"/>
      <c r="U109" s="688"/>
    </row>
    <row r="110" s="490" customFormat="true" ht="12.8" hidden="false" customHeight="false" outlineLevel="0" collapsed="false">
      <c r="B110" s="693"/>
      <c r="C110" s="682"/>
      <c r="D110" s="683"/>
      <c r="F110" s="490" t="s">
        <v>1059</v>
      </c>
      <c r="G110" s="490" t="n">
        <v>1.2</v>
      </c>
      <c r="H110" s="491" t="s">
        <v>1024</v>
      </c>
      <c r="I110" s="685" t="n">
        <f aca="false">VLOOKUP(F110,'Рулонки компл. Амиго '!$B$7:$D$1031,3,0)</f>
        <v>835.722975</v>
      </c>
      <c r="J110" s="685" t="n">
        <f aca="false">I110*G110</f>
        <v>1002.86757</v>
      </c>
      <c r="K110" s="685" t="n">
        <f aca="false">J110*$K$4</f>
        <v>2005.73514</v>
      </c>
      <c r="L110" s="694"/>
      <c r="M110" s="694"/>
      <c r="N110" s="489"/>
      <c r="O110" s="491"/>
      <c r="P110" s="489"/>
      <c r="Q110" s="687"/>
      <c r="R110" s="687"/>
      <c r="S110" s="688"/>
      <c r="T110" s="688"/>
      <c r="U110" s="688"/>
    </row>
    <row r="111" s="490" customFormat="true" ht="12.8" hidden="false" customHeight="false" outlineLevel="0" collapsed="false">
      <c r="B111" s="693"/>
      <c r="C111" s="682"/>
      <c r="D111" s="683"/>
      <c r="F111" s="490" t="s">
        <v>1060</v>
      </c>
      <c r="G111" s="490" t="n">
        <v>1.2</v>
      </c>
      <c r="H111" s="491" t="s">
        <v>1024</v>
      </c>
      <c r="I111" s="685" t="n">
        <f aca="false">VLOOKUP(F111,'Рулонки компл. Амиго '!$B$7:$D$1031,3,0)</f>
        <v>1210.51985</v>
      </c>
      <c r="J111" s="685" t="n">
        <f aca="false">I111*G111</f>
        <v>1452.62382</v>
      </c>
      <c r="K111" s="685" t="n">
        <f aca="false">J111*$K$4</f>
        <v>2905.24764</v>
      </c>
      <c r="L111" s="694"/>
      <c r="M111" s="694"/>
      <c r="N111" s="489"/>
      <c r="O111" s="491"/>
      <c r="P111" s="489"/>
      <c r="Q111" s="687"/>
      <c r="R111" s="687"/>
      <c r="S111" s="688"/>
      <c r="T111" s="688"/>
      <c r="U111" s="688"/>
    </row>
    <row r="112" s="490" customFormat="true" ht="12.8" hidden="false" customHeight="false" outlineLevel="0" collapsed="false">
      <c r="B112" s="693"/>
      <c r="C112" s="682"/>
      <c r="D112" s="683"/>
      <c r="F112" s="490" t="s">
        <v>1031</v>
      </c>
      <c r="G112" s="490" t="n">
        <v>1.2</v>
      </c>
      <c r="H112" s="491" t="s">
        <v>1024</v>
      </c>
      <c r="I112" s="685" t="n">
        <f aca="false">VLOOKUP(F112,'Рулонки компл. Амиго '!$B$7:$D$1031,3,0)</f>
        <v>619.616</v>
      </c>
      <c r="J112" s="685" t="n">
        <f aca="false">I112*G112</f>
        <v>743.5392</v>
      </c>
      <c r="K112" s="685" t="n">
        <f aca="false">J112*$K$4</f>
        <v>1487.0784</v>
      </c>
      <c r="L112" s="694"/>
      <c r="M112" s="694"/>
      <c r="N112" s="489"/>
      <c r="O112" s="491"/>
      <c r="P112" s="489"/>
      <c r="Q112" s="687"/>
      <c r="R112" s="687"/>
      <c r="S112" s="688"/>
      <c r="T112" s="688"/>
      <c r="U112" s="688"/>
    </row>
    <row r="113" s="331" customFormat="true" ht="12.8" hidden="false" customHeight="false" outlineLevel="0" collapsed="false">
      <c r="B113" s="655"/>
      <c r="C113" s="479"/>
      <c r="D113" s="307"/>
      <c r="H113" s="459"/>
      <c r="L113" s="692"/>
      <c r="M113" s="692"/>
      <c r="N113" s="0"/>
      <c r="O113" s="459"/>
      <c r="P113" s="0"/>
      <c r="Q113" s="482"/>
      <c r="R113" s="482"/>
      <c r="S113" s="666"/>
      <c r="T113" s="666"/>
      <c r="U113" s="666"/>
    </row>
    <row r="114" s="691" customFormat="true" ht="46.95" hidden="false" customHeight="false" outlineLevel="0" collapsed="false">
      <c r="A114" s="246" t="str">
        <f aca="false">"Рул - "&amp;B114</f>
        <v>Рул - 13</v>
      </c>
      <c r="B114" s="655" t="n">
        <v>13</v>
      </c>
      <c r="C114" s="695" t="s">
        <v>984</v>
      </c>
      <c r="D114" s="307" t="s">
        <v>1061</v>
      </c>
      <c r="E114" s="691" t="n">
        <v>1</v>
      </c>
      <c r="F114" s="691" t="s">
        <v>984</v>
      </c>
      <c r="H114" s="680"/>
      <c r="L114" s="665" t="n">
        <f aca="false">SUM(K115:K118)</f>
        <v>3597.2896041525</v>
      </c>
      <c r="M114" s="679" t="n">
        <f aca="false">SUM(K119:K124)</f>
        <v>8970.39816</v>
      </c>
      <c r="N114" s="0"/>
      <c r="O114" s="680"/>
      <c r="P114" s="331" t="s">
        <v>1039</v>
      </c>
      <c r="Q114" s="680" t="n">
        <v>1</v>
      </c>
      <c r="R114" s="115" t="s">
        <v>1056</v>
      </c>
      <c r="S114" s="696" t="n">
        <v>1</v>
      </c>
      <c r="T114" s="696"/>
      <c r="U114" s="332" t="s">
        <v>824</v>
      </c>
    </row>
    <row r="115" s="331" customFormat="true" ht="12.8" hidden="false" customHeight="false" outlineLevel="0" collapsed="false">
      <c r="B115" s="655"/>
      <c r="C115" s="479"/>
      <c r="D115" s="307"/>
      <c r="F115" s="331" t="s">
        <v>1057</v>
      </c>
      <c r="G115" s="331" t="n">
        <v>1</v>
      </c>
      <c r="H115" s="459"/>
      <c r="I115" s="483" t="n">
        <f aca="false">VLOOKUP(F115,'Рулонки компл. Амиго '!$B$7:$D$1031,3,0)</f>
        <v>1415.240225</v>
      </c>
      <c r="J115" s="483" t="n">
        <f aca="false">I115*G115</f>
        <v>1415.240225</v>
      </c>
      <c r="K115" s="483" t="n">
        <f aca="false">J115*$K$4</f>
        <v>2830.48045</v>
      </c>
      <c r="L115" s="692"/>
      <c r="M115" s="692"/>
      <c r="N115" s="0"/>
      <c r="O115" s="459"/>
      <c r="P115" s="0"/>
      <c r="Q115" s="482"/>
      <c r="R115" s="482"/>
      <c r="S115" s="666"/>
      <c r="T115" s="666"/>
      <c r="U115" s="666"/>
    </row>
    <row r="116" s="331" customFormat="true" ht="12.8" hidden="false" customHeight="false" outlineLevel="0" collapsed="false">
      <c r="B116" s="655"/>
      <c r="C116" s="479"/>
      <c r="D116" s="307"/>
      <c r="F116" s="331" t="s">
        <v>1041</v>
      </c>
      <c r="G116" s="331" t="n">
        <v>1</v>
      </c>
      <c r="H116" s="459"/>
      <c r="I116" s="483" t="n">
        <f aca="false">VLOOKUP(F116,'Рулонки компл. Амиго '!$B$7:$D$1031,3,0)</f>
        <v>237.46643461275</v>
      </c>
      <c r="J116" s="483" t="n">
        <f aca="false">I116*G116</f>
        <v>237.46643461275</v>
      </c>
      <c r="K116" s="483" t="n">
        <f aca="false">J116*$K$4</f>
        <v>474.9328692255</v>
      </c>
      <c r="L116" s="692"/>
      <c r="M116" s="692"/>
      <c r="N116" s="0"/>
      <c r="O116" s="459"/>
      <c r="P116" s="0"/>
      <c r="Q116" s="482"/>
      <c r="R116" s="482"/>
      <c r="S116" s="666"/>
      <c r="T116" s="666"/>
      <c r="U116" s="666"/>
    </row>
    <row r="117" s="331" customFormat="true" ht="12.8" hidden="false" customHeight="false" outlineLevel="0" collapsed="false">
      <c r="B117" s="655"/>
      <c r="C117" s="479"/>
      <c r="D117" s="307"/>
      <c r="F117" s="331" t="s">
        <v>534</v>
      </c>
      <c r="G117" s="331" t="n">
        <v>1</v>
      </c>
      <c r="H117" s="459"/>
      <c r="I117" s="483" t="n">
        <f aca="false">VLOOKUP(F117,'Рулонки компл. Амиго '!$B$7:$D$1031,3,0)</f>
        <v>74.7491275</v>
      </c>
      <c r="J117" s="483" t="n">
        <f aca="false">I117*G117</f>
        <v>74.7491275</v>
      </c>
      <c r="K117" s="483" t="n">
        <f aca="false">J117*$K$4</f>
        <v>149.498255</v>
      </c>
      <c r="L117" s="692"/>
      <c r="M117" s="692"/>
      <c r="N117" s="0"/>
      <c r="O117" s="459"/>
      <c r="P117" s="0"/>
      <c r="Q117" s="482"/>
      <c r="R117" s="482"/>
      <c r="S117" s="666"/>
      <c r="T117" s="666"/>
      <c r="U117" s="666"/>
    </row>
    <row r="118" s="331" customFormat="true" ht="12.8" hidden="false" customHeight="false" outlineLevel="0" collapsed="false">
      <c r="B118" s="655"/>
      <c r="C118" s="479"/>
      <c r="D118" s="307"/>
      <c r="F118" s="331" t="s">
        <v>535</v>
      </c>
      <c r="G118" s="331" t="n">
        <v>1</v>
      </c>
      <c r="H118" s="459"/>
      <c r="I118" s="483" t="n">
        <f aca="false">VLOOKUP(F118,'Рулонки компл. Амиго '!$B$7:$D$1031,3,0)</f>
        <v>71.1890149635</v>
      </c>
      <c r="J118" s="483" t="n">
        <f aca="false">I118*G118</f>
        <v>71.1890149635</v>
      </c>
      <c r="K118" s="483" t="n">
        <f aca="false">J118*$K$4</f>
        <v>142.378029927</v>
      </c>
      <c r="L118" s="692"/>
      <c r="M118" s="692"/>
      <c r="N118" s="0"/>
      <c r="O118" s="459"/>
      <c r="P118" s="0"/>
      <c r="Q118" s="482"/>
      <c r="R118" s="482"/>
      <c r="S118" s="666"/>
      <c r="T118" s="666"/>
      <c r="U118" s="666"/>
    </row>
    <row r="119" s="490" customFormat="true" ht="12.8" hidden="false" customHeight="false" outlineLevel="0" collapsed="false">
      <c r="B119" s="693"/>
      <c r="C119" s="682"/>
      <c r="D119" s="683"/>
      <c r="F119" s="490" t="s">
        <v>1058</v>
      </c>
      <c r="G119" s="490" t="n">
        <v>2</v>
      </c>
      <c r="H119" s="491"/>
      <c r="I119" s="685" t="n">
        <f aca="false">VLOOKUP(F119,'Рулонки компл. Амиго '!$B$7:$D$1031,3,0)</f>
        <v>145.1358</v>
      </c>
      <c r="J119" s="685" t="n">
        <f aca="false">I119*G119</f>
        <v>290.2716</v>
      </c>
      <c r="K119" s="685" t="n">
        <f aca="false">J119*$K$4</f>
        <v>580.5432</v>
      </c>
      <c r="L119" s="694"/>
      <c r="M119" s="694"/>
      <c r="N119" s="489"/>
      <c r="O119" s="491"/>
      <c r="P119" s="489"/>
      <c r="Q119" s="687"/>
      <c r="R119" s="687"/>
      <c r="S119" s="688"/>
      <c r="T119" s="688"/>
      <c r="U119" s="688"/>
    </row>
    <row r="120" s="490" customFormat="true" ht="12.8" hidden="false" customHeight="false" outlineLevel="0" collapsed="false">
      <c r="B120" s="693"/>
      <c r="C120" s="682"/>
      <c r="D120" s="683"/>
      <c r="F120" s="490" t="s">
        <v>1022</v>
      </c>
      <c r="G120" s="490" t="n">
        <v>1</v>
      </c>
      <c r="H120" s="491"/>
      <c r="I120" s="685" t="n">
        <f aca="false">VLOOKUP(F120,'Рулонки компл. Амиго '!$B$7:$D$1031,3,0)</f>
        <v>19.428025</v>
      </c>
      <c r="J120" s="685" t="n">
        <f aca="false">I120*G120</f>
        <v>19.428025</v>
      </c>
      <c r="K120" s="685" t="n">
        <f aca="false">J120*$K$4</f>
        <v>38.85605</v>
      </c>
      <c r="L120" s="694"/>
      <c r="M120" s="694"/>
      <c r="N120" s="489"/>
      <c r="O120" s="491"/>
      <c r="P120" s="489"/>
      <c r="Q120" s="687"/>
      <c r="R120" s="687"/>
      <c r="S120" s="688"/>
      <c r="T120" s="688"/>
      <c r="U120" s="688"/>
    </row>
    <row r="121" s="490" customFormat="true" ht="12.8" hidden="false" customHeight="false" outlineLevel="0" collapsed="false">
      <c r="B121" s="693"/>
      <c r="C121" s="682"/>
      <c r="D121" s="683"/>
      <c r="F121" s="490" t="s">
        <v>1023</v>
      </c>
      <c r="G121" s="490" t="n">
        <v>1</v>
      </c>
      <c r="H121" s="491"/>
      <c r="I121" s="685" t="n">
        <f aca="false">VLOOKUP(F121,'Рулонки компл. Амиго '!$B$7:$D$1031,3,0)</f>
        <v>21.407675</v>
      </c>
      <c r="J121" s="685" t="n">
        <f aca="false">I121*G121</f>
        <v>21.407675</v>
      </c>
      <c r="K121" s="685" t="n">
        <f aca="false">J121*$K$4</f>
        <v>42.81535</v>
      </c>
      <c r="L121" s="694"/>
      <c r="M121" s="694"/>
      <c r="N121" s="489"/>
      <c r="O121" s="491"/>
      <c r="P121" s="489"/>
      <c r="Q121" s="687"/>
      <c r="R121" s="687"/>
      <c r="S121" s="688"/>
      <c r="T121" s="688"/>
      <c r="U121" s="688"/>
    </row>
    <row r="122" s="490" customFormat="true" ht="12.8" hidden="false" customHeight="false" outlineLevel="0" collapsed="false">
      <c r="B122" s="693"/>
      <c r="C122" s="682"/>
      <c r="D122" s="683"/>
      <c r="F122" s="490" t="s">
        <v>1059</v>
      </c>
      <c r="G122" s="490" t="n">
        <v>1.2</v>
      </c>
      <c r="H122" s="491" t="s">
        <v>1024</v>
      </c>
      <c r="I122" s="685" t="n">
        <f aca="false">VLOOKUP(F122,'Рулонки компл. Амиго '!$B$7:$D$1031,3,0)</f>
        <v>835.722975</v>
      </c>
      <c r="J122" s="685" t="n">
        <f aca="false">I122*G122</f>
        <v>1002.86757</v>
      </c>
      <c r="K122" s="685" t="n">
        <f aca="false">J122*$K$4</f>
        <v>2005.73514</v>
      </c>
      <c r="L122" s="694"/>
      <c r="M122" s="694"/>
      <c r="N122" s="489"/>
      <c r="O122" s="491"/>
      <c r="P122" s="489"/>
      <c r="Q122" s="687"/>
      <c r="R122" s="687"/>
      <c r="S122" s="688"/>
      <c r="T122" s="688"/>
      <c r="U122" s="688"/>
    </row>
    <row r="123" s="490" customFormat="true" ht="12.8" hidden="false" customHeight="false" outlineLevel="0" collapsed="false">
      <c r="B123" s="693"/>
      <c r="C123" s="682"/>
      <c r="D123" s="683"/>
      <c r="F123" s="490" t="s">
        <v>1060</v>
      </c>
      <c r="G123" s="490" t="n">
        <v>1.2</v>
      </c>
      <c r="H123" s="491" t="s">
        <v>1024</v>
      </c>
      <c r="I123" s="685" t="n">
        <f aca="false">VLOOKUP(F123,'Рулонки компл. Амиго '!$B$7:$D$1031,3,0)</f>
        <v>1210.51985</v>
      </c>
      <c r="J123" s="685" t="n">
        <f aca="false">I123*G123</f>
        <v>1452.62382</v>
      </c>
      <c r="K123" s="685" t="n">
        <f aca="false">J123*$K$4</f>
        <v>2905.24764</v>
      </c>
      <c r="L123" s="694"/>
      <c r="M123" s="694"/>
      <c r="N123" s="489"/>
      <c r="O123" s="491"/>
      <c r="P123" s="489"/>
      <c r="Q123" s="687"/>
      <c r="R123" s="687"/>
      <c r="S123" s="688"/>
      <c r="T123" s="688"/>
      <c r="U123" s="688"/>
    </row>
    <row r="124" s="490" customFormat="true" ht="12.8" hidden="false" customHeight="false" outlineLevel="0" collapsed="false">
      <c r="B124" s="693"/>
      <c r="C124" s="682"/>
      <c r="D124" s="683"/>
      <c r="F124" s="490" t="s">
        <v>1039</v>
      </c>
      <c r="G124" s="490" t="n">
        <v>1.2</v>
      </c>
      <c r="H124" s="491" t="s">
        <v>1024</v>
      </c>
      <c r="I124" s="685" t="n">
        <f aca="false">VLOOKUP(F124,'Рулонки компл. Амиго '!$B$7:$D$1031,3,0)</f>
        <v>1415.500325</v>
      </c>
      <c r="J124" s="685" t="n">
        <f aca="false">I124*G124</f>
        <v>1698.60039</v>
      </c>
      <c r="K124" s="685" t="n">
        <f aca="false">J124*$K$4</f>
        <v>3397.20078</v>
      </c>
      <c r="L124" s="694"/>
      <c r="M124" s="694"/>
      <c r="N124" s="489"/>
      <c r="O124" s="491"/>
      <c r="P124" s="489"/>
      <c r="Q124" s="687"/>
      <c r="R124" s="687"/>
      <c r="S124" s="688"/>
      <c r="T124" s="688"/>
      <c r="U124" s="688"/>
    </row>
    <row r="125" s="331" customFormat="true" ht="12.8" hidden="false" customHeight="false" outlineLevel="0" collapsed="false">
      <c r="B125" s="655"/>
      <c r="C125" s="479"/>
      <c r="D125" s="307"/>
      <c r="H125" s="459"/>
      <c r="L125" s="692"/>
      <c r="M125" s="692"/>
      <c r="N125" s="0"/>
      <c r="O125" s="459"/>
      <c r="P125" s="0"/>
      <c r="Q125" s="482"/>
      <c r="R125" s="482"/>
      <c r="S125" s="666"/>
      <c r="T125" s="666"/>
      <c r="U125" s="666"/>
    </row>
    <row r="126" s="691" customFormat="true" ht="12.8" hidden="false" customHeight="false" outlineLevel="0" collapsed="false">
      <c r="A126" s="246" t="str">
        <f aca="false">"Рул - "&amp;B126</f>
        <v>Рул - 14</v>
      </c>
      <c r="B126" s="655" t="n">
        <v>14</v>
      </c>
      <c r="C126" s="690" t="s">
        <v>987</v>
      </c>
      <c r="D126" s="307" t="s">
        <v>1038</v>
      </c>
      <c r="E126" s="691" t="n">
        <v>1</v>
      </c>
      <c r="F126" s="691" t="s">
        <v>987</v>
      </c>
      <c r="H126" s="680"/>
      <c r="L126" s="665" t="n">
        <f aca="false">SUM(K127:K129)</f>
        <v>1852.7479692255</v>
      </c>
      <c r="M126" s="679" t="n">
        <f aca="false">SUM(K130:K132)</f>
        <v>3478.87218</v>
      </c>
      <c r="N126" s="0"/>
      <c r="O126" s="680"/>
      <c r="P126" s="331" t="s">
        <v>1039</v>
      </c>
      <c r="Q126" s="680"/>
      <c r="R126" s="680"/>
      <c r="S126" s="459" t="n">
        <v>1</v>
      </c>
      <c r="T126" s="459"/>
      <c r="U126" s="332" t="s">
        <v>824</v>
      </c>
    </row>
    <row r="127" s="331" customFormat="true" ht="12.8" hidden="false" customHeight="false" outlineLevel="0" collapsed="false">
      <c r="B127" s="655"/>
      <c r="C127" s="479"/>
      <c r="D127" s="307"/>
      <c r="F127" s="331" t="s">
        <v>1040</v>
      </c>
      <c r="G127" s="331" t="n">
        <v>2</v>
      </c>
      <c r="H127" s="459"/>
      <c r="I127" s="483" t="n">
        <f aca="false">VLOOKUP(F127,'Рулонки компл. Амиго '!$B$7:$D$1031,3,0)</f>
        <v>122.095275</v>
      </c>
      <c r="J127" s="483" t="n">
        <f aca="false">I127*G127</f>
        <v>244.19055</v>
      </c>
      <c r="K127" s="483" t="n">
        <f aca="false">J127*$K$4</f>
        <v>488.3811</v>
      </c>
      <c r="L127" s="692"/>
      <c r="M127" s="692"/>
      <c r="N127" s="0"/>
      <c r="O127" s="459"/>
      <c r="P127" s="0"/>
      <c r="Q127" s="482"/>
      <c r="R127" s="482"/>
      <c r="S127" s="666"/>
      <c r="T127" s="666"/>
      <c r="U127" s="666"/>
    </row>
    <row r="128" s="331" customFormat="true" ht="12.8" hidden="false" customHeight="false" outlineLevel="0" collapsed="false">
      <c r="B128" s="655"/>
      <c r="C128" s="479"/>
      <c r="D128" s="307"/>
      <c r="F128" s="331" t="s">
        <v>551</v>
      </c>
      <c r="G128" s="331" t="n">
        <v>1</v>
      </c>
      <c r="H128" s="459"/>
      <c r="J128" s="697" t="n">
        <f aca="false">'_Рулонки компл. Somfy'!E47</f>
        <v>889.434</v>
      </c>
      <c r="K128" s="698" t="n">
        <f aca="false">J128*G128*$L$4</f>
        <v>889.434</v>
      </c>
      <c r="L128" s="692"/>
      <c r="M128" s="692"/>
      <c r="N128" s="0"/>
      <c r="O128" s="459"/>
      <c r="P128" s="0"/>
      <c r="Q128" s="482"/>
      <c r="R128" s="482"/>
      <c r="S128" s="666"/>
      <c r="T128" s="666"/>
      <c r="U128" s="666"/>
    </row>
    <row r="129" s="331" customFormat="true" ht="12.8" hidden="false" customHeight="false" outlineLevel="0" collapsed="false">
      <c r="B129" s="655"/>
      <c r="C129" s="479"/>
      <c r="D129" s="307"/>
      <c r="F129" s="331" t="s">
        <v>1041</v>
      </c>
      <c r="G129" s="331" t="n">
        <v>1</v>
      </c>
      <c r="H129" s="459"/>
      <c r="I129" s="483" t="n">
        <f aca="false">VLOOKUP(F129,'Рулонки компл. Амиго '!$B$7:$D$1031,3,0)</f>
        <v>237.46643461275</v>
      </c>
      <c r="J129" s="483" t="n">
        <f aca="false">I129*G129</f>
        <v>237.46643461275</v>
      </c>
      <c r="K129" s="483" t="n">
        <f aca="false">J129*$K$4</f>
        <v>474.9328692255</v>
      </c>
      <c r="L129" s="692"/>
      <c r="M129" s="692"/>
      <c r="N129" s="0"/>
      <c r="O129" s="459"/>
      <c r="P129" s="0"/>
      <c r="Q129" s="482"/>
      <c r="R129" s="482"/>
      <c r="S129" s="666"/>
      <c r="T129" s="666"/>
      <c r="U129" s="666"/>
    </row>
    <row r="130" s="490" customFormat="true" ht="12.8" hidden="false" customHeight="false" outlineLevel="0" collapsed="false">
      <c r="B130" s="693"/>
      <c r="C130" s="682"/>
      <c r="D130" s="683"/>
      <c r="F130" s="490" t="s">
        <v>1022</v>
      </c>
      <c r="G130" s="490" t="n">
        <v>1</v>
      </c>
      <c r="H130" s="491"/>
      <c r="I130" s="685" t="n">
        <f aca="false">VLOOKUP(F130,'Рулонки компл. Амиго '!$B$7:$D$1031,3,0)</f>
        <v>19.428025</v>
      </c>
      <c r="J130" s="685" t="n">
        <f aca="false">I130*G130</f>
        <v>19.428025</v>
      </c>
      <c r="K130" s="685" t="n">
        <f aca="false">J130*$K$4</f>
        <v>38.85605</v>
      </c>
      <c r="L130" s="694"/>
      <c r="M130" s="694"/>
      <c r="N130" s="489"/>
      <c r="O130" s="491"/>
      <c r="P130" s="489"/>
      <c r="Q130" s="687"/>
      <c r="R130" s="687"/>
      <c r="S130" s="688"/>
      <c r="T130" s="688"/>
      <c r="U130" s="688"/>
    </row>
    <row r="131" s="490" customFormat="true" ht="12.8" hidden="false" customHeight="false" outlineLevel="0" collapsed="false">
      <c r="B131" s="693"/>
      <c r="C131" s="682"/>
      <c r="D131" s="683"/>
      <c r="F131" s="490" t="s">
        <v>1023</v>
      </c>
      <c r="G131" s="490" t="n">
        <v>1</v>
      </c>
      <c r="H131" s="491"/>
      <c r="I131" s="685" t="n">
        <f aca="false">VLOOKUP(F131,'Рулонки компл. Амиго '!$B$7:$D$1031,3,0)</f>
        <v>21.407675</v>
      </c>
      <c r="J131" s="685" t="n">
        <f aca="false">I131*G131</f>
        <v>21.407675</v>
      </c>
      <c r="K131" s="685" t="n">
        <f aca="false">J131*$K$4</f>
        <v>42.81535</v>
      </c>
      <c r="L131" s="694"/>
      <c r="M131" s="694"/>
      <c r="N131" s="489"/>
      <c r="O131" s="491"/>
      <c r="P131" s="489"/>
      <c r="Q131" s="687"/>
      <c r="R131" s="687"/>
      <c r="S131" s="688"/>
      <c r="T131" s="688"/>
      <c r="U131" s="688"/>
    </row>
    <row r="132" s="490" customFormat="true" ht="12.8" hidden="false" customHeight="false" outlineLevel="0" collapsed="false">
      <c r="B132" s="693"/>
      <c r="C132" s="682"/>
      <c r="D132" s="683"/>
      <c r="F132" s="490" t="s">
        <v>1039</v>
      </c>
      <c r="G132" s="490" t="n">
        <v>1.2</v>
      </c>
      <c r="H132" s="491" t="s">
        <v>1024</v>
      </c>
      <c r="I132" s="685" t="n">
        <f aca="false">VLOOKUP(F132,'Рулонки компл. Амиго '!$B$7:$D$1031,3,0)</f>
        <v>1415.500325</v>
      </c>
      <c r="J132" s="685" t="n">
        <f aca="false">I132*G132</f>
        <v>1698.60039</v>
      </c>
      <c r="K132" s="685" t="n">
        <f aca="false">J132*$K$4</f>
        <v>3397.20078</v>
      </c>
      <c r="L132" s="694"/>
      <c r="M132" s="694"/>
      <c r="N132" s="489"/>
      <c r="O132" s="491"/>
      <c r="P132" s="489"/>
      <c r="Q132" s="687"/>
      <c r="R132" s="687"/>
      <c r="S132" s="688"/>
      <c r="T132" s="688"/>
      <c r="U132" s="688"/>
    </row>
    <row r="133" s="331" customFormat="true" ht="12.8" hidden="false" customHeight="false" outlineLevel="0" collapsed="false">
      <c r="B133" s="655"/>
      <c r="C133" s="479"/>
      <c r="D133" s="307"/>
      <c r="H133" s="459"/>
      <c r="L133" s="692"/>
      <c r="M133" s="692"/>
      <c r="N133" s="0"/>
      <c r="O133" s="459"/>
      <c r="P133" s="0"/>
      <c r="Q133" s="482"/>
      <c r="R133" s="482"/>
      <c r="S133" s="666"/>
      <c r="T133" s="666"/>
      <c r="U133" s="666"/>
    </row>
    <row r="134" s="691" customFormat="true" ht="46.95" hidden="false" customHeight="false" outlineLevel="0" collapsed="false">
      <c r="A134" s="246" t="str">
        <f aca="false">"Рул - "&amp;B134</f>
        <v>Рул - 15</v>
      </c>
      <c r="B134" s="655" t="n">
        <v>15</v>
      </c>
      <c r="C134" s="695" t="s">
        <v>989</v>
      </c>
      <c r="D134" s="307" t="s">
        <v>1061</v>
      </c>
      <c r="E134" s="691" t="n">
        <v>1</v>
      </c>
      <c r="F134" s="691" t="s">
        <v>989</v>
      </c>
      <c r="H134" s="680"/>
      <c r="L134" s="665" t="n">
        <f aca="false">SUM(K135:K137)</f>
        <v>4194.8473192255</v>
      </c>
      <c r="M134" s="679" t="n">
        <f aca="false">SUM(K138:K143)</f>
        <v>8927.58281</v>
      </c>
      <c r="N134" s="0"/>
      <c r="O134" s="680"/>
      <c r="P134" s="331" t="s">
        <v>1039</v>
      </c>
      <c r="Q134" s="680" t="n">
        <v>1</v>
      </c>
      <c r="R134" s="115" t="s">
        <v>1056</v>
      </c>
      <c r="S134" s="696" t="n">
        <v>1</v>
      </c>
      <c r="T134" s="696"/>
      <c r="U134" s="332" t="s">
        <v>824</v>
      </c>
    </row>
    <row r="135" s="331" customFormat="true" ht="12.8" hidden="false" customHeight="false" outlineLevel="0" collapsed="false">
      <c r="B135" s="655"/>
      <c r="C135" s="479"/>
      <c r="D135" s="307"/>
      <c r="F135" s="331" t="s">
        <v>1057</v>
      </c>
      <c r="G135" s="331" t="n">
        <v>1</v>
      </c>
      <c r="H135" s="459"/>
      <c r="I135" s="483" t="n">
        <f aca="false">VLOOKUP(F135,'Рулонки компл. Амиго '!$B$7:$D$1031,3,0)</f>
        <v>1415.240225</v>
      </c>
      <c r="J135" s="483" t="n">
        <f aca="false">I135*G135</f>
        <v>1415.240225</v>
      </c>
      <c r="K135" s="483" t="n">
        <f aca="false">J135*$K$4</f>
        <v>2830.48045</v>
      </c>
      <c r="L135" s="692"/>
      <c r="M135" s="692"/>
      <c r="N135" s="0"/>
      <c r="O135" s="459"/>
      <c r="P135" s="0"/>
      <c r="Q135" s="482"/>
      <c r="R135" s="482"/>
      <c r="S135" s="666"/>
      <c r="T135" s="666"/>
      <c r="U135" s="666"/>
    </row>
    <row r="136" s="331" customFormat="true" ht="12.8" hidden="false" customHeight="false" outlineLevel="0" collapsed="false">
      <c r="B136" s="655"/>
      <c r="C136" s="479"/>
      <c r="D136" s="307"/>
      <c r="F136" s="331" t="s">
        <v>1041</v>
      </c>
      <c r="G136" s="331" t="n">
        <v>1</v>
      </c>
      <c r="H136" s="459"/>
      <c r="I136" s="483" t="n">
        <f aca="false">VLOOKUP(F136,'Рулонки компл. Амиго '!$B$7:$D$1031,3,0)</f>
        <v>237.46643461275</v>
      </c>
      <c r="J136" s="483" t="n">
        <f aca="false">I136*G136</f>
        <v>237.46643461275</v>
      </c>
      <c r="K136" s="483" t="n">
        <f aca="false">J136*$K$4</f>
        <v>474.9328692255</v>
      </c>
      <c r="L136" s="692"/>
      <c r="M136" s="692"/>
      <c r="N136" s="0"/>
      <c r="O136" s="459"/>
      <c r="P136" s="0"/>
      <c r="Q136" s="482"/>
      <c r="R136" s="482"/>
      <c r="S136" s="666"/>
      <c r="T136" s="666"/>
      <c r="U136" s="666"/>
    </row>
    <row r="137" s="331" customFormat="true" ht="12.8" hidden="false" customHeight="false" outlineLevel="0" collapsed="false">
      <c r="B137" s="655"/>
      <c r="C137" s="479"/>
      <c r="D137" s="307"/>
      <c r="F137" s="331" t="s">
        <v>551</v>
      </c>
      <c r="G137" s="331" t="n">
        <v>1</v>
      </c>
      <c r="H137" s="459"/>
      <c r="J137" s="697" t="n">
        <f aca="false">'_Рулонки компл. Somfy'!E47</f>
        <v>889.434</v>
      </c>
      <c r="K137" s="698" t="n">
        <f aca="false">J137*G137*$L$4</f>
        <v>889.434</v>
      </c>
      <c r="L137" s="692"/>
      <c r="M137" s="692"/>
      <c r="N137" s="0"/>
      <c r="O137" s="459"/>
      <c r="P137" s="0"/>
      <c r="Q137" s="482"/>
      <c r="R137" s="482"/>
      <c r="S137" s="666"/>
      <c r="T137" s="666"/>
      <c r="U137" s="666"/>
    </row>
    <row r="138" s="490" customFormat="true" ht="12.8" hidden="false" customHeight="false" outlineLevel="0" collapsed="false">
      <c r="B138" s="693"/>
      <c r="C138" s="682"/>
      <c r="D138" s="683"/>
      <c r="F138" s="490" t="s">
        <v>1058</v>
      </c>
      <c r="G138" s="490" t="n">
        <v>2</v>
      </c>
      <c r="H138" s="491"/>
      <c r="I138" s="685" t="n">
        <f aca="false">VLOOKUP(F138,'Рулонки компл. Амиго '!$B$7:$D$1031,3,0)</f>
        <v>145.1358</v>
      </c>
      <c r="J138" s="685" t="n">
        <f aca="false">I138*G138</f>
        <v>290.2716</v>
      </c>
      <c r="K138" s="685" t="n">
        <f aca="false">J138*$K$4</f>
        <v>580.5432</v>
      </c>
      <c r="L138" s="694"/>
      <c r="M138" s="694"/>
      <c r="N138" s="489"/>
      <c r="O138" s="491"/>
      <c r="P138" s="489"/>
      <c r="Q138" s="687"/>
      <c r="R138" s="687"/>
      <c r="S138" s="688"/>
      <c r="T138" s="688"/>
      <c r="U138" s="688"/>
    </row>
    <row r="139" s="490" customFormat="true" ht="12.8" hidden="false" customHeight="false" outlineLevel="0" collapsed="false">
      <c r="B139" s="693"/>
      <c r="C139" s="682"/>
      <c r="D139" s="683"/>
      <c r="F139" s="490" t="s">
        <v>1022</v>
      </c>
      <c r="G139" s="490" t="n">
        <v>1</v>
      </c>
      <c r="H139" s="491"/>
      <c r="I139" s="685" t="n">
        <f aca="false">VLOOKUP(F139,'Рулонки компл. Амиго '!$B$7:$D$1031,3,0)</f>
        <v>19.428025</v>
      </c>
      <c r="J139" s="685" t="n">
        <f aca="false">I139*G139</f>
        <v>19.428025</v>
      </c>
      <c r="K139" s="685" t="n">
        <f aca="false">J139*$K$4</f>
        <v>38.85605</v>
      </c>
      <c r="L139" s="694"/>
      <c r="M139" s="694"/>
      <c r="N139" s="489"/>
      <c r="O139" s="491"/>
      <c r="P139" s="489"/>
      <c r="Q139" s="687"/>
      <c r="R139" s="687"/>
      <c r="S139" s="688"/>
      <c r="T139" s="688"/>
      <c r="U139" s="688"/>
    </row>
    <row r="140" s="490" customFormat="true" ht="12.8" hidden="false" customHeight="false" outlineLevel="0" collapsed="false">
      <c r="B140" s="693"/>
      <c r="C140" s="682"/>
      <c r="D140" s="683"/>
      <c r="F140" s="490" t="s">
        <v>1023</v>
      </c>
      <c r="H140" s="491"/>
      <c r="I140" s="685" t="n">
        <f aca="false">VLOOKUP(F140,'Рулонки компл. Амиго '!$B$7:$D$1031,3,0)</f>
        <v>21.407675</v>
      </c>
      <c r="J140" s="685" t="n">
        <f aca="false">I140*G140</f>
        <v>0</v>
      </c>
      <c r="K140" s="685" t="n">
        <f aca="false">J140*$K$4</f>
        <v>0</v>
      </c>
      <c r="L140" s="694"/>
      <c r="M140" s="694"/>
      <c r="N140" s="489"/>
      <c r="O140" s="491"/>
      <c r="P140" s="489"/>
      <c r="Q140" s="687"/>
      <c r="R140" s="687"/>
      <c r="S140" s="688"/>
      <c r="T140" s="688"/>
      <c r="U140" s="688"/>
    </row>
    <row r="141" s="490" customFormat="true" ht="12.8" hidden="false" customHeight="false" outlineLevel="0" collapsed="false">
      <c r="B141" s="693"/>
      <c r="C141" s="682"/>
      <c r="D141" s="683"/>
      <c r="F141" s="490" t="s">
        <v>1059</v>
      </c>
      <c r="G141" s="490" t="n">
        <v>1.2</v>
      </c>
      <c r="H141" s="491" t="s">
        <v>1024</v>
      </c>
      <c r="I141" s="685" t="n">
        <f aca="false">VLOOKUP(F141,'Рулонки компл. Амиго '!$B$7:$D$1031,3,0)</f>
        <v>835.722975</v>
      </c>
      <c r="J141" s="685" t="n">
        <f aca="false">I141*G141</f>
        <v>1002.86757</v>
      </c>
      <c r="K141" s="685" t="n">
        <f aca="false">J141*$K$4</f>
        <v>2005.73514</v>
      </c>
      <c r="L141" s="694"/>
      <c r="M141" s="694"/>
      <c r="N141" s="489"/>
      <c r="O141" s="491"/>
      <c r="P141" s="489"/>
      <c r="Q141" s="687"/>
      <c r="R141" s="687"/>
      <c r="S141" s="688"/>
      <c r="T141" s="688"/>
      <c r="U141" s="688"/>
    </row>
    <row r="142" s="490" customFormat="true" ht="12.8" hidden="false" customHeight="false" outlineLevel="0" collapsed="false">
      <c r="B142" s="693"/>
      <c r="C142" s="682"/>
      <c r="D142" s="683"/>
      <c r="F142" s="490" t="s">
        <v>1060</v>
      </c>
      <c r="G142" s="490" t="n">
        <v>1.2</v>
      </c>
      <c r="H142" s="491" t="s">
        <v>1024</v>
      </c>
      <c r="I142" s="685" t="n">
        <f aca="false">VLOOKUP(F142,'Рулонки компл. Амиго '!$B$7:$D$1031,3,0)</f>
        <v>1210.51985</v>
      </c>
      <c r="J142" s="685" t="n">
        <f aca="false">I142*G142</f>
        <v>1452.62382</v>
      </c>
      <c r="K142" s="685" t="n">
        <f aca="false">J142*$K$4</f>
        <v>2905.24764</v>
      </c>
      <c r="L142" s="694"/>
      <c r="M142" s="694"/>
      <c r="N142" s="489"/>
      <c r="O142" s="491"/>
      <c r="P142" s="489"/>
      <c r="Q142" s="687"/>
      <c r="R142" s="687"/>
      <c r="S142" s="688"/>
      <c r="T142" s="688"/>
      <c r="U142" s="688"/>
    </row>
    <row r="143" s="490" customFormat="true" ht="12.8" hidden="false" customHeight="false" outlineLevel="0" collapsed="false">
      <c r="B143" s="693"/>
      <c r="C143" s="682"/>
      <c r="D143" s="683"/>
      <c r="F143" s="490" t="s">
        <v>1039</v>
      </c>
      <c r="G143" s="490" t="n">
        <v>1.2</v>
      </c>
      <c r="H143" s="491" t="s">
        <v>1024</v>
      </c>
      <c r="I143" s="685" t="n">
        <f aca="false">VLOOKUP(F143,'Рулонки компл. Амиго '!$B$7:$D$1031,3,0)</f>
        <v>1415.500325</v>
      </c>
      <c r="J143" s="685" t="n">
        <f aca="false">I143*G143</f>
        <v>1698.60039</v>
      </c>
      <c r="K143" s="685" t="n">
        <f aca="false">J143*$K$4</f>
        <v>3397.20078</v>
      </c>
      <c r="L143" s="694"/>
      <c r="M143" s="694"/>
      <c r="N143" s="489"/>
      <c r="O143" s="491"/>
      <c r="P143" s="489"/>
      <c r="Q143" s="687"/>
      <c r="R143" s="687"/>
      <c r="S143" s="688"/>
      <c r="T143" s="688"/>
      <c r="U143" s="688"/>
    </row>
    <row r="144" s="331" customFormat="true" ht="12.8" hidden="false" customHeight="false" outlineLevel="0" collapsed="false">
      <c r="B144" s="655"/>
      <c r="C144" s="479"/>
      <c r="D144" s="307"/>
      <c r="H144" s="459"/>
      <c r="L144" s="692"/>
      <c r="M144" s="692"/>
      <c r="N144" s="0"/>
      <c r="O144" s="459"/>
      <c r="P144" s="0"/>
      <c r="Q144" s="482"/>
      <c r="R144" s="482"/>
      <c r="S144" s="666"/>
      <c r="T144" s="666"/>
      <c r="U144" s="666"/>
    </row>
    <row r="145" s="691" customFormat="true" ht="21.05" hidden="false" customHeight="false" outlineLevel="0" collapsed="false">
      <c r="A145" s="246" t="str">
        <f aca="false">"Рул - "&amp;B145</f>
        <v>Рул - 16</v>
      </c>
      <c r="B145" s="655" t="n">
        <v>16</v>
      </c>
      <c r="C145" s="690" t="s">
        <v>990</v>
      </c>
      <c r="D145" s="307" t="s">
        <v>1046</v>
      </c>
      <c r="E145" s="691" t="n">
        <v>1</v>
      </c>
      <c r="F145" s="691" t="s">
        <v>990</v>
      </c>
      <c r="H145" s="680"/>
      <c r="L145" s="665" t="n">
        <f aca="false">SUM(K146:K149)</f>
        <v>13003.8267480953</v>
      </c>
      <c r="M145" s="679" t="n">
        <f aca="false">SUM(K150:K152)</f>
        <v>3560.54358</v>
      </c>
      <c r="N145" s="0"/>
      <c r="O145" s="680" t="n">
        <v>1</v>
      </c>
      <c r="P145" s="331" t="s">
        <v>1039</v>
      </c>
      <c r="Q145" s="680"/>
      <c r="R145" s="680"/>
      <c r="S145" s="459" t="n">
        <v>1</v>
      </c>
      <c r="T145" s="459"/>
      <c r="U145" s="332" t="s">
        <v>824</v>
      </c>
    </row>
    <row r="146" s="331" customFormat="true" ht="12.8" hidden="false" customHeight="false" outlineLevel="0" collapsed="false">
      <c r="B146" s="655"/>
      <c r="C146" s="479"/>
      <c r="D146" s="307"/>
      <c r="F146" s="331" t="s">
        <v>1040</v>
      </c>
      <c r="G146" s="331" t="n">
        <v>2</v>
      </c>
      <c r="H146" s="459"/>
      <c r="I146" s="483" t="n">
        <f aca="false">VLOOKUP(F146,'Рулонки компл. Амиго '!$B$7:$D$1031,3,0)</f>
        <v>122.095275</v>
      </c>
      <c r="J146" s="483" t="n">
        <f aca="false">I146*G146</f>
        <v>244.19055</v>
      </c>
      <c r="K146" s="483" t="n">
        <f aca="false">J146*$K$4</f>
        <v>488.3811</v>
      </c>
      <c r="L146" s="692"/>
      <c r="M146" s="692"/>
      <c r="N146" s="0"/>
      <c r="O146" s="459"/>
      <c r="P146" s="0"/>
      <c r="Q146" s="482"/>
      <c r="R146" s="482"/>
      <c r="S146" s="666"/>
      <c r="T146" s="666"/>
      <c r="U146" s="666"/>
    </row>
    <row r="147" s="331" customFormat="true" ht="12.8" hidden="false" customHeight="false" outlineLevel="0" collapsed="false">
      <c r="B147" s="655"/>
      <c r="C147" s="479"/>
      <c r="D147" s="307"/>
      <c r="F147" s="331" t="s">
        <v>1041</v>
      </c>
      <c r="G147" s="331" t="n">
        <v>1</v>
      </c>
      <c r="H147" s="459"/>
      <c r="I147" s="483" t="n">
        <f aca="false">VLOOKUP(F147,'Рулонки компл. Амиго '!$B$7:$D$1031,3,0)</f>
        <v>237.46643461275</v>
      </c>
      <c r="J147" s="483" t="n">
        <f aca="false">I147*G147</f>
        <v>237.46643461275</v>
      </c>
      <c r="K147" s="483" t="n">
        <f aca="false">J147*$K$4</f>
        <v>474.9328692255</v>
      </c>
      <c r="L147" s="692"/>
      <c r="M147" s="692"/>
      <c r="N147" s="0"/>
      <c r="O147" s="459"/>
      <c r="P147" s="0"/>
      <c r="Q147" s="482"/>
      <c r="R147" s="482"/>
      <c r="S147" s="666"/>
      <c r="T147" s="666"/>
      <c r="U147" s="666"/>
    </row>
    <row r="148" s="331" customFormat="true" ht="12.8" hidden="false" customHeight="false" outlineLevel="0" collapsed="false">
      <c r="B148" s="655"/>
      <c r="C148" s="479"/>
      <c r="D148" s="307"/>
      <c r="F148" s="331" t="s">
        <v>1047</v>
      </c>
      <c r="G148" s="331" t="n">
        <v>1</v>
      </c>
      <c r="H148" s="459"/>
      <c r="I148" s="483" t="n">
        <f aca="false">VLOOKUP(F148,'Рулонки компл. Амиго '!$B$7:$D$1031,3,0)</f>
        <v>5575.53938943488</v>
      </c>
      <c r="J148" s="483" t="n">
        <f aca="false">I148*G148</f>
        <v>5575.53938943488</v>
      </c>
      <c r="K148" s="483" t="n">
        <f aca="false">J148*$K$4</f>
        <v>11151.0787788698</v>
      </c>
      <c r="L148" s="692"/>
      <c r="M148" s="692"/>
      <c r="N148" s="0"/>
      <c r="O148" s="459"/>
      <c r="P148" s="0"/>
      <c r="Q148" s="482"/>
      <c r="R148" s="482"/>
      <c r="S148" s="666"/>
      <c r="T148" s="666"/>
      <c r="U148" s="666"/>
    </row>
    <row r="149" s="331" customFormat="true" ht="12.8" hidden="false" customHeight="false" outlineLevel="0" collapsed="false">
      <c r="B149" s="655"/>
      <c r="C149" s="479"/>
      <c r="D149" s="307"/>
      <c r="F149" s="331" t="s">
        <v>551</v>
      </c>
      <c r="G149" s="331" t="n">
        <v>1</v>
      </c>
      <c r="H149" s="459"/>
      <c r="J149" s="697" t="n">
        <f aca="false">'_Рулонки компл. Somfy'!E47</f>
        <v>889.434</v>
      </c>
      <c r="K149" s="698" t="n">
        <f aca="false">J149*G149*$L$4</f>
        <v>889.434</v>
      </c>
      <c r="L149" s="692"/>
      <c r="M149" s="692"/>
      <c r="N149" s="0"/>
      <c r="O149" s="459"/>
      <c r="P149" s="0"/>
      <c r="Q149" s="482"/>
      <c r="R149" s="482"/>
      <c r="S149" s="666"/>
      <c r="T149" s="666"/>
      <c r="U149" s="666"/>
    </row>
    <row r="150" s="490" customFormat="true" ht="12.8" hidden="false" customHeight="false" outlineLevel="0" collapsed="false">
      <c r="B150" s="693"/>
      <c r="C150" s="682"/>
      <c r="D150" s="683"/>
      <c r="F150" s="490" t="s">
        <v>1022</v>
      </c>
      <c r="G150" s="490" t="n">
        <v>2</v>
      </c>
      <c r="H150" s="491"/>
      <c r="I150" s="685" t="n">
        <f aca="false">VLOOKUP(F150,'Рулонки компл. Амиго '!$B$7:$D$1031,3,0)</f>
        <v>19.428025</v>
      </c>
      <c r="J150" s="685" t="n">
        <f aca="false">I150*G150</f>
        <v>38.85605</v>
      </c>
      <c r="K150" s="685" t="n">
        <f aca="false">J150*$K$4</f>
        <v>77.7121</v>
      </c>
      <c r="L150" s="694"/>
      <c r="M150" s="694"/>
      <c r="N150" s="489"/>
      <c r="O150" s="491"/>
      <c r="P150" s="489"/>
      <c r="Q150" s="687"/>
      <c r="R150" s="687"/>
      <c r="S150" s="688"/>
      <c r="T150" s="688"/>
      <c r="U150" s="688"/>
    </row>
    <row r="151" s="490" customFormat="true" ht="12.8" hidden="false" customHeight="false" outlineLevel="0" collapsed="false">
      <c r="B151" s="693"/>
      <c r="C151" s="682"/>
      <c r="D151" s="683"/>
      <c r="F151" s="490" t="s">
        <v>1023</v>
      </c>
      <c r="G151" s="490" t="n">
        <v>2</v>
      </c>
      <c r="H151" s="491"/>
      <c r="I151" s="685" t="n">
        <f aca="false">VLOOKUP(F151,'Рулонки компл. Амиго '!$B$7:$D$1031,3,0)</f>
        <v>21.407675</v>
      </c>
      <c r="J151" s="685" t="n">
        <f aca="false">I151*G151</f>
        <v>42.81535</v>
      </c>
      <c r="K151" s="685" t="n">
        <f aca="false">J151*$K$4</f>
        <v>85.6307</v>
      </c>
      <c r="L151" s="694"/>
      <c r="M151" s="694"/>
      <c r="N151" s="489"/>
      <c r="O151" s="491"/>
      <c r="P151" s="489"/>
      <c r="Q151" s="687"/>
      <c r="R151" s="687"/>
      <c r="S151" s="688"/>
      <c r="T151" s="688"/>
      <c r="U151" s="688"/>
    </row>
    <row r="152" s="490" customFormat="true" ht="12.8" hidden="false" customHeight="false" outlineLevel="0" collapsed="false">
      <c r="B152" s="693"/>
      <c r="C152" s="682"/>
      <c r="D152" s="683"/>
      <c r="F152" s="490" t="s">
        <v>1039</v>
      </c>
      <c r="G152" s="490" t="n">
        <v>1.2</v>
      </c>
      <c r="H152" s="491" t="s">
        <v>1024</v>
      </c>
      <c r="I152" s="685" t="n">
        <f aca="false">VLOOKUP(F152,'Рулонки компл. Амиго '!$B$7:$D$1031,3,0)</f>
        <v>1415.500325</v>
      </c>
      <c r="J152" s="685" t="n">
        <f aca="false">I152*G152</f>
        <v>1698.60039</v>
      </c>
      <c r="K152" s="685" t="n">
        <f aca="false">J152*$K$4</f>
        <v>3397.20078</v>
      </c>
      <c r="L152" s="694"/>
      <c r="M152" s="694"/>
      <c r="N152" s="489"/>
      <c r="O152" s="491"/>
      <c r="P152" s="489"/>
      <c r="Q152" s="687"/>
      <c r="R152" s="687"/>
      <c r="S152" s="688"/>
      <c r="T152" s="688"/>
      <c r="U152" s="688"/>
    </row>
    <row r="153" s="331" customFormat="true" ht="12.8" hidden="false" customHeight="false" outlineLevel="0" collapsed="false">
      <c r="B153" s="655"/>
      <c r="C153" s="479"/>
      <c r="D153" s="307"/>
      <c r="H153" s="459"/>
      <c r="L153" s="692"/>
      <c r="M153" s="692"/>
      <c r="N153" s="0"/>
      <c r="O153" s="459"/>
      <c r="P153" s="0"/>
      <c r="Q153" s="482"/>
      <c r="R153" s="482"/>
      <c r="S153" s="666"/>
      <c r="T153" s="666"/>
      <c r="U153" s="666"/>
    </row>
    <row r="154" s="691" customFormat="true" ht="35.5" hidden="false" customHeight="false" outlineLevel="0" collapsed="false">
      <c r="A154" s="246" t="str">
        <f aca="false">"Рул - "&amp;B154</f>
        <v>Рул - 17</v>
      </c>
      <c r="B154" s="655" t="n">
        <v>17</v>
      </c>
      <c r="C154" s="690" t="s">
        <v>991</v>
      </c>
      <c r="D154" s="307" t="s">
        <v>1062</v>
      </c>
      <c r="E154" s="691" t="n">
        <v>1</v>
      </c>
      <c r="F154" s="691" t="s">
        <v>991</v>
      </c>
      <c r="H154" s="680"/>
      <c r="L154" s="665" t="n">
        <f aca="false">SUM(K155:K159)</f>
        <v>9045.4026</v>
      </c>
      <c r="M154" s="679" t="n">
        <f aca="false">SUM(K160:K161)</f>
        <v>4981.755546</v>
      </c>
      <c r="N154" s="0"/>
      <c r="O154" s="680"/>
      <c r="P154" s="699" t="s">
        <v>1063</v>
      </c>
      <c r="Q154" s="700"/>
      <c r="R154" s="700"/>
      <c r="S154" s="338" t="n">
        <v>1</v>
      </c>
      <c r="T154" s="338"/>
      <c r="U154" s="332" t="s">
        <v>824</v>
      </c>
    </row>
    <row r="155" s="331" customFormat="true" ht="24.05" hidden="false" customHeight="false" outlineLevel="0" collapsed="false">
      <c r="B155" s="655"/>
      <c r="C155" s="479"/>
      <c r="D155" s="307"/>
      <c r="F155" s="699" t="s">
        <v>1064</v>
      </c>
      <c r="G155" s="331" t="n">
        <v>1</v>
      </c>
      <c r="H155" s="459"/>
      <c r="J155" s="701" t="n">
        <f aca="false">'_Рулонки компл. Somfy'!E97</f>
        <v>1078.6152</v>
      </c>
      <c r="K155" s="698" t="n">
        <f aca="false">J155*G155*$L$4</f>
        <v>1078.6152</v>
      </c>
      <c r="L155" s="692"/>
      <c r="M155" s="692"/>
      <c r="N155" s="0"/>
      <c r="O155" s="459"/>
      <c r="P155" s="0"/>
      <c r="Q155" s="482"/>
      <c r="R155" s="482"/>
      <c r="S155" s="666"/>
      <c r="T155" s="666"/>
      <c r="U155" s="666"/>
      <c r="V155" s="331" t="n">
        <v>9018455</v>
      </c>
    </row>
    <row r="156" s="331" customFormat="true" ht="24.05" hidden="false" customHeight="false" outlineLevel="0" collapsed="false">
      <c r="B156" s="655"/>
      <c r="C156" s="479"/>
      <c r="D156" s="307"/>
      <c r="F156" s="699" t="s">
        <v>1065</v>
      </c>
      <c r="G156" s="331" t="n">
        <v>1</v>
      </c>
      <c r="H156" s="459"/>
      <c r="J156" s="697" t="n">
        <f aca="false">'_Рулонки компл. Somfy'!E98</f>
        <v>4574.232</v>
      </c>
      <c r="K156" s="698" t="n">
        <f aca="false">J156*G156*$L$4</f>
        <v>4574.232</v>
      </c>
      <c r="L156" s="692"/>
      <c r="M156" s="692"/>
      <c r="N156" s="0"/>
      <c r="O156" s="459"/>
      <c r="P156" s="0"/>
      <c r="Q156" s="482"/>
      <c r="R156" s="482"/>
      <c r="S156" s="666"/>
      <c r="T156" s="666"/>
      <c r="U156" s="666"/>
      <c r="V156" s="331" t="n">
        <v>9016628</v>
      </c>
    </row>
    <row r="157" s="331" customFormat="true" ht="12.8" hidden="false" customHeight="false" outlineLevel="0" collapsed="false">
      <c r="B157" s="655"/>
      <c r="C157" s="479"/>
      <c r="D157" s="307"/>
      <c r="F157" s="699" t="s">
        <v>1066</v>
      </c>
      <c r="G157" s="331" t="n">
        <v>1</v>
      </c>
      <c r="H157" s="459"/>
      <c r="J157" s="697" t="n">
        <f aca="false">'_Рулонки компл. Somfy'!E90</f>
        <v>1571.3334</v>
      </c>
      <c r="K157" s="698" t="n">
        <f aca="false">J157*G157*$L$4</f>
        <v>1571.3334</v>
      </c>
      <c r="L157" s="692"/>
      <c r="M157" s="692"/>
      <c r="N157" s="0"/>
      <c r="O157" s="459"/>
      <c r="P157" s="0"/>
      <c r="Q157" s="482"/>
      <c r="R157" s="482"/>
      <c r="S157" s="666"/>
      <c r="T157" s="666"/>
      <c r="U157" s="666"/>
      <c r="V157" s="331" t="n">
        <v>9410651</v>
      </c>
    </row>
    <row r="158" s="331" customFormat="true" ht="24.05" hidden="false" customHeight="false" outlineLevel="0" collapsed="false">
      <c r="B158" s="655"/>
      <c r="C158" s="479"/>
      <c r="D158" s="307"/>
      <c r="F158" s="699" t="s">
        <v>1067</v>
      </c>
      <c r="G158" s="331" t="n">
        <v>1</v>
      </c>
      <c r="H158" s="459"/>
      <c r="J158" s="697" t="n">
        <f aca="false">'_Рулонки компл. Somfy'!E91</f>
        <v>821.6676</v>
      </c>
      <c r="K158" s="698" t="n">
        <f aca="false">J158*G158*$L$4</f>
        <v>821.6676</v>
      </c>
      <c r="L158" s="692"/>
      <c r="M158" s="692"/>
      <c r="N158" s="0"/>
      <c r="O158" s="459"/>
      <c r="P158" s="0"/>
      <c r="Q158" s="482"/>
      <c r="R158" s="482"/>
      <c r="S158" s="666"/>
      <c r="T158" s="666"/>
      <c r="U158" s="666"/>
      <c r="V158" s="331" t="n">
        <v>9410635</v>
      </c>
    </row>
    <row r="159" s="331" customFormat="true" ht="24.05" hidden="false" customHeight="false" outlineLevel="0" collapsed="false">
      <c r="B159" s="655"/>
      <c r="C159" s="479"/>
      <c r="D159" s="307"/>
      <c r="F159" s="699" t="s">
        <v>1068</v>
      </c>
      <c r="G159" s="331" t="n">
        <v>2</v>
      </c>
      <c r="H159" s="459"/>
      <c r="J159" s="697" t="n">
        <f aca="false">'_Рулонки компл. Somfy'!E93</f>
        <v>499.7772</v>
      </c>
      <c r="K159" s="698" t="n">
        <f aca="false">J159*G159*$L$4</f>
        <v>999.5544</v>
      </c>
      <c r="L159" s="692"/>
      <c r="M159" s="692"/>
      <c r="N159" s="0"/>
      <c r="O159" s="459"/>
      <c r="P159" s="0"/>
      <c r="Q159" s="482"/>
      <c r="R159" s="482"/>
      <c r="S159" s="666"/>
      <c r="T159" s="666"/>
      <c r="U159" s="666"/>
      <c r="V159" s="331" t="n">
        <v>9002519</v>
      </c>
    </row>
    <row r="160" s="490" customFormat="true" ht="12.8" hidden="false" customHeight="false" outlineLevel="0" collapsed="false">
      <c r="B160" s="693"/>
      <c r="C160" s="682"/>
      <c r="D160" s="683"/>
      <c r="F160" s="702" t="s">
        <v>1063</v>
      </c>
      <c r="G160" s="490" t="n">
        <v>1</v>
      </c>
      <c r="H160" s="491" t="s">
        <v>1024</v>
      </c>
      <c r="J160" s="703" t="n">
        <f aca="false">'_Рулонки компл. Somfy'!E281/6.4</f>
        <v>4352.53528125</v>
      </c>
      <c r="K160" s="685" t="n">
        <f aca="false">J160*G160*$L$4</f>
        <v>4352.53528125</v>
      </c>
      <c r="L160" s="694"/>
      <c r="M160" s="694"/>
      <c r="N160" s="489"/>
      <c r="O160" s="491"/>
      <c r="P160" s="489"/>
      <c r="Q160" s="687"/>
      <c r="R160" s="687"/>
      <c r="S160" s="688"/>
      <c r="T160" s="688"/>
      <c r="U160" s="688"/>
      <c r="V160" s="490" t="n">
        <v>9025920</v>
      </c>
    </row>
    <row r="161" s="490" customFormat="true" ht="12.8" hidden="false" customHeight="false" outlineLevel="0" collapsed="false">
      <c r="B161" s="693"/>
      <c r="C161" s="682"/>
      <c r="D161" s="683"/>
      <c r="F161" s="704" t="s">
        <v>1069</v>
      </c>
      <c r="G161" s="705" t="n">
        <v>2</v>
      </c>
      <c r="H161" s="491"/>
      <c r="I161" s="685" t="n">
        <f aca="false">VLOOKUP(F161,'Рулонки компл. Амиго '!$B$7:$D$1031,3,0)</f>
        <v>157.3050661875</v>
      </c>
      <c r="J161" s="685" t="n">
        <f aca="false">I161*G161</f>
        <v>314.610132375</v>
      </c>
      <c r="K161" s="685" t="n">
        <f aca="false">J161*$K$4</f>
        <v>629.22026475</v>
      </c>
      <c r="L161" s="694"/>
      <c r="M161" s="694"/>
      <c r="N161" s="489"/>
      <c r="O161" s="491"/>
      <c r="P161" s="489"/>
      <c r="Q161" s="687"/>
      <c r="R161" s="687"/>
      <c r="S161" s="688"/>
      <c r="T161" s="688"/>
      <c r="U161" s="688"/>
    </row>
    <row r="162" s="331" customFormat="true" ht="12.8" hidden="false" customHeight="false" outlineLevel="0" collapsed="false">
      <c r="B162" s="655"/>
      <c r="C162" s="479"/>
      <c r="D162" s="307"/>
      <c r="H162" s="459"/>
      <c r="L162" s="692"/>
      <c r="M162" s="692"/>
      <c r="N162" s="0"/>
      <c r="O162" s="459"/>
      <c r="P162" s="0"/>
      <c r="Q162" s="482"/>
      <c r="R162" s="482"/>
      <c r="S162" s="666"/>
      <c r="T162" s="666"/>
      <c r="U162" s="666"/>
    </row>
    <row r="163" s="691" customFormat="true" ht="12.8" hidden="false" customHeight="false" outlineLevel="0" collapsed="false">
      <c r="A163" s="246" t="str">
        <f aca="false">"Рул - "&amp;B163</f>
        <v>Рул - 18</v>
      </c>
      <c r="B163" s="655" t="n">
        <v>18</v>
      </c>
      <c r="C163" s="690" t="s">
        <v>1070</v>
      </c>
      <c r="D163" s="307" t="s">
        <v>1071</v>
      </c>
      <c r="E163" s="691" t="n">
        <v>1</v>
      </c>
      <c r="F163" s="691" t="s">
        <v>1070</v>
      </c>
      <c r="H163" s="680"/>
      <c r="L163" s="665" t="n">
        <f aca="false">SUM(K164:K168)</f>
        <v>373.98045</v>
      </c>
      <c r="M163" s="679" t="n">
        <f aca="false">SUM(K169:K175)</f>
        <v>1430.23788</v>
      </c>
      <c r="N163" s="706" t="n">
        <f aca="false">SUM(K177:K178)</f>
        <v>535.9216</v>
      </c>
      <c r="O163" s="680"/>
      <c r="P163" s="115" t="s">
        <v>1072</v>
      </c>
      <c r="Q163" s="707"/>
      <c r="R163" s="707"/>
      <c r="S163" s="696" t="n">
        <v>1</v>
      </c>
      <c r="T163" s="696"/>
      <c r="U163" s="332" t="s">
        <v>824</v>
      </c>
    </row>
    <row r="164" s="331" customFormat="true" ht="12.8" hidden="false" customHeight="false" outlineLevel="0" collapsed="false">
      <c r="B164" s="655"/>
      <c r="C164" s="479"/>
      <c r="D164" s="307"/>
      <c r="F164" s="115" t="s">
        <v>1073</v>
      </c>
      <c r="G164" s="331" t="n">
        <v>4</v>
      </c>
      <c r="H164" s="459"/>
      <c r="I164" s="483" t="n">
        <f aca="false">VLOOKUP(F164,'Рулонки компл. Амиго '!$B$7:$D$1031,3,0)</f>
        <v>1.95075</v>
      </c>
      <c r="J164" s="483" t="n">
        <f aca="false">I164*G164</f>
        <v>7.803</v>
      </c>
      <c r="K164" s="483" t="n">
        <f aca="false">J164*$K$4</f>
        <v>15.606</v>
      </c>
      <c r="L164" s="692"/>
      <c r="M164" s="692"/>
      <c r="N164" s="0"/>
      <c r="O164" s="459"/>
      <c r="P164" s="0"/>
      <c r="Q164" s="482"/>
      <c r="R164" s="482"/>
      <c r="S164" s="666"/>
      <c r="T164" s="666"/>
      <c r="U164" s="666"/>
    </row>
    <row r="165" s="331" customFormat="true" ht="12.8" hidden="false" customHeight="false" outlineLevel="0" collapsed="false">
      <c r="B165" s="655"/>
      <c r="C165" s="479"/>
      <c r="D165" s="307"/>
      <c r="F165" s="331" t="s">
        <v>1074</v>
      </c>
      <c r="G165" s="331" t="n">
        <v>1</v>
      </c>
      <c r="H165" s="459"/>
      <c r="I165" s="483" t="n">
        <f aca="false">VLOOKUP(F165,'Рулонки компл. Амиго '!$B$7:$D$1031,3,0)</f>
        <v>92.819575</v>
      </c>
      <c r="J165" s="483" t="n">
        <f aca="false">I165*G165</f>
        <v>92.819575</v>
      </c>
      <c r="K165" s="483" t="n">
        <f aca="false">J165*$K$4</f>
        <v>185.63915</v>
      </c>
      <c r="L165" s="692"/>
      <c r="M165" s="692"/>
      <c r="N165" s="0"/>
      <c r="O165" s="459"/>
      <c r="P165" s="0"/>
      <c r="Q165" s="482"/>
      <c r="R165" s="482"/>
      <c r="S165" s="666"/>
      <c r="T165" s="666"/>
      <c r="U165" s="666"/>
    </row>
    <row r="166" s="331" customFormat="true" ht="12.8" hidden="false" customHeight="false" outlineLevel="0" collapsed="false">
      <c r="B166" s="655"/>
      <c r="C166" s="479"/>
      <c r="D166" s="307"/>
      <c r="F166" s="115" t="s">
        <v>1075</v>
      </c>
      <c r="G166" s="331" t="n">
        <v>1</v>
      </c>
      <c r="H166" s="459"/>
      <c r="I166" s="483" t="n">
        <f aca="false">VLOOKUP(F166,'Рулонки компл. Амиго '!$B$7:$D$1031,3,0)</f>
        <v>60.812825</v>
      </c>
      <c r="J166" s="483" t="n">
        <f aca="false">I166*G166</f>
        <v>60.812825</v>
      </c>
      <c r="K166" s="483" t="n">
        <f aca="false">J166*$K$4</f>
        <v>121.62565</v>
      </c>
      <c r="L166" s="692"/>
      <c r="M166" s="692"/>
      <c r="N166" s="0"/>
      <c r="O166" s="459"/>
      <c r="P166" s="0"/>
      <c r="Q166" s="482"/>
      <c r="R166" s="482"/>
      <c r="S166" s="666"/>
      <c r="T166" s="666"/>
      <c r="U166" s="666"/>
    </row>
    <row r="167" s="331" customFormat="true" ht="12.8" hidden="false" customHeight="false" outlineLevel="0" collapsed="false">
      <c r="B167" s="655"/>
      <c r="C167" s="479"/>
      <c r="D167" s="307"/>
      <c r="F167" s="115"/>
      <c r="H167" s="459"/>
      <c r="I167" s="483"/>
      <c r="J167" s="483"/>
      <c r="K167" s="483"/>
      <c r="L167" s="692"/>
      <c r="M167" s="692"/>
      <c r="N167" s="0"/>
      <c r="O167" s="459"/>
      <c r="P167" s="0"/>
      <c r="Q167" s="482"/>
      <c r="R167" s="482"/>
      <c r="S167" s="666"/>
      <c r="T167" s="666"/>
      <c r="U167" s="666"/>
    </row>
    <row r="168" s="331" customFormat="true" ht="12.8" hidden="false" customHeight="false" outlineLevel="0" collapsed="false">
      <c r="B168" s="655"/>
      <c r="C168" s="479"/>
      <c r="D168" s="307"/>
      <c r="F168" s="0" t="s">
        <v>1076</v>
      </c>
      <c r="G168" s="331" t="n">
        <v>1</v>
      </c>
      <c r="H168" s="459"/>
      <c r="I168" s="483" t="n">
        <f aca="false">VLOOKUP(F168,'Рулонки компл. Амиго '!$B$7:$D$1031,3,0)</f>
        <v>25.554825</v>
      </c>
      <c r="J168" s="483" t="n">
        <f aca="false">I168*G168</f>
        <v>25.554825</v>
      </c>
      <c r="K168" s="483" t="n">
        <f aca="false">J168*$K$4</f>
        <v>51.10965</v>
      </c>
      <c r="L168" s="692"/>
      <c r="M168" s="692"/>
      <c r="N168" s="0"/>
      <c r="O168" s="459"/>
      <c r="P168" s="0"/>
      <c r="Q168" s="482"/>
      <c r="R168" s="482"/>
      <c r="S168" s="666"/>
      <c r="T168" s="666"/>
      <c r="U168" s="666"/>
    </row>
    <row r="169" s="490" customFormat="true" ht="12.8" hidden="false" customHeight="false" outlineLevel="0" collapsed="false">
      <c r="B169" s="693"/>
      <c r="C169" s="682"/>
      <c r="D169" s="683"/>
      <c r="H169" s="491"/>
      <c r="I169" s="685"/>
      <c r="J169" s="685"/>
      <c r="K169" s="685"/>
      <c r="L169" s="694"/>
      <c r="M169" s="694"/>
      <c r="N169" s="489"/>
      <c r="O169" s="491"/>
      <c r="P169" s="489"/>
      <c r="Q169" s="687"/>
      <c r="R169" s="687"/>
      <c r="S169" s="688"/>
      <c r="T169" s="688"/>
      <c r="U169" s="688"/>
    </row>
    <row r="170" s="490" customFormat="true" ht="12.8" hidden="false" customHeight="false" outlineLevel="0" collapsed="false">
      <c r="B170" s="693"/>
      <c r="C170" s="682"/>
      <c r="D170" s="683"/>
      <c r="H170" s="491"/>
      <c r="I170" s="685"/>
      <c r="J170" s="685"/>
      <c r="K170" s="685"/>
      <c r="L170" s="694"/>
      <c r="M170" s="694"/>
      <c r="N170" s="489"/>
      <c r="O170" s="491"/>
      <c r="P170" s="489"/>
      <c r="Q170" s="687"/>
      <c r="R170" s="687"/>
      <c r="S170" s="688"/>
      <c r="T170" s="688"/>
      <c r="U170" s="688"/>
    </row>
    <row r="171" s="490" customFormat="true" ht="12.8" hidden="false" customHeight="false" outlineLevel="0" collapsed="false">
      <c r="B171" s="693"/>
      <c r="C171" s="682"/>
      <c r="D171" s="683"/>
      <c r="F171" s="708" t="s">
        <v>1072</v>
      </c>
      <c r="G171" s="490" t="n">
        <v>1.2</v>
      </c>
      <c r="H171" s="491" t="s">
        <v>1024</v>
      </c>
      <c r="I171" s="685" t="n">
        <f aca="false">VLOOKUP(F171,'Рулонки компл. Амиго '!$B$7:$D$1031,3,0)</f>
        <v>72.705175</v>
      </c>
      <c r="J171" s="685" t="n">
        <f aca="false">I171*G171</f>
        <v>87.24621</v>
      </c>
      <c r="K171" s="685" t="n">
        <f aca="false">J171*$K$4</f>
        <v>174.49242</v>
      </c>
      <c r="L171" s="694"/>
      <c r="M171" s="694"/>
      <c r="N171" s="489"/>
      <c r="O171" s="491"/>
      <c r="P171" s="489"/>
      <c r="Q171" s="687"/>
      <c r="R171" s="687"/>
      <c r="S171" s="688"/>
      <c r="T171" s="688"/>
      <c r="U171" s="688"/>
    </row>
    <row r="172" s="490" customFormat="true" ht="12.8" hidden="false" customHeight="false" outlineLevel="0" collapsed="false">
      <c r="B172" s="693"/>
      <c r="C172" s="682"/>
      <c r="D172" s="683"/>
      <c r="F172" s="708" t="s">
        <v>1077</v>
      </c>
      <c r="G172" s="490" t="n">
        <v>1.2</v>
      </c>
      <c r="H172" s="491" t="s">
        <v>1024</v>
      </c>
      <c r="I172" s="685" t="n">
        <f aca="false">VLOOKUP(F172,'Рулонки компл. Амиго '!$B$7:$D$1031,3,0)</f>
        <v>281.6305</v>
      </c>
      <c r="J172" s="685" t="n">
        <f aca="false">I172*G172</f>
        <v>337.9566</v>
      </c>
      <c r="K172" s="685" t="n">
        <f aca="false">J172*$K$4</f>
        <v>675.9132</v>
      </c>
      <c r="L172" s="694"/>
      <c r="M172" s="694"/>
      <c r="N172" s="489"/>
      <c r="O172" s="491"/>
      <c r="P172" s="489"/>
      <c r="Q172" s="687"/>
      <c r="R172" s="687"/>
      <c r="S172" s="688"/>
      <c r="T172" s="688"/>
      <c r="U172" s="688"/>
    </row>
    <row r="173" s="490" customFormat="true" ht="12.8" hidden="false" customHeight="false" outlineLevel="0" collapsed="false">
      <c r="B173" s="693"/>
      <c r="C173" s="682"/>
      <c r="D173" s="683"/>
      <c r="F173" s="708" t="s">
        <v>1078</v>
      </c>
      <c r="G173" s="490" t="n">
        <v>1.2</v>
      </c>
      <c r="H173" s="491" t="s">
        <v>1024</v>
      </c>
      <c r="I173" s="685" t="n">
        <f aca="false">VLOOKUP(F173,'Рулонки компл. Амиго '!$B$7:$D$1031,3,0)</f>
        <v>211.7214</v>
      </c>
      <c r="J173" s="685" t="n">
        <f aca="false">I173*G173</f>
        <v>254.06568</v>
      </c>
      <c r="K173" s="685" t="n">
        <f aca="false">J173*$K$4</f>
        <v>508.13136</v>
      </c>
      <c r="L173" s="694"/>
      <c r="M173" s="694"/>
      <c r="N173" s="489"/>
      <c r="O173" s="491"/>
      <c r="P173" s="489"/>
      <c r="Q173" s="687"/>
      <c r="R173" s="687"/>
      <c r="S173" s="688"/>
      <c r="T173" s="688"/>
      <c r="U173" s="688"/>
    </row>
    <row r="174" s="490" customFormat="true" ht="12.8" hidden="false" customHeight="false" outlineLevel="0" collapsed="false">
      <c r="B174" s="693"/>
      <c r="C174" s="682"/>
      <c r="D174" s="683"/>
      <c r="F174" s="490" t="s">
        <v>1079</v>
      </c>
      <c r="G174" s="490" t="n">
        <v>1</v>
      </c>
      <c r="H174" s="491"/>
      <c r="I174" s="685" t="n">
        <f aca="false">VLOOKUP(F174,'Рулонки компл. Амиго '!$B$7:$D$1031,3,0)</f>
        <v>19.428025</v>
      </c>
      <c r="J174" s="685" t="n">
        <f aca="false">I174*G174</f>
        <v>19.428025</v>
      </c>
      <c r="K174" s="685" t="n">
        <f aca="false">J174*$K$4</f>
        <v>38.85605</v>
      </c>
      <c r="L174" s="694"/>
      <c r="M174" s="694"/>
      <c r="N174" s="489"/>
      <c r="O174" s="491"/>
      <c r="P174" s="489"/>
      <c r="Q174" s="687"/>
      <c r="R174" s="687"/>
      <c r="S174" s="688"/>
      <c r="T174" s="688"/>
      <c r="U174" s="688"/>
    </row>
    <row r="175" s="490" customFormat="true" ht="12.8" hidden="false" customHeight="false" outlineLevel="0" collapsed="false">
      <c r="B175" s="693"/>
      <c r="C175" s="682"/>
      <c r="D175" s="683"/>
      <c r="F175" s="708" t="s">
        <v>1080</v>
      </c>
      <c r="G175" s="490" t="n">
        <v>1</v>
      </c>
      <c r="H175" s="491"/>
      <c r="I175" s="685" t="n">
        <f aca="false">VLOOKUP(F175,'Рулонки компл. Амиго '!$B$7:$D$1031,3,0)</f>
        <v>16.422425</v>
      </c>
      <c r="J175" s="685" t="n">
        <f aca="false">I175*G175</f>
        <v>16.422425</v>
      </c>
      <c r="K175" s="685" t="n">
        <f aca="false">J175*$K$4</f>
        <v>32.84485</v>
      </c>
      <c r="L175" s="694"/>
      <c r="M175" s="694"/>
      <c r="N175" s="489"/>
      <c r="O175" s="491"/>
      <c r="P175" s="489"/>
      <c r="Q175" s="687"/>
      <c r="R175" s="687"/>
      <c r="S175" s="688"/>
      <c r="T175" s="688"/>
      <c r="U175" s="688"/>
    </row>
    <row r="176" s="490" customFormat="true" ht="12.8" hidden="false" customHeight="false" outlineLevel="0" collapsed="false">
      <c r="B176" s="693"/>
      <c r="C176" s="682"/>
      <c r="D176" s="683"/>
      <c r="F176" s="708" t="s">
        <v>1081</v>
      </c>
      <c r="G176" s="490" t="n">
        <v>1</v>
      </c>
      <c r="H176" s="491"/>
      <c r="I176" s="685" t="n">
        <f aca="false">VLOOKUP(F176,'Рулонки компл. Амиго '!$B$7:$D$1031,3,0)</f>
        <v>13.792525</v>
      </c>
      <c r="J176" s="685" t="n">
        <f aca="false">I176*G176</f>
        <v>13.792525</v>
      </c>
      <c r="K176" s="685" t="n">
        <f aca="false">J176*$K$4</f>
        <v>27.58505</v>
      </c>
      <c r="L176" s="694"/>
      <c r="M176" s="694"/>
      <c r="N176" s="489"/>
      <c r="O176" s="491"/>
      <c r="P176" s="489"/>
      <c r="Q176" s="687"/>
      <c r="R176" s="687"/>
      <c r="S176" s="688"/>
      <c r="T176" s="688"/>
      <c r="U176" s="688"/>
    </row>
    <row r="177" s="709" customFormat="true" ht="12.8" hidden="false" customHeight="false" outlineLevel="0" collapsed="false">
      <c r="B177" s="710"/>
      <c r="C177" s="711"/>
      <c r="D177" s="712"/>
      <c r="F177" s="709" t="s">
        <v>1082</v>
      </c>
      <c r="G177" s="709" t="n">
        <v>2</v>
      </c>
      <c r="H177" s="713" t="s">
        <v>1024</v>
      </c>
      <c r="I177" s="714" t="n">
        <f aca="false">VLOOKUP(F177,'Рулонки компл. Амиго '!$B$7:$D$1031,3,0)</f>
        <v>120.187875</v>
      </c>
      <c r="J177" s="714" t="n">
        <f aca="false">I177*G177</f>
        <v>240.37575</v>
      </c>
      <c r="K177" s="714" t="n">
        <f aca="false">J177*$K$4</f>
        <v>480.7515</v>
      </c>
      <c r="O177" s="715"/>
      <c r="Q177" s="716"/>
      <c r="R177" s="716"/>
      <c r="S177" s="713"/>
      <c r="T177" s="713"/>
      <c r="U177" s="713"/>
    </row>
    <row r="178" s="709" customFormat="true" ht="12.8" hidden="false" customHeight="false" outlineLevel="0" collapsed="false">
      <c r="B178" s="710"/>
      <c r="C178" s="711"/>
      <c r="D178" s="712"/>
      <c r="F178" s="709" t="s">
        <v>1081</v>
      </c>
      <c r="G178" s="709" t="n">
        <f aca="false">G177</f>
        <v>2</v>
      </c>
      <c r="I178" s="714" t="n">
        <f aca="false">VLOOKUP(F178,'Рулонки компл. Амиго '!$B$7:$D$1031,3,0)</f>
        <v>13.792525</v>
      </c>
      <c r="J178" s="714" t="n">
        <f aca="false">I178*G178</f>
        <v>27.58505</v>
      </c>
      <c r="K178" s="714" t="n">
        <f aca="false">J178*$K$4</f>
        <v>55.1701</v>
      </c>
      <c r="O178" s="715"/>
      <c r="Q178" s="716"/>
      <c r="R178" s="716"/>
      <c r="S178" s="713"/>
      <c r="T178" s="713"/>
      <c r="U178" s="713"/>
    </row>
    <row r="179" customFormat="false" ht="12.8" hidden="false" customHeight="false" outlineLevel="0" collapsed="false">
      <c r="L179" s="0"/>
      <c r="M179" s="0"/>
    </row>
    <row r="180" s="691" customFormat="true" ht="14.45" hidden="false" customHeight="false" outlineLevel="0" collapsed="false">
      <c r="A180" s="246" t="str">
        <f aca="false">"Рул - "&amp;B180</f>
        <v>Рул - 19</v>
      </c>
      <c r="B180" s="655" t="n">
        <v>19</v>
      </c>
      <c r="C180" s="690" t="s">
        <v>993</v>
      </c>
      <c r="D180" s="307" t="s">
        <v>1083</v>
      </c>
      <c r="E180" s="691" t="n">
        <v>1</v>
      </c>
      <c r="F180" s="691" t="s">
        <v>993</v>
      </c>
      <c r="H180" s="680"/>
      <c r="L180" s="692" t="n">
        <f aca="false">SUM(K181:K187)</f>
        <v>2647.3321034908</v>
      </c>
      <c r="M180" s="694" t="n">
        <f aca="false">SUM(K188:K189)</f>
        <v>3220.31169332143</v>
      </c>
      <c r="N180" s="0"/>
      <c r="O180" s="680"/>
      <c r="P180" s="115" t="s">
        <v>1084</v>
      </c>
      <c r="Q180" s="707"/>
      <c r="R180" s="707"/>
      <c r="S180" s="696" t="n">
        <v>1</v>
      </c>
      <c r="T180" s="696"/>
      <c r="U180" s="332" t="s">
        <v>824</v>
      </c>
    </row>
    <row r="181" s="331" customFormat="true" ht="12.8" hidden="false" customHeight="false" outlineLevel="0" collapsed="false">
      <c r="B181" s="655"/>
      <c r="C181" s="479"/>
      <c r="D181" s="307"/>
      <c r="F181" s="115" t="s">
        <v>1085</v>
      </c>
      <c r="G181" s="717" t="n">
        <v>1</v>
      </c>
      <c r="H181" s="459"/>
      <c r="I181" s="483" t="n">
        <f aca="false">VLOOKUP(F181,'Рулонки компл. Амиго '!$B$7:$D$1031,3,0)</f>
        <v>195.3426754125</v>
      </c>
      <c r="J181" s="483" t="n">
        <f aca="false">I181*G181</f>
        <v>195.3426754125</v>
      </c>
      <c r="K181" s="483" t="n">
        <f aca="false">J181*$K$4</f>
        <v>390.685350825</v>
      </c>
      <c r="L181" s="692"/>
      <c r="M181" s="692"/>
      <c r="N181" s="0"/>
      <c r="O181" s="459"/>
      <c r="P181" s="0"/>
      <c r="Q181" s="482"/>
      <c r="R181" s="482"/>
      <c r="S181" s="666"/>
      <c r="T181" s="666"/>
      <c r="U181" s="666"/>
    </row>
    <row r="182" s="331" customFormat="true" ht="12.8" hidden="false" customHeight="false" outlineLevel="0" collapsed="false">
      <c r="B182" s="655"/>
      <c r="C182" s="479"/>
      <c r="D182" s="307"/>
      <c r="F182" s="115" t="s">
        <v>1086</v>
      </c>
      <c r="G182" s="717" t="n">
        <v>1</v>
      </c>
      <c r="H182" s="459"/>
      <c r="I182" s="483" t="n">
        <f aca="false">VLOOKUP(F182,'Рулонки компл. Амиго '!$B$7:$D$1031,3,0)</f>
        <v>389.33448246</v>
      </c>
      <c r="J182" s="483" t="n">
        <f aca="false">I182*G182</f>
        <v>389.33448246</v>
      </c>
      <c r="K182" s="483" t="n">
        <f aca="false">J182*$K$4</f>
        <v>778.66896492</v>
      </c>
      <c r="L182" s="692"/>
      <c r="M182" s="692"/>
      <c r="N182" s="0"/>
      <c r="O182" s="459"/>
      <c r="P182" s="0"/>
      <c r="Q182" s="482"/>
      <c r="R182" s="482"/>
      <c r="S182" s="666"/>
      <c r="T182" s="666"/>
      <c r="U182" s="666"/>
    </row>
    <row r="183" s="331" customFormat="true" ht="12.8" hidden="false" customHeight="false" outlineLevel="0" collapsed="false">
      <c r="B183" s="655"/>
      <c r="C183" s="479"/>
      <c r="D183" s="307"/>
      <c r="F183" s="115" t="s">
        <v>1087</v>
      </c>
      <c r="G183" s="718" t="n">
        <v>2</v>
      </c>
      <c r="H183" s="459"/>
      <c r="I183" s="483" t="n">
        <f aca="false">VLOOKUP(F183,'Рулонки компл. Амиго '!$B$7:$D$1031,3,0)</f>
        <v>78.658457955</v>
      </c>
      <c r="J183" s="483" t="n">
        <f aca="false">I183*G183</f>
        <v>157.31691591</v>
      </c>
      <c r="K183" s="483" t="n">
        <f aca="false">J183*$K$4</f>
        <v>314.63383182</v>
      </c>
      <c r="L183" s="692"/>
      <c r="M183" s="692"/>
      <c r="N183" s="0"/>
      <c r="O183" s="459"/>
      <c r="P183" s="0"/>
      <c r="Q183" s="482"/>
      <c r="R183" s="482"/>
      <c r="S183" s="666"/>
      <c r="T183" s="666"/>
      <c r="U183" s="666"/>
    </row>
    <row r="184" s="331" customFormat="true" ht="12.8" hidden="false" customHeight="false" outlineLevel="0" collapsed="false">
      <c r="B184" s="655"/>
      <c r="C184" s="479"/>
      <c r="D184" s="307"/>
      <c r="F184" s="115" t="s">
        <v>1088</v>
      </c>
      <c r="G184" s="719" t="n">
        <v>1</v>
      </c>
      <c r="H184" s="459"/>
      <c r="I184" s="483" t="n">
        <f aca="false">VLOOKUP(F184,'Рулонки компл. Амиго '!$B$7:$D$1031,3,0)</f>
        <v>38.4523495125</v>
      </c>
      <c r="J184" s="483" t="n">
        <f aca="false">I184*G184</f>
        <v>38.4523495125</v>
      </c>
      <c r="K184" s="483" t="n">
        <f aca="false">J184*$K$4</f>
        <v>76.904699025</v>
      </c>
      <c r="L184" s="692"/>
      <c r="M184" s="692"/>
      <c r="N184" s="0"/>
      <c r="O184" s="459"/>
      <c r="P184" s="0"/>
      <c r="Q184" s="482"/>
      <c r="R184" s="482"/>
      <c r="S184" s="666"/>
      <c r="T184" s="666"/>
      <c r="U184" s="666"/>
    </row>
    <row r="185" s="331" customFormat="true" ht="12.8" hidden="false" customHeight="false" outlineLevel="0" collapsed="false">
      <c r="B185" s="655"/>
      <c r="C185" s="479"/>
      <c r="D185" s="307"/>
      <c r="F185" s="115" t="s">
        <v>1089</v>
      </c>
      <c r="G185" s="717" t="n">
        <v>2</v>
      </c>
      <c r="H185" s="459"/>
      <c r="I185" s="483" t="n">
        <f aca="false">VLOOKUP(F185,'Рулонки компл. Амиго '!$B$7:$D$1031,3,0)</f>
        <v>75.530131215</v>
      </c>
      <c r="J185" s="483" t="n">
        <f aca="false">I185*G185</f>
        <v>151.06026243</v>
      </c>
      <c r="K185" s="483" t="n">
        <f aca="false">J185*$K$4</f>
        <v>302.12052486</v>
      </c>
      <c r="L185" s="692"/>
      <c r="M185" s="692"/>
      <c r="N185" s="0"/>
      <c r="O185" s="459"/>
      <c r="P185" s="0"/>
      <c r="Q185" s="482"/>
      <c r="R185" s="482"/>
      <c r="S185" s="666"/>
      <c r="T185" s="666"/>
      <c r="U185" s="666"/>
    </row>
    <row r="186" s="331" customFormat="true" ht="12.8" hidden="false" customHeight="false" outlineLevel="0" collapsed="false">
      <c r="B186" s="655"/>
      <c r="C186" s="479"/>
      <c r="D186" s="307"/>
      <c r="F186" s="115" t="s">
        <v>1090</v>
      </c>
      <c r="G186" s="720" t="n">
        <v>1</v>
      </c>
      <c r="H186" s="459"/>
      <c r="I186" s="483" t="n">
        <f aca="false">VLOOKUP(F186,'Рулонки компл. Амиго '!$B$7:$D$1031,3,0)</f>
        <v>228.628545915</v>
      </c>
      <c r="J186" s="483" t="n">
        <f aca="false">I186*G186</f>
        <v>228.628545915</v>
      </c>
      <c r="K186" s="483" t="n">
        <f aca="false">J186*$K$4</f>
        <v>457.25709183</v>
      </c>
      <c r="L186" s="692"/>
      <c r="M186" s="692"/>
      <c r="N186" s="0"/>
      <c r="O186" s="459"/>
      <c r="P186" s="0"/>
      <c r="Q186" s="482"/>
      <c r="R186" s="482"/>
      <c r="S186" s="666"/>
      <c r="T186" s="666"/>
      <c r="U186" s="666"/>
    </row>
    <row r="187" s="331" customFormat="true" ht="12.8" hidden="false" customHeight="false" outlineLevel="0" collapsed="false">
      <c r="B187" s="655"/>
      <c r="C187" s="479"/>
      <c r="D187" s="307"/>
      <c r="F187" s="115" t="s">
        <v>1091</v>
      </c>
      <c r="G187" s="720" t="n">
        <v>1</v>
      </c>
      <c r="H187" s="459"/>
      <c r="I187" s="483" t="n">
        <f aca="false">VLOOKUP(F187,'Рулонки компл. Амиго '!$B$7:$D$1031,3,0)</f>
        <v>163.5308201054</v>
      </c>
      <c r="J187" s="483" t="n">
        <f aca="false">I187*G187</f>
        <v>163.5308201054</v>
      </c>
      <c r="K187" s="483" t="n">
        <f aca="false">J187*$K$4</f>
        <v>327.0616402108</v>
      </c>
      <c r="L187" s="692"/>
      <c r="M187" s="692"/>
      <c r="N187" s="0"/>
      <c r="O187" s="459"/>
      <c r="P187" s="0"/>
      <c r="Q187" s="482"/>
      <c r="R187" s="482"/>
      <c r="S187" s="666"/>
      <c r="T187" s="666"/>
      <c r="U187" s="666"/>
    </row>
    <row r="188" s="490" customFormat="true" ht="12.8" hidden="false" customHeight="false" outlineLevel="0" collapsed="false">
      <c r="B188" s="693"/>
      <c r="C188" s="682"/>
      <c r="D188" s="683"/>
      <c r="F188" s="704" t="s">
        <v>1069</v>
      </c>
      <c r="G188" s="721" t="n">
        <v>2</v>
      </c>
      <c r="H188" s="491"/>
      <c r="I188" s="685" t="n">
        <f aca="false">VLOOKUP(F188,'Рулонки компл. Амиго '!$B$7:$D$1031,3,0)</f>
        <v>157.3050661875</v>
      </c>
      <c r="J188" s="685" t="n">
        <f aca="false">I188*G188</f>
        <v>314.610132375</v>
      </c>
      <c r="K188" s="685" t="n">
        <f aca="false">J188*$K$4</f>
        <v>629.22026475</v>
      </c>
      <c r="L188" s="694"/>
      <c r="M188" s="694"/>
      <c r="N188" s="489"/>
      <c r="O188" s="491"/>
      <c r="P188" s="489"/>
      <c r="Q188" s="687"/>
      <c r="R188" s="687"/>
      <c r="S188" s="688"/>
      <c r="T188" s="688"/>
      <c r="U188" s="688"/>
    </row>
    <row r="189" s="490" customFormat="true" ht="12.8" hidden="false" customHeight="false" outlineLevel="0" collapsed="false">
      <c r="B189" s="693"/>
      <c r="C189" s="682"/>
      <c r="D189" s="683"/>
      <c r="F189" s="708" t="s">
        <v>1084</v>
      </c>
      <c r="G189" s="490" t="n">
        <v>1.2</v>
      </c>
      <c r="H189" s="491" t="s">
        <v>1024</v>
      </c>
      <c r="I189" s="685" t="n">
        <f aca="false">VLOOKUP(F189,'Рулонки компл. Амиго '!$B$7:$D$1031,3,0)</f>
        <v>1079.62142857143</v>
      </c>
      <c r="J189" s="685" t="n">
        <f aca="false">I189*G189</f>
        <v>1295.54571428572</v>
      </c>
      <c r="K189" s="685" t="n">
        <f aca="false">J189*$K$4</f>
        <v>2591.09142857143</v>
      </c>
      <c r="L189" s="694"/>
      <c r="M189" s="694"/>
      <c r="N189" s="489"/>
      <c r="O189" s="491"/>
      <c r="P189" s="489"/>
      <c r="Q189" s="687"/>
      <c r="R189" s="687"/>
      <c r="S189" s="688"/>
      <c r="T189" s="688"/>
      <c r="U189" s="688"/>
    </row>
    <row r="190" s="331" customFormat="true" ht="12.8" hidden="false" customHeight="false" outlineLevel="0" collapsed="false">
      <c r="B190" s="655"/>
      <c r="C190" s="479"/>
      <c r="D190" s="307"/>
      <c r="H190" s="459"/>
      <c r="L190" s="692"/>
      <c r="M190" s="692"/>
      <c r="N190" s="0"/>
      <c r="O190" s="459"/>
      <c r="P190" s="0"/>
      <c r="Q190" s="482"/>
      <c r="R190" s="482"/>
      <c r="S190" s="666"/>
      <c r="T190" s="666"/>
      <c r="U190" s="666"/>
    </row>
    <row r="191" s="691" customFormat="true" ht="14.45" hidden="false" customHeight="false" outlineLevel="0" collapsed="false">
      <c r="A191" s="246" t="str">
        <f aca="false">"Рул - "&amp;B191</f>
        <v>Рул - 20</v>
      </c>
      <c r="B191" s="655" t="n">
        <v>20</v>
      </c>
      <c r="C191" s="690" t="s">
        <v>995</v>
      </c>
      <c r="D191" s="307" t="s">
        <v>1092</v>
      </c>
      <c r="E191" s="691" t="n">
        <v>1</v>
      </c>
      <c r="F191" s="691" t="s">
        <v>995</v>
      </c>
      <c r="H191" s="680"/>
      <c r="L191" s="692" t="n">
        <f aca="false">SUM(K192:K197)</f>
        <v>3737.8942512692</v>
      </c>
      <c r="M191" s="694" t="n">
        <f aca="false">SUM(K198:K199)</f>
        <v>3956.65418951785</v>
      </c>
      <c r="N191" s="0"/>
      <c r="O191" s="680"/>
      <c r="P191" s="722" t="s">
        <v>1093</v>
      </c>
      <c r="Q191" s="723"/>
      <c r="R191" s="723"/>
      <c r="S191" s="724" t="n">
        <v>1</v>
      </c>
      <c r="T191" s="724"/>
      <c r="U191" s="332" t="s">
        <v>824</v>
      </c>
    </row>
    <row r="192" s="331" customFormat="true" ht="12.8" hidden="false" customHeight="false" outlineLevel="0" collapsed="false">
      <c r="B192" s="655"/>
      <c r="C192" s="479"/>
      <c r="D192" s="307"/>
      <c r="F192" s="725" t="s">
        <v>1085</v>
      </c>
      <c r="G192" s="717" t="n">
        <v>1</v>
      </c>
      <c r="H192" s="459"/>
      <c r="I192" s="483" t="n">
        <f aca="false">VLOOKUP(F192,'Рулонки компл. Амиго '!$B$7:$D$1031,3,0)</f>
        <v>195.3426754125</v>
      </c>
      <c r="J192" s="483" t="n">
        <f aca="false">I192*G192</f>
        <v>195.3426754125</v>
      </c>
      <c r="K192" s="483" t="n">
        <f aca="false">J192*$K$4</f>
        <v>390.685350825</v>
      </c>
      <c r="L192" s="692"/>
      <c r="M192" s="692"/>
      <c r="N192" s="0"/>
      <c r="O192" s="459"/>
      <c r="P192" s="0"/>
      <c r="Q192" s="482"/>
      <c r="R192" s="482"/>
      <c r="S192" s="666"/>
      <c r="T192" s="666"/>
      <c r="U192" s="666"/>
    </row>
    <row r="193" s="331" customFormat="true" ht="12.8" hidden="false" customHeight="false" outlineLevel="0" collapsed="false">
      <c r="B193" s="655"/>
      <c r="C193" s="479"/>
      <c r="D193" s="307"/>
      <c r="F193" s="115" t="s">
        <v>1086</v>
      </c>
      <c r="G193" s="717" t="n">
        <v>1</v>
      </c>
      <c r="H193" s="459"/>
      <c r="I193" s="483" t="n">
        <f aca="false">VLOOKUP(F193,'Рулонки компл. Амиго '!$B$7:$D$1031,3,0)</f>
        <v>389.33448246</v>
      </c>
      <c r="J193" s="483" t="n">
        <f aca="false">I193*G193</f>
        <v>389.33448246</v>
      </c>
      <c r="K193" s="483" t="n">
        <f aca="false">J193*$K$4</f>
        <v>778.66896492</v>
      </c>
      <c r="L193" s="692"/>
      <c r="M193" s="692"/>
      <c r="N193" s="0"/>
      <c r="O193" s="459"/>
      <c r="P193" s="0"/>
      <c r="Q193" s="482"/>
      <c r="R193" s="482"/>
      <c r="S193" s="666"/>
      <c r="T193" s="666"/>
      <c r="U193" s="666"/>
    </row>
    <row r="194" s="331" customFormat="true" ht="12.8" hidden="false" customHeight="false" outlineLevel="0" collapsed="false">
      <c r="B194" s="655"/>
      <c r="C194" s="479"/>
      <c r="D194" s="307"/>
      <c r="F194" s="722" t="s">
        <v>1087</v>
      </c>
      <c r="G194" s="718" t="n">
        <v>2</v>
      </c>
      <c r="H194" s="459"/>
      <c r="I194" s="483" t="n">
        <f aca="false">VLOOKUP(F194,'Рулонки компл. Амиго '!$B$7:$D$1031,3,0)</f>
        <v>78.658457955</v>
      </c>
      <c r="J194" s="483" t="n">
        <f aca="false">I194*G194</f>
        <v>157.31691591</v>
      </c>
      <c r="K194" s="483" t="n">
        <f aca="false">J194*$K$4</f>
        <v>314.63383182</v>
      </c>
      <c r="L194" s="726"/>
      <c r="M194" s="692"/>
      <c r="N194" s="0"/>
      <c r="O194" s="459"/>
      <c r="P194" s="0"/>
      <c r="Q194" s="482"/>
      <c r="R194" s="482"/>
      <c r="S194" s="666"/>
      <c r="T194" s="666"/>
      <c r="U194" s="666"/>
    </row>
    <row r="195" s="331" customFormat="true" ht="12.8" hidden="false" customHeight="false" outlineLevel="0" collapsed="false">
      <c r="B195" s="655"/>
      <c r="C195" s="479"/>
      <c r="D195" s="307"/>
      <c r="F195" s="725" t="s">
        <v>1094</v>
      </c>
      <c r="G195" s="717" t="n">
        <v>1</v>
      </c>
      <c r="H195" s="459"/>
      <c r="I195" s="483" t="n">
        <f aca="false">VLOOKUP(F195,'Рулонки компл. Амиго '!$B$7:$D$1031,3,0)</f>
        <v>288.5288931525</v>
      </c>
      <c r="J195" s="483" t="n">
        <f aca="false">I195*G195</f>
        <v>288.5288931525</v>
      </c>
      <c r="K195" s="483" t="n">
        <f aca="false">J195*$K$4</f>
        <v>577.057786305</v>
      </c>
      <c r="L195" s="692"/>
      <c r="M195" s="692"/>
      <c r="N195" s="0"/>
      <c r="O195" s="459"/>
      <c r="P195" s="0"/>
      <c r="Q195" s="482"/>
      <c r="R195" s="482"/>
      <c r="S195" s="666"/>
      <c r="T195" s="666"/>
      <c r="U195" s="666"/>
    </row>
    <row r="196" s="331" customFormat="true" ht="12.8" hidden="false" customHeight="false" outlineLevel="0" collapsed="false">
      <c r="B196" s="655"/>
      <c r="C196" s="479"/>
      <c r="D196" s="307"/>
      <c r="F196" s="725" t="s">
        <v>1095</v>
      </c>
      <c r="G196" s="720" t="n">
        <v>1</v>
      </c>
      <c r="H196" s="459"/>
      <c r="I196" s="483" t="n">
        <f aca="false">VLOOKUP(F196,'Рулонки компл. Амиго '!$B$7:$D$1031,3,0)</f>
        <v>430.8914592675</v>
      </c>
      <c r="J196" s="483" t="n">
        <f aca="false">I196*G196</f>
        <v>430.8914592675</v>
      </c>
      <c r="K196" s="483" t="n">
        <f aca="false">J196*$K$4</f>
        <v>861.782918535</v>
      </c>
      <c r="L196" s="692"/>
      <c r="M196" s="692"/>
      <c r="N196" s="0"/>
      <c r="O196" s="459"/>
      <c r="P196" s="0"/>
      <c r="Q196" s="482"/>
      <c r="R196" s="482"/>
      <c r="S196" s="666"/>
      <c r="T196" s="666"/>
      <c r="U196" s="666"/>
    </row>
    <row r="197" s="331" customFormat="true" ht="12.8" hidden="false" customHeight="false" outlineLevel="0" collapsed="false">
      <c r="B197" s="655"/>
      <c r="C197" s="479"/>
      <c r="D197" s="307"/>
      <c r="F197" s="115" t="s">
        <v>1096</v>
      </c>
      <c r="G197" s="720" t="n">
        <v>1</v>
      </c>
      <c r="H197" s="459"/>
      <c r="I197" s="483" t="n">
        <f aca="false">VLOOKUP(F197,'Рулонки компл. Амиго '!$B$7:$D$1031,3,0)</f>
        <v>407.5326994321</v>
      </c>
      <c r="J197" s="483" t="n">
        <f aca="false">I197*G197</f>
        <v>407.5326994321</v>
      </c>
      <c r="K197" s="483" t="n">
        <f aca="false">J197*$K$4</f>
        <v>815.0653988642</v>
      </c>
      <c r="L197" s="692"/>
      <c r="M197" s="692"/>
      <c r="N197" s="0"/>
      <c r="O197" s="459"/>
      <c r="P197" s="0"/>
      <c r="Q197" s="482"/>
      <c r="R197" s="482"/>
      <c r="S197" s="666"/>
      <c r="T197" s="666"/>
      <c r="U197" s="666"/>
    </row>
    <row r="198" s="490" customFormat="true" ht="12.8" hidden="false" customHeight="false" outlineLevel="0" collapsed="false">
      <c r="B198" s="693"/>
      <c r="C198" s="682"/>
      <c r="D198" s="683"/>
      <c r="F198" s="704" t="s">
        <v>1069</v>
      </c>
      <c r="G198" s="721" t="n">
        <v>1</v>
      </c>
      <c r="H198" s="491"/>
      <c r="I198" s="685" t="n">
        <f aca="false">VLOOKUP(F198,'Рулонки компл. Амиго '!$B$7:$D$1031,3,0)</f>
        <v>157.3050661875</v>
      </c>
      <c r="J198" s="685" t="n">
        <f aca="false">I198*G198</f>
        <v>157.3050661875</v>
      </c>
      <c r="K198" s="685" t="n">
        <f aca="false">J198*$K$4</f>
        <v>314.610132375</v>
      </c>
      <c r="L198" s="694"/>
      <c r="M198" s="694"/>
      <c r="N198" s="489"/>
      <c r="O198" s="491"/>
      <c r="P198" s="489"/>
      <c r="Q198" s="687"/>
      <c r="R198" s="687"/>
      <c r="S198" s="688"/>
      <c r="T198" s="688"/>
      <c r="U198" s="688"/>
    </row>
    <row r="199" s="490" customFormat="true" ht="12.8" hidden="false" customHeight="false" outlineLevel="0" collapsed="false">
      <c r="B199" s="693"/>
      <c r="C199" s="682"/>
      <c r="D199" s="683"/>
      <c r="F199" s="704" t="s">
        <v>1093</v>
      </c>
      <c r="G199" s="490" t="n">
        <v>1.2</v>
      </c>
      <c r="H199" s="491" t="s">
        <v>1024</v>
      </c>
      <c r="I199" s="685" t="n">
        <f aca="false">VLOOKUP(F199,'Рулонки компл. Амиго '!$B$7:$D$1031,3,0)</f>
        <v>1517.51835714285</v>
      </c>
      <c r="J199" s="685" t="n">
        <f aca="false">I199*G199</f>
        <v>1821.02202857142</v>
      </c>
      <c r="K199" s="685" t="n">
        <f aca="false">J199*$K$4</f>
        <v>3642.04405714285</v>
      </c>
      <c r="L199" s="694"/>
      <c r="M199" s="694"/>
      <c r="N199" s="489"/>
      <c r="O199" s="491"/>
      <c r="P199" s="489"/>
      <c r="Q199" s="687"/>
      <c r="R199" s="687"/>
      <c r="S199" s="688"/>
      <c r="T199" s="688"/>
      <c r="U199" s="688"/>
    </row>
    <row r="200" s="331" customFormat="true" ht="12.8" hidden="false" customHeight="false" outlineLevel="0" collapsed="false">
      <c r="B200" s="655"/>
      <c r="C200" s="479"/>
      <c r="D200" s="307"/>
      <c r="H200" s="459"/>
      <c r="L200" s="692"/>
      <c r="M200" s="692"/>
      <c r="N200" s="0"/>
      <c r="O200" s="459"/>
      <c r="P200" s="0"/>
      <c r="Q200" s="482"/>
      <c r="R200" s="482"/>
      <c r="S200" s="666"/>
      <c r="T200" s="666"/>
      <c r="U200" s="666"/>
    </row>
    <row r="201" s="691" customFormat="true" ht="14.45" hidden="false" customHeight="false" outlineLevel="0" collapsed="false">
      <c r="A201" s="246" t="str">
        <f aca="false">"Рул - "&amp;B201</f>
        <v>Рул - 21</v>
      </c>
      <c r="B201" s="655" t="n">
        <v>21</v>
      </c>
      <c r="C201" s="690" t="s">
        <v>997</v>
      </c>
      <c r="D201" s="307" t="s">
        <v>1097</v>
      </c>
      <c r="E201" s="691" t="n">
        <v>1</v>
      </c>
      <c r="F201" s="691" t="s">
        <v>997</v>
      </c>
      <c r="H201" s="680"/>
      <c r="L201" s="692" t="n">
        <f aca="false">SUM(K202:K208)</f>
        <v>3945.742717532</v>
      </c>
      <c r="M201" s="694" t="n">
        <f aca="false">SUM(K209:K210)</f>
        <v>6679.04717903572</v>
      </c>
      <c r="N201" s="0"/>
      <c r="O201" s="680"/>
      <c r="P201" s="115" t="s">
        <v>1098</v>
      </c>
      <c r="Q201" s="707"/>
      <c r="R201" s="707"/>
      <c r="S201" s="696" t="n">
        <v>1</v>
      </c>
      <c r="T201" s="696"/>
      <c r="U201" s="332" t="s">
        <v>824</v>
      </c>
    </row>
    <row r="202" s="691" customFormat="true" ht="12.8" hidden="false" customHeight="false" outlineLevel="0" collapsed="false">
      <c r="B202" s="655"/>
      <c r="C202" s="479"/>
      <c r="D202" s="307"/>
      <c r="F202" s="725" t="s">
        <v>1085</v>
      </c>
      <c r="G202" s="718" t="n">
        <v>1</v>
      </c>
      <c r="H202" s="680"/>
      <c r="I202" s="483" t="n">
        <f aca="false">VLOOKUP(F202,'Рулонки компл. Амиго '!$B$7:$D$1031,3,0)</f>
        <v>195.3426754125</v>
      </c>
      <c r="J202" s="483" t="n">
        <f aca="false">I202*G202</f>
        <v>195.3426754125</v>
      </c>
      <c r="K202" s="483" t="n">
        <f aca="false">J202*$K$4</f>
        <v>390.685350825</v>
      </c>
      <c r="L202" s="692"/>
      <c r="M202" s="692"/>
      <c r="N202" s="0"/>
      <c r="O202" s="680"/>
      <c r="P202" s="0"/>
      <c r="Q202" s="482"/>
      <c r="R202" s="482"/>
      <c r="S202" s="666"/>
      <c r="T202" s="666"/>
      <c r="U202" s="666"/>
    </row>
    <row r="203" s="691" customFormat="true" ht="12.8" hidden="false" customHeight="false" outlineLevel="0" collapsed="false">
      <c r="B203" s="655"/>
      <c r="C203" s="479"/>
      <c r="D203" s="307"/>
      <c r="F203" s="115" t="s">
        <v>1086</v>
      </c>
      <c r="G203" s="718" t="n">
        <v>1</v>
      </c>
      <c r="H203" s="680"/>
      <c r="I203" s="483" t="n">
        <f aca="false">VLOOKUP(F203,'Рулонки компл. Амиго '!$B$7:$D$1031,3,0)</f>
        <v>389.33448246</v>
      </c>
      <c r="J203" s="483" t="n">
        <f aca="false">I203*G203</f>
        <v>389.33448246</v>
      </c>
      <c r="K203" s="483" t="n">
        <f aca="false">J203*$K$4</f>
        <v>778.66896492</v>
      </c>
      <c r="L203" s="692"/>
      <c r="M203" s="692"/>
      <c r="N203" s="0"/>
      <c r="O203" s="680"/>
      <c r="P203" s="0"/>
      <c r="Q203" s="482"/>
      <c r="R203" s="482"/>
      <c r="S203" s="666"/>
      <c r="T203" s="666"/>
      <c r="U203" s="666"/>
    </row>
    <row r="204" s="331" customFormat="true" ht="12.8" hidden="false" customHeight="false" outlineLevel="0" collapsed="false">
      <c r="B204" s="655"/>
      <c r="C204" s="479"/>
      <c r="D204" s="307"/>
      <c r="F204" s="722" t="s">
        <v>1087</v>
      </c>
      <c r="G204" s="718" t="n">
        <v>2</v>
      </c>
      <c r="H204" s="459"/>
      <c r="I204" s="483" t="n">
        <f aca="false">VLOOKUP(F204,'Рулонки компл. Амиго '!$B$7:$D$1031,3,0)</f>
        <v>78.658457955</v>
      </c>
      <c r="J204" s="483" t="n">
        <f aca="false">I204*G204</f>
        <v>157.31691591</v>
      </c>
      <c r="K204" s="483" t="n">
        <f aca="false">J204*$K$4</f>
        <v>314.63383182</v>
      </c>
      <c r="L204" s="692"/>
      <c r="M204" s="692"/>
      <c r="N204" s="0"/>
      <c r="O204" s="459"/>
      <c r="P204" s="0"/>
      <c r="Q204" s="482"/>
      <c r="R204" s="482"/>
      <c r="S204" s="666"/>
      <c r="T204" s="666"/>
      <c r="U204" s="666"/>
    </row>
    <row r="205" s="331" customFormat="true" ht="12.8" hidden="false" customHeight="false" outlineLevel="0" collapsed="false">
      <c r="B205" s="655"/>
      <c r="C205" s="479"/>
      <c r="D205" s="307"/>
      <c r="F205" s="115" t="s">
        <v>1099</v>
      </c>
      <c r="G205" s="717" t="n">
        <v>2</v>
      </c>
      <c r="H205" s="459"/>
      <c r="I205" s="483" t="n">
        <f aca="false">VLOOKUP(F205,'Рулонки компл. Амиго '!$B$7:$D$1031,3,0)</f>
        <v>168.4912042275</v>
      </c>
      <c r="J205" s="483" t="n">
        <f aca="false">I205*G205</f>
        <v>336.982408455</v>
      </c>
      <c r="K205" s="483" t="n">
        <f aca="false">J205*$K$4</f>
        <v>673.96481691</v>
      </c>
      <c r="L205" s="692"/>
      <c r="M205" s="692"/>
      <c r="N205" s="0"/>
      <c r="O205" s="459"/>
      <c r="P205" s="0"/>
      <c r="Q205" s="482"/>
      <c r="R205" s="482"/>
      <c r="S205" s="666"/>
      <c r="T205" s="666"/>
      <c r="U205" s="666"/>
    </row>
    <row r="206" s="331" customFormat="true" ht="12.8" hidden="false" customHeight="false" outlineLevel="0" collapsed="false">
      <c r="B206" s="655"/>
      <c r="C206" s="479"/>
      <c r="D206" s="307"/>
      <c r="F206" s="115" t="s">
        <v>1094</v>
      </c>
      <c r="G206" s="717" t="n">
        <v>1</v>
      </c>
      <c r="H206" s="459"/>
      <c r="I206" s="483" t="n">
        <f aca="false">VLOOKUP(F206,'Рулонки компл. Амиго '!$B$7:$D$1031,3,0)</f>
        <v>288.5288931525</v>
      </c>
      <c r="J206" s="483" t="n">
        <f aca="false">I206*G206</f>
        <v>288.5288931525</v>
      </c>
      <c r="K206" s="483" t="n">
        <f aca="false">J206*$K$4</f>
        <v>577.057786305</v>
      </c>
      <c r="L206" s="692"/>
      <c r="M206" s="692"/>
      <c r="N206" s="0"/>
      <c r="O206" s="459"/>
      <c r="P206" s="0"/>
      <c r="Q206" s="482"/>
      <c r="R206" s="482"/>
      <c r="S206" s="666"/>
      <c r="T206" s="666"/>
      <c r="U206" s="666"/>
    </row>
    <row r="207" s="331" customFormat="true" ht="12.8" hidden="false" customHeight="false" outlineLevel="0" collapsed="false">
      <c r="B207" s="655"/>
      <c r="C207" s="479"/>
      <c r="D207" s="307"/>
      <c r="F207" s="115" t="s">
        <v>1090</v>
      </c>
      <c r="G207" s="720" t="n">
        <v>1</v>
      </c>
      <c r="H207" s="459"/>
      <c r="I207" s="483" t="n">
        <f aca="false">VLOOKUP(F207,'Рулонки компл. Амиго '!$B$7:$D$1031,3,0)</f>
        <v>228.628545915</v>
      </c>
      <c r="J207" s="483" t="n">
        <f aca="false">I207*G207</f>
        <v>228.628545915</v>
      </c>
      <c r="K207" s="483" t="n">
        <f aca="false">J207*$K$4</f>
        <v>457.25709183</v>
      </c>
      <c r="L207" s="692"/>
      <c r="M207" s="692"/>
      <c r="N207" s="0"/>
      <c r="O207" s="459"/>
      <c r="P207" s="0"/>
      <c r="Q207" s="482"/>
      <c r="R207" s="482"/>
      <c r="S207" s="666"/>
      <c r="T207" s="666"/>
      <c r="U207" s="666"/>
    </row>
    <row r="208" s="331" customFormat="true" ht="12.8" hidden="false" customHeight="false" outlineLevel="0" collapsed="false">
      <c r="B208" s="655"/>
      <c r="C208" s="479"/>
      <c r="D208" s="307"/>
      <c r="F208" s="727" t="s">
        <v>1100</v>
      </c>
      <c r="G208" s="720" t="n">
        <v>1</v>
      </c>
      <c r="H208" s="459"/>
      <c r="I208" s="483" t="n">
        <f aca="false">VLOOKUP(F208,'Рулонки компл. Амиго '!$B$7:$D$1031,3,0)</f>
        <v>376.737437461</v>
      </c>
      <c r="J208" s="483" t="n">
        <f aca="false">I208*G208</f>
        <v>376.737437461</v>
      </c>
      <c r="K208" s="483" t="n">
        <f aca="false">J208*$K$4</f>
        <v>753.474874922</v>
      </c>
      <c r="L208" s="692"/>
      <c r="M208" s="692"/>
      <c r="N208" s="0"/>
      <c r="O208" s="459"/>
      <c r="P208" s="0"/>
      <c r="Q208" s="482"/>
      <c r="R208" s="482"/>
      <c r="S208" s="666"/>
      <c r="T208" s="666"/>
      <c r="U208" s="666"/>
    </row>
    <row r="209" s="490" customFormat="true" ht="12.8" hidden="false" customHeight="false" outlineLevel="0" collapsed="false">
      <c r="B209" s="693"/>
      <c r="C209" s="682"/>
      <c r="D209" s="683"/>
      <c r="F209" s="704" t="s">
        <v>1069</v>
      </c>
      <c r="G209" s="721" t="n">
        <v>2</v>
      </c>
      <c r="H209" s="491"/>
      <c r="I209" s="685" t="n">
        <f aca="false">VLOOKUP(F209,'Рулонки компл. Амиго '!$B$7:$D$1031,3,0)</f>
        <v>157.3050661875</v>
      </c>
      <c r="J209" s="685" t="n">
        <f aca="false">I209*G209</f>
        <v>314.610132375</v>
      </c>
      <c r="K209" s="685" t="n">
        <f aca="false">J209*$K$4</f>
        <v>629.22026475</v>
      </c>
      <c r="L209" s="694"/>
      <c r="M209" s="694"/>
      <c r="N209" s="489"/>
      <c r="O209" s="491"/>
      <c r="P209" s="489"/>
      <c r="Q209" s="687"/>
      <c r="R209" s="687"/>
      <c r="S209" s="688"/>
      <c r="T209" s="688"/>
      <c r="U209" s="688"/>
    </row>
    <row r="210" s="490" customFormat="true" ht="12.8" hidden="false" customHeight="false" outlineLevel="0" collapsed="false">
      <c r="B210" s="693"/>
      <c r="C210" s="682"/>
      <c r="D210" s="683"/>
      <c r="F210" s="708" t="s">
        <v>1098</v>
      </c>
      <c r="G210" s="490" t="n">
        <v>1.2</v>
      </c>
      <c r="H210" s="491" t="s">
        <v>1024</v>
      </c>
      <c r="I210" s="685" t="n">
        <f aca="false">VLOOKUP(F210,'Рулонки компл. Амиго '!$B$7:$D$1031,3,0)</f>
        <v>2520.76121428572</v>
      </c>
      <c r="J210" s="685" t="n">
        <f aca="false">I210*G210</f>
        <v>3024.91345714286</v>
      </c>
      <c r="K210" s="685" t="n">
        <f aca="false">J210*$K$4</f>
        <v>6049.82691428572</v>
      </c>
      <c r="L210" s="694"/>
      <c r="M210" s="694"/>
      <c r="N210" s="489"/>
      <c r="O210" s="491"/>
      <c r="P210" s="489"/>
      <c r="Q210" s="687"/>
      <c r="R210" s="687"/>
      <c r="S210" s="688"/>
      <c r="T210" s="688"/>
      <c r="U210" s="688"/>
    </row>
    <row r="211" s="331" customFormat="true" ht="12.8" hidden="false" customHeight="false" outlineLevel="0" collapsed="false">
      <c r="B211" s="655"/>
      <c r="C211" s="479"/>
      <c r="D211" s="307"/>
      <c r="H211" s="459"/>
      <c r="L211" s="692"/>
      <c r="M211" s="692"/>
      <c r="N211" s="0"/>
      <c r="O211" s="459"/>
      <c r="P211" s="0"/>
      <c r="Q211" s="482"/>
      <c r="R211" s="482"/>
      <c r="S211" s="666"/>
      <c r="T211" s="666"/>
      <c r="U211" s="666"/>
    </row>
    <row r="212" s="691" customFormat="true" ht="14.45" hidden="false" customHeight="false" outlineLevel="0" collapsed="false">
      <c r="A212" s="246" t="str">
        <f aca="false">"Рул - "&amp;B212</f>
        <v>Рул - 22</v>
      </c>
      <c r="B212" s="655" t="n">
        <v>22</v>
      </c>
      <c r="C212" s="690" t="s">
        <v>999</v>
      </c>
      <c r="D212" s="307" t="s">
        <v>1083</v>
      </c>
      <c r="E212" s="691" t="n">
        <v>1</v>
      </c>
      <c r="F212" s="691" t="s">
        <v>999</v>
      </c>
      <c r="H212" s="680"/>
      <c r="L212" s="692" t="n">
        <f aca="false">SUM(K213:K219)</f>
        <v>3545.1685137154</v>
      </c>
      <c r="M212" s="694" t="n">
        <f aca="false">SUM(K220:K221)</f>
        <v>3220.31169332143</v>
      </c>
      <c r="N212" s="0"/>
      <c r="O212" s="680"/>
      <c r="P212" s="115" t="s">
        <v>1084</v>
      </c>
      <c r="Q212" s="707"/>
      <c r="R212" s="707"/>
      <c r="S212" s="696" t="n">
        <v>1</v>
      </c>
      <c r="T212" s="696"/>
      <c r="U212" s="332" t="s">
        <v>824</v>
      </c>
    </row>
    <row r="213" s="331" customFormat="true" ht="12.8" hidden="false" customHeight="false" outlineLevel="0" collapsed="false">
      <c r="B213" s="655"/>
      <c r="C213" s="479"/>
      <c r="D213" s="307"/>
      <c r="F213" s="725" t="s">
        <v>1085</v>
      </c>
      <c r="G213" s="717" t="n">
        <v>2</v>
      </c>
      <c r="H213" s="459"/>
      <c r="I213" s="483" t="n">
        <f aca="false">VLOOKUP(F213,'Рулонки компл. Амиго '!$B$7:$D$1031,3,0)</f>
        <v>195.3426754125</v>
      </c>
      <c r="J213" s="483" t="n">
        <f aca="false">I213*G213</f>
        <v>390.685350825</v>
      </c>
      <c r="K213" s="483" t="n">
        <f aca="false">J213*$K$4</f>
        <v>781.37070165</v>
      </c>
      <c r="L213" s="692"/>
      <c r="M213" s="692"/>
      <c r="N213" s="0"/>
      <c r="O213" s="459"/>
      <c r="P213" s="0"/>
      <c r="Q213" s="482"/>
      <c r="R213" s="482"/>
      <c r="S213" s="666"/>
      <c r="T213" s="666"/>
      <c r="U213" s="666"/>
    </row>
    <row r="214" s="331" customFormat="true" ht="12.8" hidden="false" customHeight="false" outlineLevel="0" collapsed="false">
      <c r="B214" s="655"/>
      <c r="C214" s="479"/>
      <c r="D214" s="307"/>
      <c r="F214" s="115" t="s">
        <v>1086</v>
      </c>
      <c r="G214" s="717" t="n">
        <v>1</v>
      </c>
      <c r="H214" s="459"/>
      <c r="I214" s="483" t="n">
        <f aca="false">VLOOKUP(F214,'Рулонки компл. Амиго '!$B$7:$D$1031,3,0)</f>
        <v>389.33448246</v>
      </c>
      <c r="J214" s="483" t="n">
        <f aca="false">I214*G214</f>
        <v>389.33448246</v>
      </c>
      <c r="K214" s="483" t="n">
        <f aca="false">J214*$K$4</f>
        <v>778.66896492</v>
      </c>
      <c r="L214" s="692"/>
      <c r="M214" s="692"/>
      <c r="N214" s="0"/>
      <c r="O214" s="459"/>
      <c r="P214" s="0"/>
      <c r="Q214" s="482"/>
      <c r="R214" s="482"/>
      <c r="S214" s="666"/>
      <c r="T214" s="666"/>
      <c r="U214" s="666"/>
    </row>
    <row r="215" s="331" customFormat="true" ht="12.8" hidden="false" customHeight="false" outlineLevel="0" collapsed="false">
      <c r="B215" s="655"/>
      <c r="C215" s="479"/>
      <c r="D215" s="307"/>
      <c r="F215" s="722" t="s">
        <v>1087</v>
      </c>
      <c r="G215" s="718" t="n">
        <v>2</v>
      </c>
      <c r="H215" s="459"/>
      <c r="I215" s="483" t="n">
        <f aca="false">VLOOKUP(F215,'Рулонки компл. Амиго '!$B$7:$D$1031,3,0)</f>
        <v>78.658457955</v>
      </c>
      <c r="J215" s="483" t="n">
        <f aca="false">I215*G215</f>
        <v>157.31691591</v>
      </c>
      <c r="K215" s="483" t="n">
        <f aca="false">J215*$K$4</f>
        <v>314.63383182</v>
      </c>
      <c r="L215" s="692"/>
      <c r="M215" s="692"/>
      <c r="N215" s="0"/>
      <c r="O215" s="459"/>
      <c r="P215" s="0"/>
      <c r="Q215" s="482"/>
      <c r="R215" s="482"/>
      <c r="S215" s="666"/>
      <c r="T215" s="666"/>
      <c r="U215" s="666"/>
    </row>
    <row r="216" s="331" customFormat="true" ht="12.8" hidden="false" customHeight="false" outlineLevel="0" collapsed="false">
      <c r="B216" s="655"/>
      <c r="C216" s="479"/>
      <c r="D216" s="307"/>
      <c r="F216" s="115" t="s">
        <v>1088</v>
      </c>
      <c r="G216" s="719" t="n">
        <v>1</v>
      </c>
      <c r="H216" s="459"/>
      <c r="I216" s="483" t="n">
        <f aca="false">VLOOKUP(F216,'Рулонки компл. Амиго '!$B$7:$D$1031,3,0)</f>
        <v>38.4523495125</v>
      </c>
      <c r="J216" s="483" t="n">
        <f aca="false">I216*G216</f>
        <v>38.4523495125</v>
      </c>
      <c r="K216" s="483" t="n">
        <f aca="false">J216*$K$4</f>
        <v>76.904699025</v>
      </c>
      <c r="L216" s="692"/>
      <c r="M216" s="692"/>
      <c r="N216" s="0"/>
      <c r="O216" s="459"/>
      <c r="P216" s="0"/>
      <c r="Q216" s="482"/>
      <c r="R216" s="482"/>
      <c r="S216" s="666"/>
      <c r="T216" s="666"/>
      <c r="U216" s="666"/>
    </row>
    <row r="217" s="331" customFormat="true" ht="12.8" hidden="false" customHeight="false" outlineLevel="0" collapsed="false">
      <c r="B217" s="655"/>
      <c r="C217" s="479"/>
      <c r="D217" s="307"/>
      <c r="F217" s="115" t="s">
        <v>1089</v>
      </c>
      <c r="G217" s="717" t="n">
        <v>2</v>
      </c>
      <c r="H217" s="459"/>
      <c r="I217" s="483" t="n">
        <f aca="false">VLOOKUP(F217,'Рулонки компл. Амиго '!$B$7:$D$1031,3,0)</f>
        <v>75.530131215</v>
      </c>
      <c r="J217" s="483" t="n">
        <f aca="false">I217*G217</f>
        <v>151.06026243</v>
      </c>
      <c r="K217" s="483" t="n">
        <f aca="false">J217*$K$4</f>
        <v>302.12052486</v>
      </c>
      <c r="L217" s="692"/>
      <c r="M217" s="692"/>
      <c r="N217" s="0"/>
      <c r="O217" s="459"/>
      <c r="P217" s="0"/>
      <c r="Q217" s="482"/>
      <c r="R217" s="482"/>
      <c r="S217" s="666"/>
      <c r="T217" s="666"/>
      <c r="U217" s="666"/>
    </row>
    <row r="218" s="331" customFormat="true" ht="12.8" hidden="false" customHeight="false" outlineLevel="0" collapsed="false">
      <c r="B218" s="655"/>
      <c r="C218" s="479"/>
      <c r="D218" s="307"/>
      <c r="F218" s="115" t="s">
        <v>1090</v>
      </c>
      <c r="G218" s="720" t="n">
        <v>1</v>
      </c>
      <c r="H218" s="459"/>
      <c r="I218" s="483" t="n">
        <f aca="false">VLOOKUP(F218,'Рулонки компл. Амиго '!$B$7:$D$1031,3,0)</f>
        <v>228.628545915</v>
      </c>
      <c r="J218" s="483" t="n">
        <f aca="false">I218*G218</f>
        <v>228.628545915</v>
      </c>
      <c r="K218" s="483" t="n">
        <f aca="false">J218*$K$4</f>
        <v>457.25709183</v>
      </c>
      <c r="L218" s="692"/>
      <c r="M218" s="692"/>
      <c r="N218" s="0"/>
      <c r="O218" s="459"/>
      <c r="P218" s="0"/>
      <c r="Q218" s="482"/>
      <c r="R218" s="482"/>
      <c r="S218" s="666"/>
      <c r="T218" s="666"/>
      <c r="U218" s="666"/>
    </row>
    <row r="219" s="331" customFormat="true" ht="12.8" hidden="false" customHeight="false" outlineLevel="0" collapsed="false">
      <c r="B219" s="655"/>
      <c r="C219" s="479"/>
      <c r="D219" s="307"/>
      <c r="F219" s="115" t="s">
        <v>1101</v>
      </c>
      <c r="G219" s="720" t="n">
        <v>1</v>
      </c>
      <c r="H219" s="459"/>
      <c r="I219" s="483" t="n">
        <f aca="false">VLOOKUP(F219,'Рулонки компл. Амиго '!$B$7:$D$1031,3,0)</f>
        <v>417.1063498052</v>
      </c>
      <c r="J219" s="483" t="n">
        <f aca="false">I219*G219</f>
        <v>417.1063498052</v>
      </c>
      <c r="K219" s="483" t="n">
        <f aca="false">J219*$K$4</f>
        <v>834.2126996104</v>
      </c>
      <c r="L219" s="692"/>
      <c r="M219" s="692"/>
      <c r="N219" s="0"/>
      <c r="O219" s="459"/>
      <c r="P219" s="0"/>
      <c r="Q219" s="482"/>
      <c r="R219" s="482"/>
      <c r="S219" s="666"/>
      <c r="T219" s="666"/>
      <c r="U219" s="666"/>
    </row>
    <row r="220" s="490" customFormat="true" ht="12.8" hidden="false" customHeight="false" outlineLevel="0" collapsed="false">
      <c r="B220" s="693"/>
      <c r="C220" s="682"/>
      <c r="D220" s="683"/>
      <c r="F220" s="704" t="s">
        <v>1069</v>
      </c>
      <c r="G220" s="721" t="n">
        <v>2</v>
      </c>
      <c r="H220" s="491"/>
      <c r="I220" s="685" t="n">
        <f aca="false">VLOOKUP(F220,'Рулонки компл. Амиго '!$B$7:$D$1031,3,0)</f>
        <v>157.3050661875</v>
      </c>
      <c r="J220" s="685" t="n">
        <f aca="false">I220*G220</f>
        <v>314.610132375</v>
      </c>
      <c r="K220" s="685" t="n">
        <f aca="false">J220*$K$4</f>
        <v>629.22026475</v>
      </c>
      <c r="L220" s="694"/>
      <c r="M220" s="694"/>
      <c r="N220" s="489"/>
      <c r="O220" s="491"/>
      <c r="P220" s="489"/>
      <c r="Q220" s="687"/>
      <c r="R220" s="687"/>
      <c r="S220" s="688"/>
      <c r="T220" s="688"/>
      <c r="U220" s="688"/>
    </row>
    <row r="221" s="490" customFormat="true" ht="12.8" hidden="false" customHeight="false" outlineLevel="0" collapsed="false">
      <c r="B221" s="693"/>
      <c r="C221" s="682"/>
      <c r="D221" s="683"/>
      <c r="F221" s="708" t="s">
        <v>1084</v>
      </c>
      <c r="G221" s="490" t="n">
        <v>1.2</v>
      </c>
      <c r="H221" s="491" t="s">
        <v>1024</v>
      </c>
      <c r="I221" s="685" t="n">
        <f aca="false">VLOOKUP(F221,'Рулонки компл. Амиго '!$B$7:$D$1031,3,0)</f>
        <v>1079.62142857143</v>
      </c>
      <c r="J221" s="685" t="n">
        <f aca="false">I221*G221</f>
        <v>1295.54571428572</v>
      </c>
      <c r="K221" s="685" t="n">
        <f aca="false">J221*$K$4</f>
        <v>2591.09142857143</v>
      </c>
      <c r="L221" s="694"/>
      <c r="M221" s="694"/>
      <c r="N221" s="489"/>
      <c r="O221" s="491"/>
      <c r="P221" s="489"/>
      <c r="Q221" s="687"/>
      <c r="R221" s="687"/>
      <c r="S221" s="688"/>
      <c r="T221" s="688"/>
      <c r="U221" s="688"/>
    </row>
    <row r="222" s="331" customFormat="true" ht="12.8" hidden="false" customHeight="false" outlineLevel="0" collapsed="false">
      <c r="B222" s="655"/>
      <c r="C222" s="479"/>
      <c r="D222" s="307"/>
      <c r="H222" s="459"/>
      <c r="L222" s="692"/>
      <c r="M222" s="692"/>
      <c r="N222" s="0"/>
      <c r="O222" s="459"/>
      <c r="P222" s="0"/>
      <c r="Q222" s="482"/>
      <c r="R222" s="482"/>
      <c r="S222" s="666"/>
      <c r="T222" s="666"/>
      <c r="U222" s="666"/>
    </row>
    <row r="223" s="691" customFormat="true" ht="14.45" hidden="false" customHeight="false" outlineLevel="0" collapsed="false">
      <c r="A223" s="246" t="str">
        <f aca="false">"Рул - "&amp;B223</f>
        <v>Рул - 23</v>
      </c>
      <c r="B223" s="655" t="n">
        <v>23</v>
      </c>
      <c r="C223" s="690" t="s">
        <v>1000</v>
      </c>
      <c r="D223" s="307" t="s">
        <v>1092</v>
      </c>
      <c r="E223" s="691" t="n">
        <v>1</v>
      </c>
      <c r="F223" s="691" t="s">
        <v>1000</v>
      </c>
      <c r="H223" s="680"/>
      <c r="L223" s="692" t="n">
        <f aca="false">SUM(K224:K229)</f>
        <v>3459.63820983</v>
      </c>
      <c r="M223" s="694" t="n">
        <f aca="false">SUM(K230:K231)</f>
        <v>4271.26432189285</v>
      </c>
      <c r="N223" s="0"/>
      <c r="O223" s="680"/>
      <c r="P223" s="722" t="s">
        <v>1093</v>
      </c>
      <c r="Q223" s="723"/>
      <c r="R223" s="723"/>
      <c r="S223" s="724" t="n">
        <v>1</v>
      </c>
      <c r="T223" s="724"/>
      <c r="U223" s="332" t="s">
        <v>824</v>
      </c>
    </row>
    <row r="224" s="331" customFormat="true" ht="12.8" hidden="false" customHeight="false" outlineLevel="0" collapsed="false">
      <c r="B224" s="655"/>
      <c r="C224" s="479"/>
      <c r="D224" s="307"/>
      <c r="F224" s="725" t="s">
        <v>1085</v>
      </c>
      <c r="G224" s="717" t="n">
        <v>1</v>
      </c>
      <c r="H224" s="459"/>
      <c r="I224" s="483" t="n">
        <f aca="false">VLOOKUP(F224,'Рулонки компл. Амиго '!$B$7:$D$1031,3,0)</f>
        <v>195.3426754125</v>
      </c>
      <c r="J224" s="483" t="n">
        <f aca="false">I224*G224</f>
        <v>195.3426754125</v>
      </c>
      <c r="K224" s="483" t="n">
        <f aca="false">J224*$K$4</f>
        <v>390.685350825</v>
      </c>
      <c r="L224" s="692"/>
      <c r="M224" s="692"/>
      <c r="N224" s="0"/>
      <c r="O224" s="459"/>
      <c r="P224" s="0"/>
      <c r="Q224" s="482"/>
      <c r="R224" s="482"/>
      <c r="S224" s="666"/>
      <c r="T224" s="666"/>
      <c r="U224" s="666"/>
    </row>
    <row r="225" s="331" customFormat="true" ht="12.8" hidden="false" customHeight="false" outlineLevel="0" collapsed="false">
      <c r="B225" s="655"/>
      <c r="C225" s="479"/>
      <c r="D225" s="307"/>
      <c r="F225" s="115" t="s">
        <v>1086</v>
      </c>
      <c r="G225" s="717" t="n">
        <v>1</v>
      </c>
      <c r="H225" s="459"/>
      <c r="I225" s="483" t="n">
        <f aca="false">VLOOKUP(F225,'Рулонки компл. Амиго '!$B$7:$D$1031,3,0)</f>
        <v>389.33448246</v>
      </c>
      <c r="J225" s="483" t="n">
        <f aca="false">I225*G225</f>
        <v>389.33448246</v>
      </c>
      <c r="K225" s="483" t="n">
        <f aca="false">J225*$K$4</f>
        <v>778.66896492</v>
      </c>
      <c r="L225" s="692"/>
      <c r="M225" s="692"/>
      <c r="N225" s="0"/>
      <c r="O225" s="459"/>
      <c r="P225" s="0"/>
      <c r="Q225" s="482"/>
      <c r="R225" s="482"/>
      <c r="S225" s="666"/>
      <c r="T225" s="666"/>
      <c r="U225" s="666"/>
    </row>
    <row r="226" s="331" customFormat="true" ht="12.8" hidden="false" customHeight="false" outlineLevel="0" collapsed="false">
      <c r="B226" s="655"/>
      <c r="C226" s="479"/>
      <c r="D226" s="307"/>
      <c r="F226" s="722" t="s">
        <v>1087</v>
      </c>
      <c r="G226" s="718" t="n">
        <v>2</v>
      </c>
      <c r="H226" s="459"/>
      <c r="I226" s="483" t="n">
        <f aca="false">VLOOKUP(F226,'Рулонки компл. Амиго '!$B$7:$D$1031,3,0)</f>
        <v>78.658457955</v>
      </c>
      <c r="J226" s="483" t="n">
        <f aca="false">I226*G226</f>
        <v>157.31691591</v>
      </c>
      <c r="K226" s="483" t="n">
        <f aca="false">J226*$K$4</f>
        <v>314.63383182</v>
      </c>
      <c r="L226" s="692"/>
      <c r="M226" s="692"/>
      <c r="N226" s="0"/>
      <c r="O226" s="459"/>
      <c r="P226" s="0"/>
      <c r="Q226" s="482"/>
      <c r="R226" s="482"/>
      <c r="S226" s="666"/>
      <c r="T226" s="666"/>
      <c r="U226" s="666"/>
    </row>
    <row r="227" s="331" customFormat="true" ht="12.8" hidden="false" customHeight="false" outlineLevel="0" collapsed="false">
      <c r="B227" s="655"/>
      <c r="C227" s="479"/>
      <c r="D227" s="307"/>
      <c r="F227" s="115" t="s">
        <v>1094</v>
      </c>
      <c r="G227" s="717" t="n">
        <v>1</v>
      </c>
      <c r="H227" s="459"/>
      <c r="I227" s="483" t="n">
        <f aca="false">VLOOKUP(F227,'Рулонки компл. Амиго '!$B$7:$D$1031,3,0)</f>
        <v>288.5288931525</v>
      </c>
      <c r="J227" s="483" t="n">
        <f aca="false">I227*G227</f>
        <v>288.5288931525</v>
      </c>
      <c r="K227" s="483" t="n">
        <f aca="false">J227*$K$4</f>
        <v>577.057786305</v>
      </c>
      <c r="L227" s="692"/>
      <c r="M227" s="692"/>
      <c r="N227" s="0"/>
      <c r="O227" s="459"/>
      <c r="P227" s="0"/>
      <c r="Q227" s="482"/>
      <c r="R227" s="482"/>
      <c r="S227" s="666"/>
      <c r="T227" s="666"/>
      <c r="U227" s="666"/>
    </row>
    <row r="228" s="331" customFormat="true" ht="12.8" hidden="false" customHeight="false" outlineLevel="0" collapsed="false">
      <c r="B228" s="655"/>
      <c r="C228" s="479"/>
      <c r="D228" s="307"/>
      <c r="F228" s="115" t="s">
        <v>1090</v>
      </c>
      <c r="G228" s="720" t="n">
        <v>1</v>
      </c>
      <c r="H228" s="459"/>
      <c r="I228" s="483" t="n">
        <f aca="false">VLOOKUP(F228,'Рулонки компл. Амиго '!$B$7:$D$1031,3,0)</f>
        <v>228.628545915</v>
      </c>
      <c r="J228" s="483" t="n">
        <f aca="false">I228*G228</f>
        <v>228.628545915</v>
      </c>
      <c r="K228" s="483" t="n">
        <f aca="false">J228*$K$4</f>
        <v>457.25709183</v>
      </c>
      <c r="L228" s="692"/>
      <c r="M228" s="692"/>
      <c r="N228" s="0"/>
      <c r="O228" s="459"/>
      <c r="P228" s="0"/>
      <c r="Q228" s="482"/>
      <c r="R228" s="482"/>
      <c r="S228" s="666"/>
      <c r="T228" s="666"/>
      <c r="U228" s="666"/>
    </row>
    <row r="229" s="331" customFormat="true" ht="12.8" hidden="false" customHeight="false" outlineLevel="0" collapsed="false">
      <c r="B229" s="655"/>
      <c r="C229" s="479"/>
      <c r="D229" s="307"/>
      <c r="F229" s="115" t="s">
        <v>1102</v>
      </c>
      <c r="G229" s="720" t="n">
        <v>1</v>
      </c>
      <c r="H229" s="459"/>
      <c r="I229" s="483" t="n">
        <f aca="false">VLOOKUP(F229,'Рулонки компл. Амиго '!$B$7:$D$1031,3,0)</f>
        <v>470.667592065</v>
      </c>
      <c r="J229" s="483" t="n">
        <f aca="false">I229*G229</f>
        <v>470.667592065</v>
      </c>
      <c r="K229" s="483" t="n">
        <f aca="false">J229*$K$4</f>
        <v>941.33518413</v>
      </c>
      <c r="L229" s="692"/>
      <c r="M229" s="692"/>
      <c r="N229" s="0"/>
      <c r="O229" s="459"/>
      <c r="P229" s="0"/>
      <c r="Q229" s="482"/>
      <c r="R229" s="482"/>
      <c r="S229" s="666"/>
      <c r="T229" s="666"/>
      <c r="U229" s="666"/>
    </row>
    <row r="230" s="490" customFormat="true" ht="12.8" hidden="false" customHeight="false" outlineLevel="0" collapsed="false">
      <c r="B230" s="693"/>
      <c r="C230" s="682"/>
      <c r="D230" s="683"/>
      <c r="F230" s="704" t="s">
        <v>1069</v>
      </c>
      <c r="G230" s="721" t="n">
        <v>2</v>
      </c>
      <c r="H230" s="491"/>
      <c r="I230" s="685" t="n">
        <f aca="false">VLOOKUP(F230,'Рулонки компл. Амиго '!$B$7:$D$1031,3,0)</f>
        <v>157.3050661875</v>
      </c>
      <c r="J230" s="685" t="n">
        <f aca="false">I230*G230</f>
        <v>314.610132375</v>
      </c>
      <c r="K230" s="685" t="n">
        <f aca="false">J230*$K$4</f>
        <v>629.22026475</v>
      </c>
      <c r="L230" s="694"/>
      <c r="M230" s="694"/>
      <c r="N230" s="489"/>
      <c r="O230" s="491"/>
      <c r="P230" s="489"/>
      <c r="Q230" s="687"/>
      <c r="R230" s="687"/>
      <c r="S230" s="688"/>
      <c r="T230" s="688"/>
      <c r="U230" s="688"/>
    </row>
    <row r="231" s="490" customFormat="true" ht="12.8" hidden="false" customHeight="false" outlineLevel="0" collapsed="false">
      <c r="B231" s="693"/>
      <c r="C231" s="682"/>
      <c r="D231" s="683"/>
      <c r="F231" s="704" t="s">
        <v>1093</v>
      </c>
      <c r="G231" s="490" t="n">
        <v>1.2</v>
      </c>
      <c r="H231" s="491" t="s">
        <v>1024</v>
      </c>
      <c r="I231" s="685" t="n">
        <f aca="false">VLOOKUP(F231,'Рулонки компл. Амиго '!$B$7:$D$1031,3,0)</f>
        <v>1517.51835714285</v>
      </c>
      <c r="J231" s="685" t="n">
        <f aca="false">I231*G231</f>
        <v>1821.02202857142</v>
      </c>
      <c r="K231" s="685" t="n">
        <f aca="false">J231*$K$4</f>
        <v>3642.04405714285</v>
      </c>
      <c r="L231" s="694"/>
      <c r="M231" s="694"/>
      <c r="N231" s="489"/>
      <c r="O231" s="491"/>
      <c r="P231" s="489"/>
      <c r="Q231" s="687"/>
      <c r="R231" s="687"/>
      <c r="S231" s="688"/>
      <c r="T231" s="688"/>
      <c r="U231" s="688"/>
    </row>
    <row r="232" s="331" customFormat="true" ht="12.8" hidden="false" customHeight="false" outlineLevel="0" collapsed="false">
      <c r="B232" s="655"/>
      <c r="C232" s="479"/>
      <c r="D232" s="307"/>
      <c r="H232" s="459"/>
      <c r="L232" s="692"/>
      <c r="M232" s="692"/>
      <c r="N232" s="0"/>
      <c r="O232" s="459"/>
      <c r="P232" s="0"/>
      <c r="Q232" s="482"/>
      <c r="R232" s="482"/>
      <c r="S232" s="666"/>
      <c r="T232" s="666"/>
      <c r="U232" s="666"/>
    </row>
    <row r="233" s="691" customFormat="true" ht="14.45" hidden="false" customHeight="false" outlineLevel="0" collapsed="false">
      <c r="A233" s="246" t="str">
        <f aca="false">"Рул - "&amp;B233</f>
        <v>Рул - 24</v>
      </c>
      <c r="B233" s="655" t="n">
        <v>24</v>
      </c>
      <c r="C233" s="690" t="s">
        <v>1001</v>
      </c>
      <c r="D233" s="307" t="s">
        <v>1097</v>
      </c>
      <c r="E233" s="691" t="n">
        <v>1</v>
      </c>
      <c r="F233" s="691" t="s">
        <v>1001</v>
      </c>
      <c r="H233" s="680"/>
      <c r="L233" s="692" t="n">
        <f aca="false">SUM(K234:K240)</f>
        <v>3983.185583542</v>
      </c>
      <c r="M233" s="694" t="n">
        <f aca="false">SUM(K241:K242)</f>
        <v>6679.04717903572</v>
      </c>
      <c r="N233" s="0"/>
      <c r="O233" s="680"/>
      <c r="P233" s="115" t="s">
        <v>1098</v>
      </c>
      <c r="Q233" s="707"/>
      <c r="R233" s="707"/>
      <c r="S233" s="696" t="n">
        <v>1</v>
      </c>
      <c r="T233" s="696"/>
      <c r="U233" s="332" t="s">
        <v>824</v>
      </c>
    </row>
    <row r="234" s="691" customFormat="true" ht="12.8" hidden="false" customHeight="false" outlineLevel="0" collapsed="false">
      <c r="B234" s="655"/>
      <c r="C234" s="479"/>
      <c r="D234" s="307"/>
      <c r="F234" s="725" t="s">
        <v>1085</v>
      </c>
      <c r="G234" s="718" t="n">
        <v>1</v>
      </c>
      <c r="H234" s="680"/>
      <c r="I234" s="483" t="n">
        <f aca="false">VLOOKUP(F234,'Рулонки компл. Амиго '!$B$7:$D$1031,3,0)</f>
        <v>195.3426754125</v>
      </c>
      <c r="J234" s="483" t="n">
        <f aca="false">I234*G234</f>
        <v>195.3426754125</v>
      </c>
      <c r="K234" s="483" t="n">
        <f aca="false">J234*$K$4</f>
        <v>390.685350825</v>
      </c>
      <c r="L234" s="692"/>
      <c r="M234" s="692"/>
      <c r="N234" s="0"/>
      <c r="O234" s="680"/>
      <c r="P234" s="0"/>
      <c r="Q234" s="482"/>
      <c r="R234" s="482"/>
      <c r="S234" s="666"/>
      <c r="T234" s="666"/>
      <c r="U234" s="666"/>
    </row>
    <row r="235" s="691" customFormat="true" ht="12.8" hidden="false" customHeight="false" outlineLevel="0" collapsed="false">
      <c r="B235" s="655"/>
      <c r="C235" s="479"/>
      <c r="D235" s="307"/>
      <c r="F235" s="115" t="s">
        <v>1086</v>
      </c>
      <c r="G235" s="718" t="n">
        <v>1</v>
      </c>
      <c r="H235" s="680"/>
      <c r="I235" s="483" t="n">
        <f aca="false">VLOOKUP(F235,'Рулонки компл. Амиго '!$B$7:$D$1031,3,0)</f>
        <v>389.33448246</v>
      </c>
      <c r="J235" s="483" t="n">
        <f aca="false">I235*G235</f>
        <v>389.33448246</v>
      </c>
      <c r="K235" s="483" t="n">
        <f aca="false">J235*$K$4</f>
        <v>778.66896492</v>
      </c>
      <c r="L235" s="692"/>
      <c r="M235" s="692"/>
      <c r="N235" s="0"/>
      <c r="O235" s="680"/>
      <c r="P235" s="0"/>
      <c r="Q235" s="482"/>
      <c r="R235" s="482"/>
      <c r="S235" s="666"/>
      <c r="T235" s="666"/>
      <c r="U235" s="666"/>
    </row>
    <row r="236" s="331" customFormat="true" ht="12.8" hidden="false" customHeight="false" outlineLevel="0" collapsed="false">
      <c r="B236" s="655"/>
      <c r="C236" s="479"/>
      <c r="D236" s="307"/>
      <c r="F236" s="722" t="s">
        <v>1087</v>
      </c>
      <c r="G236" s="718" t="n">
        <v>2</v>
      </c>
      <c r="H236" s="459"/>
      <c r="I236" s="483" t="n">
        <f aca="false">VLOOKUP(F236,'Рулонки компл. Амиго '!$B$7:$D$1031,3,0)</f>
        <v>78.658457955</v>
      </c>
      <c r="J236" s="483" t="n">
        <f aca="false">I236*G236</f>
        <v>157.31691591</v>
      </c>
      <c r="K236" s="483" t="n">
        <f aca="false">J236*$K$4</f>
        <v>314.63383182</v>
      </c>
      <c r="L236" s="692"/>
      <c r="M236" s="692"/>
      <c r="N236" s="0"/>
      <c r="O236" s="459"/>
      <c r="P236" s="0"/>
      <c r="Q236" s="482"/>
      <c r="R236" s="482"/>
      <c r="S236" s="666"/>
      <c r="T236" s="666"/>
      <c r="U236" s="666"/>
    </row>
    <row r="237" s="331" customFormat="true" ht="12.8" hidden="false" customHeight="false" outlineLevel="0" collapsed="false">
      <c r="B237" s="655"/>
      <c r="C237" s="479"/>
      <c r="D237" s="307"/>
      <c r="F237" s="115" t="s">
        <v>1099</v>
      </c>
      <c r="G237" s="717" t="n">
        <v>2</v>
      </c>
      <c r="H237" s="459"/>
      <c r="I237" s="483" t="n">
        <f aca="false">VLOOKUP(F237,'Рулонки компл. Амиго '!$B$7:$D$1031,3,0)</f>
        <v>168.4912042275</v>
      </c>
      <c r="J237" s="483" t="n">
        <f aca="false">I237*G237</f>
        <v>336.982408455</v>
      </c>
      <c r="K237" s="483" t="n">
        <f aca="false">J237*$K$4</f>
        <v>673.96481691</v>
      </c>
      <c r="L237" s="692"/>
      <c r="M237" s="692"/>
      <c r="N237" s="0"/>
      <c r="O237" s="459"/>
      <c r="P237" s="0"/>
      <c r="Q237" s="482"/>
      <c r="R237" s="482"/>
      <c r="S237" s="666"/>
      <c r="T237" s="666"/>
      <c r="U237" s="666"/>
    </row>
    <row r="238" s="331" customFormat="true" ht="12.8" hidden="false" customHeight="false" outlineLevel="0" collapsed="false">
      <c r="B238" s="655"/>
      <c r="C238" s="479"/>
      <c r="D238" s="307"/>
      <c r="F238" s="115" t="s">
        <v>1094</v>
      </c>
      <c r="G238" s="717" t="n">
        <v>1</v>
      </c>
      <c r="H238" s="459"/>
      <c r="I238" s="483" t="n">
        <f aca="false">VLOOKUP(F238,'Рулонки компл. Амиго '!$B$7:$D$1031,3,0)</f>
        <v>288.5288931525</v>
      </c>
      <c r="J238" s="483" t="n">
        <f aca="false">I238*G238</f>
        <v>288.5288931525</v>
      </c>
      <c r="K238" s="483" t="n">
        <f aca="false">J238*$K$4</f>
        <v>577.057786305</v>
      </c>
      <c r="L238" s="692"/>
      <c r="M238" s="692"/>
      <c r="N238" s="0"/>
      <c r="O238" s="459"/>
      <c r="P238" s="0"/>
      <c r="Q238" s="482"/>
      <c r="R238" s="482"/>
      <c r="S238" s="666"/>
      <c r="T238" s="666"/>
      <c r="U238" s="666"/>
    </row>
    <row r="239" s="331" customFormat="true" ht="12.8" hidden="false" customHeight="false" outlineLevel="0" collapsed="false">
      <c r="B239" s="655"/>
      <c r="C239" s="479"/>
      <c r="D239" s="307"/>
      <c r="F239" s="115" t="s">
        <v>1090</v>
      </c>
      <c r="G239" s="720" t="n">
        <v>1</v>
      </c>
      <c r="H239" s="459"/>
      <c r="I239" s="483" t="n">
        <f aca="false">VLOOKUP(F239,'Рулонки компл. Амиго '!$B$7:$D$1031,3,0)</f>
        <v>228.628545915</v>
      </c>
      <c r="J239" s="483" t="n">
        <f aca="false">I239*G239</f>
        <v>228.628545915</v>
      </c>
      <c r="K239" s="483" t="n">
        <f aca="false">J239*$K$4</f>
        <v>457.25709183</v>
      </c>
      <c r="L239" s="692"/>
      <c r="M239" s="692"/>
      <c r="N239" s="0"/>
      <c r="O239" s="459"/>
      <c r="P239" s="0"/>
      <c r="Q239" s="482"/>
      <c r="R239" s="482"/>
      <c r="S239" s="666"/>
      <c r="T239" s="666"/>
      <c r="U239" s="666"/>
    </row>
    <row r="240" s="331" customFormat="true" ht="12.8" hidden="false" customHeight="false" outlineLevel="0" collapsed="false">
      <c r="B240" s="655"/>
      <c r="C240" s="479"/>
      <c r="D240" s="307"/>
      <c r="F240" s="115" t="s">
        <v>1103</v>
      </c>
      <c r="G240" s="720" t="n">
        <v>1</v>
      </c>
      <c r="H240" s="459"/>
      <c r="I240" s="483" t="n">
        <f aca="false">VLOOKUP(F240,'Рулонки компл. Амиго '!$B$7:$D$1031,3,0)</f>
        <v>395.458870466</v>
      </c>
      <c r="J240" s="483" t="n">
        <f aca="false">I240*G240</f>
        <v>395.458870466</v>
      </c>
      <c r="K240" s="483" t="n">
        <f aca="false">J240*$K$4</f>
        <v>790.917740932</v>
      </c>
      <c r="L240" s="692"/>
      <c r="M240" s="692"/>
      <c r="N240" s="0"/>
      <c r="O240" s="459"/>
      <c r="P240" s="0"/>
      <c r="Q240" s="482"/>
      <c r="R240" s="482"/>
      <c r="S240" s="666"/>
      <c r="T240" s="666"/>
      <c r="U240" s="666"/>
    </row>
    <row r="241" s="490" customFormat="true" ht="12.8" hidden="false" customHeight="false" outlineLevel="0" collapsed="false">
      <c r="B241" s="693"/>
      <c r="C241" s="682"/>
      <c r="D241" s="683"/>
      <c r="F241" s="704" t="s">
        <v>1069</v>
      </c>
      <c r="G241" s="721" t="n">
        <v>2</v>
      </c>
      <c r="H241" s="491"/>
      <c r="I241" s="685" t="n">
        <f aca="false">VLOOKUP(F241,'Рулонки компл. Амиго '!$B$7:$D$1031,3,0)</f>
        <v>157.3050661875</v>
      </c>
      <c r="J241" s="685" t="n">
        <f aca="false">I241*G241</f>
        <v>314.610132375</v>
      </c>
      <c r="K241" s="685" t="n">
        <f aca="false">J241*$K$4</f>
        <v>629.22026475</v>
      </c>
      <c r="L241" s="694"/>
      <c r="M241" s="694"/>
      <c r="N241" s="489"/>
      <c r="O241" s="491"/>
      <c r="P241" s="489"/>
      <c r="Q241" s="687"/>
      <c r="R241" s="687"/>
      <c r="S241" s="688"/>
      <c r="T241" s="688"/>
      <c r="U241" s="688"/>
    </row>
    <row r="242" s="490" customFormat="true" ht="12.8" hidden="false" customHeight="false" outlineLevel="0" collapsed="false">
      <c r="B242" s="693"/>
      <c r="C242" s="682"/>
      <c r="D242" s="683"/>
      <c r="F242" s="708" t="s">
        <v>1098</v>
      </c>
      <c r="G242" s="490" t="n">
        <v>1.2</v>
      </c>
      <c r="H242" s="491" t="s">
        <v>1024</v>
      </c>
      <c r="I242" s="685" t="n">
        <f aca="false">VLOOKUP(F242,'Рулонки компл. Амиго '!$B$7:$D$1031,3,0)</f>
        <v>2520.76121428572</v>
      </c>
      <c r="J242" s="685" t="n">
        <f aca="false">I242*G242</f>
        <v>3024.91345714286</v>
      </c>
      <c r="K242" s="685" t="n">
        <f aca="false">J242*$K$4</f>
        <v>6049.82691428572</v>
      </c>
      <c r="L242" s="694"/>
      <c r="M242" s="694"/>
      <c r="N242" s="489"/>
      <c r="O242" s="491"/>
      <c r="P242" s="489"/>
      <c r="Q242" s="687"/>
      <c r="R242" s="687"/>
      <c r="S242" s="688"/>
      <c r="T242" s="688"/>
      <c r="U242" s="688"/>
    </row>
    <row r="243" s="331" customFormat="true" ht="12.8" hidden="false" customHeight="false" outlineLevel="0" collapsed="false">
      <c r="B243" s="655"/>
      <c r="C243" s="479"/>
      <c r="D243" s="307"/>
      <c r="H243" s="459"/>
      <c r="L243" s="692"/>
      <c r="M243" s="692"/>
      <c r="N243" s="0"/>
      <c r="O243" s="459"/>
      <c r="P243" s="0"/>
      <c r="Q243" s="482"/>
      <c r="R243" s="482"/>
      <c r="S243" s="666"/>
      <c r="T243" s="666"/>
      <c r="U243" s="666"/>
    </row>
    <row r="244" s="691" customFormat="true" ht="21.05" hidden="false" customHeight="false" outlineLevel="0" collapsed="false">
      <c r="A244" s="246" t="str">
        <f aca="false">"Рул - "&amp;B244</f>
        <v>Рул - 25</v>
      </c>
      <c r="B244" s="655" t="n">
        <v>25</v>
      </c>
      <c r="C244" s="690" t="s">
        <v>1002</v>
      </c>
      <c r="D244" s="307" t="s">
        <v>1104</v>
      </c>
      <c r="E244" s="691" t="n">
        <v>1</v>
      </c>
      <c r="F244" s="691" t="s">
        <v>1002</v>
      </c>
      <c r="H244" s="680"/>
      <c r="L244" s="692" t="n">
        <f aca="false">SUM(K245:K255)</f>
        <v>3952.7792979708</v>
      </c>
      <c r="M244" s="694" t="n">
        <f aca="false">SUM(K256:K260)</f>
        <v>13015.4034897086</v>
      </c>
      <c r="N244" s="0"/>
      <c r="O244" s="680"/>
      <c r="P244" s="115" t="s">
        <v>1084</v>
      </c>
      <c r="Q244" s="707"/>
      <c r="R244" s="707"/>
      <c r="S244" s="696" t="n">
        <v>1</v>
      </c>
      <c r="T244" s="696"/>
      <c r="U244" s="332" t="s">
        <v>824</v>
      </c>
    </row>
    <row r="245" s="331" customFormat="true" ht="12.8" hidden="false" customHeight="false" outlineLevel="0" collapsed="false">
      <c r="B245" s="655"/>
      <c r="C245" s="479"/>
      <c r="D245" s="307"/>
      <c r="F245" s="725" t="s">
        <v>1085</v>
      </c>
      <c r="G245" s="717" t="n">
        <v>1</v>
      </c>
      <c r="H245" s="459"/>
      <c r="I245" s="483" t="n">
        <f aca="false">VLOOKUP(F245,'Рулонки компл. Амиго '!$B$7:$D$1031,3,0)</f>
        <v>195.3426754125</v>
      </c>
      <c r="J245" s="483" t="n">
        <f aca="false">I245*G245</f>
        <v>195.3426754125</v>
      </c>
      <c r="K245" s="483" t="n">
        <f aca="false">J245*$K$4</f>
        <v>390.685350825</v>
      </c>
      <c r="L245" s="692"/>
      <c r="M245" s="692"/>
      <c r="N245" s="0"/>
      <c r="O245" s="459"/>
      <c r="P245" s="0"/>
      <c r="Q245" s="482"/>
      <c r="R245" s="482"/>
      <c r="S245" s="666"/>
      <c r="T245" s="666"/>
      <c r="U245" s="666"/>
    </row>
    <row r="246" s="331" customFormat="true" ht="12.8" hidden="false" customHeight="false" outlineLevel="0" collapsed="false">
      <c r="B246" s="655"/>
      <c r="C246" s="479"/>
      <c r="D246" s="307"/>
      <c r="F246" s="115" t="s">
        <v>1086</v>
      </c>
      <c r="G246" s="717" t="n">
        <v>1</v>
      </c>
      <c r="H246" s="459"/>
      <c r="I246" s="483" t="n">
        <f aca="false">VLOOKUP(F246,'Рулонки компл. Амиго '!$B$7:$D$1031,3,0)</f>
        <v>389.33448246</v>
      </c>
      <c r="J246" s="483" t="n">
        <f aca="false">I246*G246</f>
        <v>389.33448246</v>
      </c>
      <c r="K246" s="483" t="n">
        <f aca="false">J246*$K$4</f>
        <v>778.66896492</v>
      </c>
      <c r="L246" s="692"/>
      <c r="M246" s="692"/>
      <c r="N246" s="0"/>
      <c r="O246" s="459"/>
      <c r="P246" s="0"/>
      <c r="Q246" s="482"/>
      <c r="R246" s="482"/>
      <c r="S246" s="666"/>
      <c r="T246" s="666"/>
      <c r="U246" s="666"/>
    </row>
    <row r="247" s="331" customFormat="true" ht="12.8" hidden="false" customHeight="false" outlineLevel="0" collapsed="false">
      <c r="B247" s="655"/>
      <c r="C247" s="479"/>
      <c r="D247" s="307"/>
      <c r="F247" s="115" t="s">
        <v>1105</v>
      </c>
      <c r="G247" s="719" t="n">
        <v>1</v>
      </c>
      <c r="H247" s="459"/>
      <c r="I247" s="483" t="n">
        <f aca="false">VLOOKUP(F247,'Рулонки компл. Амиго '!$B$7:$D$1031,3,0)</f>
        <v>214.0889364075</v>
      </c>
      <c r="J247" s="483" t="n">
        <f aca="false">I247*G247</f>
        <v>214.0889364075</v>
      </c>
      <c r="K247" s="483" t="n">
        <f aca="false">J247*$K$4</f>
        <v>428.177872815</v>
      </c>
      <c r="L247" s="692"/>
      <c r="M247" s="692"/>
      <c r="N247" s="0"/>
      <c r="O247" s="459"/>
      <c r="P247" s="0"/>
      <c r="Q247" s="482"/>
      <c r="R247" s="482"/>
      <c r="S247" s="666"/>
      <c r="T247" s="666"/>
      <c r="U247" s="666"/>
    </row>
    <row r="248" s="331" customFormat="true" ht="12.8" hidden="false" customHeight="false" outlineLevel="0" collapsed="false">
      <c r="B248" s="655"/>
      <c r="C248" s="479"/>
      <c r="D248" s="307"/>
      <c r="F248" s="115" t="s">
        <v>1106</v>
      </c>
      <c r="G248" s="718" t="n">
        <v>1</v>
      </c>
      <c r="H248" s="459"/>
      <c r="I248" s="483" t="n">
        <f aca="false">VLOOKUP(F248,'Рулонки компл. Амиго '!$B$7:$D$1031,3,0)</f>
        <v>214.0889364075</v>
      </c>
      <c r="J248" s="483" t="n">
        <f aca="false">I248*G248</f>
        <v>214.0889364075</v>
      </c>
      <c r="K248" s="483" t="n">
        <f aca="false">J248*$K$4</f>
        <v>428.177872815</v>
      </c>
      <c r="L248" s="692"/>
      <c r="M248" s="692"/>
      <c r="N248" s="0"/>
      <c r="O248" s="459"/>
      <c r="P248" s="0"/>
      <c r="Q248" s="482"/>
      <c r="R248" s="482"/>
      <c r="S248" s="666"/>
      <c r="T248" s="666"/>
      <c r="U248" s="666"/>
    </row>
    <row r="249" s="331" customFormat="true" ht="12.8" hidden="false" customHeight="false" outlineLevel="0" collapsed="false">
      <c r="B249" s="655"/>
      <c r="C249" s="479"/>
      <c r="D249" s="307"/>
      <c r="F249" s="115" t="s">
        <v>1107</v>
      </c>
      <c r="G249" s="719" t="n">
        <v>2</v>
      </c>
      <c r="H249" s="459"/>
      <c r="I249" s="483" t="n">
        <f aca="false">VLOOKUP(F249,'Рулонки компл. Амиго '!$B$7:$D$1031,3,0)</f>
        <v>155.681654205</v>
      </c>
      <c r="J249" s="483" t="n">
        <f aca="false">I249*G249</f>
        <v>311.36330841</v>
      </c>
      <c r="K249" s="483" t="n">
        <f aca="false">J249*$K$4</f>
        <v>622.72661682</v>
      </c>
      <c r="L249" s="692"/>
      <c r="M249" s="692"/>
      <c r="N249" s="0"/>
      <c r="O249" s="459"/>
      <c r="P249" s="0"/>
      <c r="Q249" s="482"/>
      <c r="R249" s="482"/>
      <c r="S249" s="666"/>
      <c r="T249" s="666"/>
      <c r="U249" s="666"/>
    </row>
    <row r="250" s="331" customFormat="true" ht="12.8" hidden="false" customHeight="false" outlineLevel="0" collapsed="false">
      <c r="B250" s="655"/>
      <c r="C250" s="479"/>
      <c r="D250" s="307"/>
      <c r="F250" s="115" t="s">
        <v>1088</v>
      </c>
      <c r="G250" s="719" t="n">
        <v>1</v>
      </c>
      <c r="H250" s="459"/>
      <c r="I250" s="483" t="n">
        <f aca="false">VLOOKUP(F250,'Рулонки компл. Амиго '!$B$7:$D$1031,3,0)</f>
        <v>38.4523495125</v>
      </c>
      <c r="J250" s="483" t="n">
        <f aca="false">I250*G250</f>
        <v>38.4523495125</v>
      </c>
      <c r="K250" s="483" t="n">
        <f aca="false">J250*$K$4</f>
        <v>76.904699025</v>
      </c>
      <c r="L250" s="692"/>
      <c r="M250" s="692"/>
      <c r="N250" s="0"/>
      <c r="O250" s="459"/>
      <c r="P250" s="0"/>
      <c r="Q250" s="482"/>
      <c r="R250" s="482"/>
      <c r="S250" s="666"/>
      <c r="T250" s="666"/>
      <c r="U250" s="666"/>
    </row>
    <row r="251" s="331" customFormat="true" ht="12.8" hidden="false" customHeight="false" outlineLevel="0" collapsed="false">
      <c r="B251" s="655"/>
      <c r="C251" s="479"/>
      <c r="D251" s="307"/>
      <c r="F251" s="115" t="s">
        <v>1089</v>
      </c>
      <c r="G251" s="719" t="n">
        <v>2</v>
      </c>
      <c r="H251" s="459"/>
      <c r="I251" s="483" t="n">
        <f aca="false">VLOOKUP(F251,'Рулонки компл. Амиго '!$B$7:$D$1031,3,0)</f>
        <v>75.530131215</v>
      </c>
      <c r="J251" s="483" t="n">
        <f aca="false">I251*G251</f>
        <v>151.06026243</v>
      </c>
      <c r="K251" s="483" t="n">
        <f aca="false">J251*$K$4</f>
        <v>302.12052486</v>
      </c>
      <c r="L251" s="692"/>
      <c r="M251" s="692"/>
      <c r="N251" s="0"/>
      <c r="O251" s="459"/>
      <c r="P251" s="0"/>
      <c r="Q251" s="482"/>
      <c r="R251" s="482"/>
      <c r="S251" s="666"/>
      <c r="T251" s="666"/>
      <c r="U251" s="666"/>
    </row>
    <row r="252" s="331" customFormat="true" ht="12.8" hidden="false" customHeight="false" outlineLevel="0" collapsed="false">
      <c r="B252" s="655"/>
      <c r="C252" s="479"/>
      <c r="D252" s="307"/>
      <c r="F252" s="115" t="s">
        <v>1090</v>
      </c>
      <c r="G252" s="717" t="n">
        <v>1</v>
      </c>
      <c r="H252" s="459"/>
      <c r="I252" s="483" t="n">
        <f aca="false">VLOOKUP(F252,'Рулонки компл. Амиго '!$B$7:$D$1031,3,0)</f>
        <v>228.628545915</v>
      </c>
      <c r="J252" s="483" t="n">
        <f aca="false">I252*G252</f>
        <v>228.628545915</v>
      </c>
      <c r="K252" s="483" t="n">
        <f aca="false">J252*$K$4</f>
        <v>457.25709183</v>
      </c>
      <c r="L252" s="692"/>
      <c r="M252" s="692"/>
      <c r="N252" s="0"/>
      <c r="O252" s="459"/>
      <c r="P252" s="0"/>
      <c r="Q252" s="482"/>
      <c r="R252" s="482"/>
      <c r="S252" s="666"/>
      <c r="T252" s="666"/>
      <c r="U252" s="666"/>
    </row>
    <row r="253" s="331" customFormat="true" ht="12.8" hidden="false" customHeight="false" outlineLevel="0" collapsed="false">
      <c r="B253" s="655"/>
      <c r="C253" s="479"/>
      <c r="D253" s="307"/>
      <c r="F253" s="115" t="s">
        <v>1108</v>
      </c>
      <c r="G253" s="717" t="n">
        <v>4</v>
      </c>
      <c r="H253" s="459"/>
      <c r="I253" s="483" t="n">
        <f aca="false">VLOOKUP(F253,'Рулонки компл. Амиго '!$B$7:$D$1031,3,0)</f>
        <v>3.02005</v>
      </c>
      <c r="J253" s="483" t="n">
        <f aca="false">I253*G253</f>
        <v>12.0802</v>
      </c>
      <c r="K253" s="483" t="n">
        <f aca="false">J253*$K$4</f>
        <v>24.1604</v>
      </c>
      <c r="L253" s="692"/>
      <c r="M253" s="692"/>
      <c r="N253" s="0"/>
      <c r="O253" s="459"/>
      <c r="P253" s="0"/>
      <c r="Q253" s="482"/>
      <c r="R253" s="482"/>
      <c r="S253" s="666"/>
      <c r="T253" s="666"/>
      <c r="U253" s="666"/>
    </row>
    <row r="254" s="331" customFormat="true" ht="12.8" hidden="false" customHeight="false" outlineLevel="0" collapsed="false">
      <c r="B254" s="655"/>
      <c r="C254" s="479"/>
      <c r="D254" s="307"/>
      <c r="F254" s="115" t="s">
        <v>1091</v>
      </c>
      <c r="G254" s="720" t="n">
        <v>1</v>
      </c>
      <c r="H254" s="459"/>
      <c r="I254" s="483" t="n">
        <f aca="false">VLOOKUP(F254,'Рулонки компл. Амиго '!$B$7:$D$1031,3,0)</f>
        <v>163.5308201054</v>
      </c>
      <c r="J254" s="483" t="n">
        <f aca="false">I254*G254</f>
        <v>163.5308201054</v>
      </c>
      <c r="K254" s="483" t="n">
        <f aca="false">J254*$K$4</f>
        <v>327.0616402108</v>
      </c>
      <c r="L254" s="692"/>
      <c r="M254" s="692"/>
      <c r="N254" s="0"/>
      <c r="O254" s="459"/>
      <c r="P254" s="0"/>
      <c r="Q254" s="482"/>
      <c r="R254" s="482"/>
      <c r="S254" s="666"/>
      <c r="T254" s="666"/>
      <c r="U254" s="666"/>
    </row>
    <row r="255" s="331" customFormat="true" ht="12.8" hidden="false" customHeight="false" outlineLevel="0" collapsed="false">
      <c r="B255" s="655"/>
      <c r="C255" s="479"/>
      <c r="D255" s="307"/>
      <c r="F255" s="728" t="s">
        <v>1109</v>
      </c>
      <c r="G255" s="719" t="n">
        <v>2</v>
      </c>
      <c r="H255" s="459"/>
      <c r="I255" s="483" t="n">
        <f aca="false">VLOOKUP(F255,'Рулонки компл. Амиго '!$B$7:$D$1031,3,0)</f>
        <v>29.2095659625</v>
      </c>
      <c r="J255" s="483" t="n">
        <f aca="false">I255*G255</f>
        <v>58.419131925</v>
      </c>
      <c r="K255" s="483" t="n">
        <f aca="false">J255*$K$4</f>
        <v>116.83826385</v>
      </c>
      <c r="L255" s="692"/>
      <c r="M255" s="692"/>
      <c r="N255" s="0"/>
      <c r="O255" s="459"/>
      <c r="P255" s="0"/>
      <c r="Q255" s="482"/>
      <c r="R255" s="482"/>
      <c r="S255" s="666"/>
      <c r="T255" s="666"/>
      <c r="U255" s="666"/>
    </row>
    <row r="256" s="490" customFormat="true" ht="12.8" hidden="false" customHeight="false" outlineLevel="0" collapsed="false">
      <c r="B256" s="693"/>
      <c r="C256" s="682"/>
      <c r="D256" s="683"/>
      <c r="F256" s="708" t="s">
        <v>1110</v>
      </c>
      <c r="G256" s="721" t="n">
        <v>2</v>
      </c>
      <c r="H256" s="491"/>
      <c r="I256" s="685" t="n">
        <f aca="false">VLOOKUP(F256,'Рулонки компл. Амиго '!$B$7:$D$1031,3,0)</f>
        <v>535.3349133825</v>
      </c>
      <c r="J256" s="685" t="n">
        <f aca="false">I256*G256</f>
        <v>1070.669826765</v>
      </c>
      <c r="K256" s="685" t="n">
        <f aca="false">J256*$K$4</f>
        <v>2141.33965353</v>
      </c>
      <c r="L256" s="694"/>
      <c r="M256" s="694"/>
      <c r="N256" s="489"/>
      <c r="O256" s="491"/>
      <c r="P256" s="489"/>
      <c r="Q256" s="687"/>
      <c r="R256" s="687"/>
      <c r="S256" s="688"/>
      <c r="T256" s="688"/>
      <c r="U256" s="688"/>
    </row>
    <row r="257" s="490" customFormat="true" ht="12.8" hidden="false" customHeight="false" outlineLevel="0" collapsed="false">
      <c r="B257" s="693"/>
      <c r="C257" s="682"/>
      <c r="D257" s="683"/>
      <c r="F257" s="704" t="s">
        <v>1069</v>
      </c>
      <c r="G257" s="729" t="n">
        <v>2</v>
      </c>
      <c r="H257" s="491"/>
      <c r="I257" s="685" t="n">
        <f aca="false">VLOOKUP(F257,'Рулонки компл. Амиго '!$B$7:$D$1031,3,0)</f>
        <v>157.3050661875</v>
      </c>
      <c r="J257" s="685" t="n">
        <f aca="false">I257*G257</f>
        <v>314.610132375</v>
      </c>
      <c r="K257" s="685" t="n">
        <f aca="false">J257*$K$4</f>
        <v>629.22026475</v>
      </c>
      <c r="L257" s="694"/>
      <c r="M257" s="694"/>
      <c r="N257" s="489"/>
      <c r="O257" s="491"/>
      <c r="P257" s="489"/>
      <c r="Q257" s="687"/>
      <c r="R257" s="687"/>
      <c r="S257" s="688"/>
      <c r="T257" s="688"/>
      <c r="U257" s="688"/>
    </row>
    <row r="258" s="490" customFormat="true" ht="12.8" hidden="false" customHeight="false" outlineLevel="0" collapsed="false">
      <c r="B258" s="693"/>
      <c r="C258" s="682"/>
      <c r="D258" s="683"/>
      <c r="F258" s="708" t="s">
        <v>1084</v>
      </c>
      <c r="G258" s="490" t="n">
        <v>1.2</v>
      </c>
      <c r="H258" s="491" t="s">
        <v>1024</v>
      </c>
      <c r="I258" s="685" t="n">
        <f aca="false">VLOOKUP(F258,'Рулонки компл. Амиго '!$B$7:$D$1031,3,0)</f>
        <v>1079.62142857143</v>
      </c>
      <c r="J258" s="685" t="n">
        <f aca="false">I258*G258</f>
        <v>1295.54571428572</v>
      </c>
      <c r="K258" s="685" t="n">
        <f aca="false">J258*$K$4</f>
        <v>2591.09142857143</v>
      </c>
      <c r="L258" s="694"/>
      <c r="M258" s="694"/>
      <c r="N258" s="489"/>
      <c r="O258" s="491"/>
      <c r="P258" s="489"/>
      <c r="Q258" s="687"/>
      <c r="R258" s="687"/>
      <c r="S258" s="688"/>
      <c r="T258" s="688"/>
      <c r="U258" s="688"/>
    </row>
    <row r="259" s="490" customFormat="true" ht="12.8" hidden="false" customHeight="false" outlineLevel="0" collapsed="false">
      <c r="B259" s="693"/>
      <c r="C259" s="682"/>
      <c r="D259" s="683"/>
      <c r="F259" s="708" t="s">
        <v>1111</v>
      </c>
      <c r="G259" s="490" t="n">
        <v>1.2</v>
      </c>
      <c r="H259" s="491" t="s">
        <v>1024</v>
      </c>
      <c r="I259" s="685" t="n">
        <f aca="false">VLOOKUP(F259,'Рулонки компл. Амиго '!$B$7:$D$1031,3,0)</f>
        <v>1207.02914285715</v>
      </c>
      <c r="J259" s="685" t="n">
        <f aca="false">I259*G259</f>
        <v>1448.43497142858</v>
      </c>
      <c r="K259" s="685" t="n">
        <f aca="false">J259*$K$4</f>
        <v>2896.86994285715</v>
      </c>
      <c r="L259" s="694"/>
      <c r="M259" s="694"/>
      <c r="N259" s="489"/>
      <c r="O259" s="491"/>
      <c r="P259" s="489"/>
      <c r="Q259" s="687"/>
      <c r="R259" s="687"/>
      <c r="S259" s="688"/>
      <c r="T259" s="688"/>
      <c r="U259" s="688"/>
    </row>
    <row r="260" s="490" customFormat="true" ht="12.8" hidden="false" customHeight="false" outlineLevel="0" collapsed="false">
      <c r="B260" s="693"/>
      <c r="C260" s="682"/>
      <c r="D260" s="683"/>
      <c r="F260" s="708" t="s">
        <v>1112</v>
      </c>
      <c r="G260" s="490" t="n">
        <v>1.2</v>
      </c>
      <c r="H260" s="491" t="s">
        <v>1024</v>
      </c>
      <c r="I260" s="685" t="n">
        <f aca="false">VLOOKUP(F260,'Рулонки компл. Амиго '!$B$7:$D$1031,3,0)</f>
        <v>1982.03425</v>
      </c>
      <c r="J260" s="685" t="n">
        <f aca="false">I260*G260</f>
        <v>2378.4411</v>
      </c>
      <c r="K260" s="685" t="n">
        <f aca="false">J260*$K$4</f>
        <v>4756.8822</v>
      </c>
      <c r="L260" s="694"/>
      <c r="M260" s="694"/>
      <c r="N260" s="489"/>
      <c r="O260" s="491"/>
      <c r="P260" s="489"/>
      <c r="Q260" s="687"/>
      <c r="R260" s="687"/>
      <c r="S260" s="688"/>
      <c r="T260" s="688"/>
      <c r="U260" s="688"/>
    </row>
    <row r="261" s="331" customFormat="true" ht="12.8" hidden="false" customHeight="false" outlineLevel="0" collapsed="false">
      <c r="B261" s="655"/>
      <c r="C261" s="479"/>
      <c r="D261" s="307"/>
      <c r="F261" s="730"/>
      <c r="G261" s="720"/>
      <c r="H261" s="459"/>
      <c r="L261" s="692"/>
      <c r="M261" s="692"/>
      <c r="N261" s="0"/>
      <c r="O261" s="459"/>
      <c r="P261" s="0"/>
      <c r="Q261" s="482"/>
      <c r="R261" s="482"/>
      <c r="S261" s="666"/>
      <c r="T261" s="666"/>
      <c r="U261" s="666"/>
    </row>
    <row r="262" s="691" customFormat="true" ht="21.05" hidden="false" customHeight="false" outlineLevel="0" collapsed="false">
      <c r="A262" s="246" t="str">
        <f aca="false">"Рул - "&amp;B262</f>
        <v>Рул - 26</v>
      </c>
      <c r="B262" s="655" t="n">
        <v>26</v>
      </c>
      <c r="C262" s="690" t="s">
        <v>1005</v>
      </c>
      <c r="D262" s="307" t="s">
        <v>1113</v>
      </c>
      <c r="E262" s="691" t="n">
        <v>1</v>
      </c>
      <c r="F262" s="691" t="s">
        <v>1005</v>
      </c>
      <c r="H262" s="680"/>
      <c r="L262" s="692" t="n">
        <f aca="false">SUM(K263:K272)</f>
        <v>4138.6625317642</v>
      </c>
      <c r="M262" s="694" t="n">
        <f aca="false">SUM(K273:K277)</f>
        <v>14066.35611828</v>
      </c>
      <c r="N262" s="0"/>
      <c r="O262" s="680"/>
      <c r="P262" s="115" t="s">
        <v>1093</v>
      </c>
      <c r="Q262" s="707"/>
      <c r="R262" s="707"/>
      <c r="S262" s="696" t="n">
        <v>1</v>
      </c>
      <c r="T262" s="696"/>
      <c r="U262" s="332" t="s">
        <v>824</v>
      </c>
    </row>
    <row r="263" s="331" customFormat="true" ht="12.8" hidden="false" customHeight="false" outlineLevel="0" collapsed="false">
      <c r="B263" s="655"/>
      <c r="C263" s="479"/>
      <c r="D263" s="307"/>
      <c r="F263" s="725" t="s">
        <v>1085</v>
      </c>
      <c r="G263" s="717" t="n">
        <v>1</v>
      </c>
      <c r="H263" s="459"/>
      <c r="I263" s="483" t="n">
        <f aca="false">VLOOKUP(F263,'Рулонки компл. Амиго '!$B$7:$D$1031,3,0)</f>
        <v>195.3426754125</v>
      </c>
      <c r="J263" s="483" t="n">
        <f aca="false">I263*G263</f>
        <v>195.3426754125</v>
      </c>
      <c r="K263" s="483" t="n">
        <f aca="false">J263*$K$4</f>
        <v>390.685350825</v>
      </c>
      <c r="L263" s="692"/>
      <c r="M263" s="692"/>
      <c r="N263" s="0"/>
      <c r="O263" s="459"/>
      <c r="P263" s="0"/>
      <c r="Q263" s="482"/>
      <c r="R263" s="482"/>
      <c r="S263" s="666"/>
      <c r="T263" s="666"/>
      <c r="U263" s="666"/>
    </row>
    <row r="264" s="331" customFormat="true" ht="12.8" hidden="false" customHeight="false" outlineLevel="0" collapsed="false">
      <c r="B264" s="655"/>
      <c r="C264" s="479"/>
      <c r="D264" s="307"/>
      <c r="F264" s="115" t="s">
        <v>1086</v>
      </c>
      <c r="G264" s="717" t="n">
        <v>1</v>
      </c>
      <c r="H264" s="459"/>
      <c r="I264" s="483" t="n">
        <f aca="false">VLOOKUP(F264,'Рулонки компл. Амиго '!$B$7:$D$1031,3,0)</f>
        <v>389.33448246</v>
      </c>
      <c r="J264" s="483" t="n">
        <f aca="false">I264*G264</f>
        <v>389.33448246</v>
      </c>
      <c r="K264" s="483" t="n">
        <f aca="false">J264*$K$4</f>
        <v>778.66896492</v>
      </c>
      <c r="L264" s="692"/>
      <c r="M264" s="692"/>
      <c r="N264" s="0"/>
      <c r="O264" s="459"/>
      <c r="P264" s="0"/>
      <c r="Q264" s="482"/>
      <c r="R264" s="482"/>
      <c r="S264" s="666"/>
      <c r="T264" s="666"/>
      <c r="U264" s="666"/>
    </row>
    <row r="265" s="331" customFormat="true" ht="12.8" hidden="false" customHeight="false" outlineLevel="0" collapsed="false">
      <c r="B265" s="655"/>
      <c r="C265" s="479"/>
      <c r="D265" s="307"/>
      <c r="F265" s="115" t="s">
        <v>1105</v>
      </c>
      <c r="G265" s="719" t="n">
        <v>1</v>
      </c>
      <c r="H265" s="459"/>
      <c r="I265" s="483" t="n">
        <f aca="false">VLOOKUP(F265,'Рулонки компл. Амиго '!$B$7:$D$1031,3,0)</f>
        <v>214.0889364075</v>
      </c>
      <c r="J265" s="483" t="n">
        <f aca="false">I265*G265</f>
        <v>214.0889364075</v>
      </c>
      <c r="K265" s="483" t="n">
        <f aca="false">J265*$K$4</f>
        <v>428.177872815</v>
      </c>
      <c r="L265" s="692"/>
      <c r="M265" s="692"/>
      <c r="N265" s="0"/>
      <c r="O265" s="459"/>
      <c r="P265" s="0"/>
      <c r="Q265" s="482"/>
      <c r="R265" s="482"/>
      <c r="S265" s="666"/>
      <c r="T265" s="666"/>
      <c r="U265" s="666"/>
    </row>
    <row r="266" s="331" customFormat="true" ht="12.8" hidden="false" customHeight="false" outlineLevel="0" collapsed="false">
      <c r="B266" s="655"/>
      <c r="C266" s="479"/>
      <c r="D266" s="307"/>
      <c r="F266" s="115" t="s">
        <v>1106</v>
      </c>
      <c r="G266" s="718" t="n">
        <v>1</v>
      </c>
      <c r="H266" s="459"/>
      <c r="I266" s="483" t="n">
        <f aca="false">VLOOKUP(F266,'Рулонки компл. Амиго '!$B$7:$D$1031,3,0)</f>
        <v>214.0889364075</v>
      </c>
      <c r="J266" s="483" t="n">
        <f aca="false">I266*G266</f>
        <v>214.0889364075</v>
      </c>
      <c r="K266" s="483" t="n">
        <f aca="false">J266*$K$4</f>
        <v>428.177872815</v>
      </c>
      <c r="L266" s="692"/>
      <c r="M266" s="692"/>
      <c r="N266" s="0"/>
      <c r="O266" s="459"/>
      <c r="P266" s="0"/>
      <c r="Q266" s="482"/>
      <c r="R266" s="482"/>
      <c r="S266" s="666"/>
      <c r="T266" s="666"/>
      <c r="U266" s="666"/>
    </row>
    <row r="267" s="331" customFormat="true" ht="12.8" hidden="false" customHeight="false" outlineLevel="0" collapsed="false">
      <c r="B267" s="655"/>
      <c r="C267" s="479"/>
      <c r="D267" s="307"/>
      <c r="F267" s="115" t="s">
        <v>1107</v>
      </c>
      <c r="G267" s="719" t="n">
        <v>2</v>
      </c>
      <c r="H267" s="459"/>
      <c r="I267" s="483" t="n">
        <f aca="false">VLOOKUP(F267,'Рулонки компл. Амиго '!$B$7:$D$1031,3,0)</f>
        <v>155.681654205</v>
      </c>
      <c r="J267" s="483" t="n">
        <f aca="false">I267*G267</f>
        <v>311.36330841</v>
      </c>
      <c r="K267" s="483" t="n">
        <f aca="false">J267*$K$4</f>
        <v>622.72661682</v>
      </c>
      <c r="L267" s="692"/>
      <c r="M267" s="692"/>
      <c r="N267" s="0"/>
      <c r="O267" s="459"/>
      <c r="P267" s="0"/>
      <c r="Q267" s="482"/>
      <c r="R267" s="482"/>
      <c r="S267" s="666"/>
      <c r="T267" s="666"/>
      <c r="U267" s="666"/>
    </row>
    <row r="268" s="331" customFormat="true" ht="12.8" hidden="false" customHeight="false" outlineLevel="0" collapsed="false">
      <c r="B268" s="655"/>
      <c r="C268" s="479"/>
      <c r="D268" s="307"/>
      <c r="F268" s="115" t="s">
        <v>1088</v>
      </c>
      <c r="G268" s="719" t="n">
        <v>1</v>
      </c>
      <c r="H268" s="459"/>
      <c r="I268" s="483" t="n">
        <f aca="false">VLOOKUP(F268,'Рулонки компл. Амиго '!$B$7:$D$1031,3,0)</f>
        <v>38.4523495125</v>
      </c>
      <c r="J268" s="483" t="n">
        <f aca="false">I268*G268</f>
        <v>38.4523495125</v>
      </c>
      <c r="K268" s="483" t="n">
        <f aca="false">J268*$K$4</f>
        <v>76.904699025</v>
      </c>
      <c r="L268" s="692"/>
      <c r="M268" s="692"/>
      <c r="N268" s="0"/>
      <c r="O268" s="459"/>
      <c r="P268" s="0"/>
      <c r="Q268" s="482"/>
      <c r="R268" s="482"/>
      <c r="S268" s="666"/>
      <c r="T268" s="666"/>
      <c r="U268" s="666"/>
    </row>
    <row r="269" s="331" customFormat="true" ht="12.8" hidden="false" customHeight="false" outlineLevel="0" collapsed="false">
      <c r="B269" s="655"/>
      <c r="C269" s="479"/>
      <c r="D269" s="307"/>
      <c r="F269" s="115" t="s">
        <v>1090</v>
      </c>
      <c r="G269" s="717" t="n">
        <v>1</v>
      </c>
      <c r="H269" s="459"/>
      <c r="I269" s="483" t="n">
        <f aca="false">VLOOKUP(F269,'Рулонки компл. Амиго '!$B$7:$D$1031,3,0)</f>
        <v>228.628545915</v>
      </c>
      <c r="J269" s="483" t="n">
        <f aca="false">I269*G269</f>
        <v>228.628545915</v>
      </c>
      <c r="K269" s="483" t="n">
        <f aca="false">J269*$K$4</f>
        <v>457.25709183</v>
      </c>
      <c r="L269" s="692"/>
      <c r="M269" s="692"/>
      <c r="N269" s="0"/>
      <c r="O269" s="459"/>
      <c r="P269" s="0"/>
      <c r="Q269" s="482"/>
      <c r="R269" s="482"/>
      <c r="S269" s="666"/>
      <c r="T269" s="666"/>
      <c r="U269" s="666"/>
    </row>
    <row r="270" s="331" customFormat="true" ht="12.8" hidden="false" customHeight="false" outlineLevel="0" collapsed="false">
      <c r="B270" s="655"/>
      <c r="C270" s="479"/>
      <c r="D270" s="307"/>
      <c r="F270" s="115" t="s">
        <v>1108</v>
      </c>
      <c r="G270" s="717" t="n">
        <v>4</v>
      </c>
      <c r="H270" s="459"/>
      <c r="I270" s="483" t="n">
        <f aca="false">VLOOKUP(F270,'Рулонки компл. Амиго '!$B$7:$D$1031,3,0)</f>
        <v>3.02005</v>
      </c>
      <c r="J270" s="483" t="n">
        <f aca="false">I270*G270</f>
        <v>12.0802</v>
      </c>
      <c r="K270" s="483" t="n">
        <f aca="false">J270*$K$4</f>
        <v>24.1604</v>
      </c>
      <c r="L270" s="692"/>
      <c r="M270" s="692"/>
      <c r="N270" s="0"/>
      <c r="O270" s="459"/>
      <c r="P270" s="0"/>
      <c r="Q270" s="482"/>
      <c r="R270" s="482"/>
      <c r="S270" s="666"/>
      <c r="T270" s="666"/>
      <c r="U270" s="666"/>
    </row>
    <row r="271" s="331" customFormat="true" ht="12.8" hidden="false" customHeight="false" outlineLevel="0" collapsed="false">
      <c r="B271" s="655"/>
      <c r="C271" s="479"/>
      <c r="D271" s="307"/>
      <c r="F271" s="731" t="s">
        <v>1114</v>
      </c>
      <c r="G271" s="720" t="n">
        <v>1</v>
      </c>
      <c r="H271" s="459"/>
      <c r="I271" s="483" t="n">
        <f aca="false">VLOOKUP(F271,'Рулонки компл. Амиго '!$B$7:$D$1031,3,0)</f>
        <v>407.5326994321</v>
      </c>
      <c r="J271" s="483" t="n">
        <f aca="false">I271*G271</f>
        <v>407.5326994321</v>
      </c>
      <c r="K271" s="483" t="n">
        <f aca="false">J271*$K$4</f>
        <v>815.0653988642</v>
      </c>
      <c r="L271" s="692"/>
      <c r="M271" s="692"/>
      <c r="N271" s="0"/>
      <c r="O271" s="459"/>
      <c r="P271" s="0"/>
      <c r="Q271" s="482"/>
      <c r="R271" s="482"/>
      <c r="S271" s="666"/>
      <c r="T271" s="666"/>
      <c r="U271" s="666"/>
    </row>
    <row r="272" s="331" customFormat="true" ht="12.8" hidden="false" customHeight="false" outlineLevel="0" collapsed="false">
      <c r="B272" s="655"/>
      <c r="C272" s="479"/>
      <c r="D272" s="307"/>
      <c r="F272" s="728" t="s">
        <v>1109</v>
      </c>
      <c r="G272" s="719" t="n">
        <v>2</v>
      </c>
      <c r="H272" s="459"/>
      <c r="I272" s="483" t="n">
        <f aca="false">VLOOKUP(F272,'Рулонки компл. Амиго '!$B$7:$D$1031,3,0)</f>
        <v>29.2095659625</v>
      </c>
      <c r="J272" s="483" t="n">
        <f aca="false">I272*G272</f>
        <v>58.419131925</v>
      </c>
      <c r="K272" s="483" t="n">
        <f aca="false">J272*$K$4</f>
        <v>116.83826385</v>
      </c>
      <c r="L272" s="692"/>
      <c r="M272" s="692"/>
      <c r="N272" s="0"/>
      <c r="O272" s="459"/>
      <c r="P272" s="0"/>
      <c r="Q272" s="482"/>
      <c r="R272" s="482"/>
      <c r="S272" s="666"/>
      <c r="T272" s="666"/>
      <c r="U272" s="666"/>
    </row>
    <row r="273" s="490" customFormat="true" ht="12.8" hidden="false" customHeight="false" outlineLevel="0" collapsed="false">
      <c r="B273" s="693"/>
      <c r="C273" s="682"/>
      <c r="D273" s="683"/>
      <c r="F273" s="708" t="s">
        <v>1110</v>
      </c>
      <c r="G273" s="721" t="n">
        <v>2</v>
      </c>
      <c r="H273" s="491"/>
      <c r="I273" s="685" t="n">
        <f aca="false">VLOOKUP(F273,'Рулонки компл. Амиго '!$B$7:$D$1031,3,0)</f>
        <v>535.3349133825</v>
      </c>
      <c r="J273" s="685" t="n">
        <f aca="false">I273*G273</f>
        <v>1070.669826765</v>
      </c>
      <c r="K273" s="685" t="n">
        <f aca="false">J273*$K$4</f>
        <v>2141.33965353</v>
      </c>
      <c r="L273" s="694"/>
      <c r="M273" s="694"/>
      <c r="N273" s="489"/>
      <c r="O273" s="491"/>
      <c r="P273" s="489"/>
      <c r="Q273" s="687"/>
      <c r="R273" s="687"/>
      <c r="S273" s="688"/>
      <c r="T273" s="688"/>
      <c r="U273" s="688"/>
    </row>
    <row r="274" s="490" customFormat="true" ht="12.8" hidden="false" customHeight="false" outlineLevel="0" collapsed="false">
      <c r="B274" s="693"/>
      <c r="C274" s="682"/>
      <c r="D274" s="683"/>
      <c r="F274" s="704" t="s">
        <v>1069</v>
      </c>
      <c r="G274" s="729" t="n">
        <v>2</v>
      </c>
      <c r="H274" s="491"/>
      <c r="I274" s="685" t="n">
        <f aca="false">VLOOKUP(F274,'Рулонки компл. Амиго '!$B$7:$D$1031,3,0)</f>
        <v>157.3050661875</v>
      </c>
      <c r="J274" s="685" t="n">
        <f aca="false">I274*G274</f>
        <v>314.610132375</v>
      </c>
      <c r="K274" s="685" t="n">
        <f aca="false">J274*$K$4</f>
        <v>629.22026475</v>
      </c>
      <c r="L274" s="694"/>
      <c r="M274" s="694"/>
      <c r="N274" s="489"/>
      <c r="O274" s="491"/>
      <c r="P274" s="489"/>
      <c r="Q274" s="687"/>
      <c r="R274" s="687"/>
      <c r="S274" s="688"/>
      <c r="T274" s="688"/>
      <c r="U274" s="688"/>
    </row>
    <row r="275" s="490" customFormat="true" ht="12.8" hidden="false" customHeight="false" outlineLevel="0" collapsed="false">
      <c r="B275" s="693"/>
      <c r="C275" s="682"/>
      <c r="D275" s="683"/>
      <c r="F275" s="708" t="s">
        <v>1093</v>
      </c>
      <c r="G275" s="490" t="n">
        <v>1.2</v>
      </c>
      <c r="H275" s="491" t="s">
        <v>1024</v>
      </c>
      <c r="I275" s="685" t="n">
        <f aca="false">VLOOKUP(F275,'Рулонки компл. Амиго '!$B$7:$D$1031,3,0)</f>
        <v>1517.51835714285</v>
      </c>
      <c r="J275" s="685" t="n">
        <f aca="false">I275*G275</f>
        <v>1821.02202857142</v>
      </c>
      <c r="K275" s="685" t="n">
        <f aca="false">J275*$K$4</f>
        <v>3642.04405714285</v>
      </c>
      <c r="L275" s="694"/>
      <c r="M275" s="694"/>
      <c r="N275" s="489"/>
      <c r="O275" s="491"/>
      <c r="P275" s="489"/>
      <c r="Q275" s="687"/>
      <c r="R275" s="687"/>
      <c r="S275" s="688"/>
      <c r="T275" s="688"/>
      <c r="U275" s="688"/>
    </row>
    <row r="276" s="490" customFormat="true" ht="12.8" hidden="false" customHeight="false" outlineLevel="0" collapsed="false">
      <c r="B276" s="693"/>
      <c r="C276" s="682"/>
      <c r="D276" s="683"/>
      <c r="F276" s="708" t="s">
        <v>1111</v>
      </c>
      <c r="G276" s="490" t="n">
        <v>1.2</v>
      </c>
      <c r="H276" s="491" t="s">
        <v>1024</v>
      </c>
      <c r="I276" s="685" t="n">
        <f aca="false">VLOOKUP(F276,'Рулонки компл. Амиго '!$B$7:$D$1031,3,0)</f>
        <v>1207.02914285715</v>
      </c>
      <c r="J276" s="685" t="n">
        <f aca="false">I276*G276</f>
        <v>1448.43497142858</v>
      </c>
      <c r="K276" s="685" t="n">
        <f aca="false">J276*$K$4</f>
        <v>2896.86994285715</v>
      </c>
      <c r="L276" s="694"/>
      <c r="M276" s="694"/>
      <c r="N276" s="489"/>
      <c r="O276" s="491"/>
      <c r="P276" s="489"/>
      <c r="Q276" s="687"/>
      <c r="R276" s="687"/>
      <c r="S276" s="688"/>
      <c r="T276" s="688"/>
      <c r="U276" s="688"/>
    </row>
    <row r="277" s="490" customFormat="true" ht="12.8" hidden="false" customHeight="false" outlineLevel="0" collapsed="false">
      <c r="B277" s="693"/>
      <c r="C277" s="682"/>
      <c r="D277" s="683"/>
      <c r="F277" s="708" t="s">
        <v>1112</v>
      </c>
      <c r="G277" s="490" t="n">
        <v>1.2</v>
      </c>
      <c r="H277" s="491" t="s">
        <v>1024</v>
      </c>
      <c r="I277" s="685" t="n">
        <f aca="false">VLOOKUP(F277,'Рулонки компл. Амиго '!$B$7:$D$1031,3,0)</f>
        <v>1982.03425</v>
      </c>
      <c r="J277" s="685" t="n">
        <f aca="false">I277*G277</f>
        <v>2378.4411</v>
      </c>
      <c r="K277" s="685" t="n">
        <f aca="false">J277*$K$4</f>
        <v>4756.8822</v>
      </c>
      <c r="L277" s="694"/>
      <c r="M277" s="694"/>
      <c r="N277" s="489"/>
      <c r="O277" s="491"/>
      <c r="P277" s="489"/>
      <c r="Q277" s="687"/>
      <c r="R277" s="687"/>
      <c r="S277" s="688"/>
      <c r="T277" s="688"/>
      <c r="U277" s="688"/>
    </row>
    <row r="278" s="331" customFormat="true" ht="12.8" hidden="false" customHeight="false" outlineLevel="0" collapsed="false">
      <c r="B278" s="655"/>
      <c r="C278" s="479"/>
      <c r="D278" s="307"/>
      <c r="H278" s="459"/>
      <c r="L278" s="692"/>
      <c r="M278" s="692"/>
      <c r="N278" s="0"/>
      <c r="O278" s="459"/>
      <c r="P278" s="0"/>
      <c r="Q278" s="482"/>
      <c r="R278" s="482"/>
      <c r="S278" s="666"/>
      <c r="T278" s="666"/>
      <c r="U278" s="666"/>
    </row>
    <row r="279" s="691" customFormat="true" ht="21.05" hidden="false" customHeight="false" outlineLevel="0" collapsed="false">
      <c r="A279" s="246" t="str">
        <f aca="false">"Рул - "&amp;B279</f>
        <v>Рул - 27</v>
      </c>
      <c r="B279" s="655" t="n">
        <v>27</v>
      </c>
      <c r="C279" s="690" t="s">
        <v>1007</v>
      </c>
      <c r="D279" s="307" t="s">
        <v>1115</v>
      </c>
      <c r="E279" s="691" t="n">
        <v>1</v>
      </c>
      <c r="F279" s="691" t="s">
        <v>1007</v>
      </c>
      <c r="H279" s="680"/>
      <c r="L279" s="692" t="n">
        <f aca="false">SUM(K280:K290)</f>
        <v>5251.189912012</v>
      </c>
      <c r="M279" s="694" t="n">
        <f aca="false">SUM(K291:K295)</f>
        <v>16474.1389754229</v>
      </c>
      <c r="N279" s="0"/>
      <c r="O279" s="680"/>
      <c r="P279" s="115" t="s">
        <v>1098</v>
      </c>
      <c r="Q279" s="707"/>
      <c r="R279" s="707"/>
      <c r="S279" s="696" t="n">
        <v>1</v>
      </c>
      <c r="T279" s="696"/>
      <c r="U279" s="332" t="s">
        <v>824</v>
      </c>
    </row>
    <row r="280" s="331" customFormat="true" ht="12.8" hidden="false" customHeight="false" outlineLevel="0" collapsed="false">
      <c r="B280" s="655"/>
      <c r="C280" s="479"/>
      <c r="D280" s="307"/>
      <c r="F280" s="725" t="s">
        <v>1085</v>
      </c>
      <c r="G280" s="718" t="n">
        <v>1</v>
      </c>
      <c r="H280" s="459"/>
      <c r="I280" s="483" t="n">
        <f aca="false">VLOOKUP(F280,'Рулонки компл. Амиго '!$B$7:$D$1031,3,0)</f>
        <v>195.3426754125</v>
      </c>
      <c r="J280" s="483" t="n">
        <f aca="false">I280*G280</f>
        <v>195.3426754125</v>
      </c>
      <c r="K280" s="483" t="n">
        <f aca="false">J280*$K$4</f>
        <v>390.685350825</v>
      </c>
      <c r="L280" s="692"/>
      <c r="M280" s="692"/>
      <c r="N280" s="0"/>
      <c r="O280" s="459"/>
      <c r="P280" s="0"/>
      <c r="Q280" s="482"/>
      <c r="R280" s="482"/>
      <c r="S280" s="666"/>
      <c r="T280" s="666"/>
      <c r="U280" s="666"/>
    </row>
    <row r="281" s="331" customFormat="true" ht="12.8" hidden="false" customHeight="false" outlineLevel="0" collapsed="false">
      <c r="B281" s="655"/>
      <c r="C281" s="479"/>
      <c r="D281" s="307"/>
      <c r="F281" s="115" t="s">
        <v>1086</v>
      </c>
      <c r="G281" s="718" t="n">
        <v>1</v>
      </c>
      <c r="H281" s="459"/>
      <c r="I281" s="483" t="n">
        <f aca="false">VLOOKUP(F281,'Рулонки компл. Амиго '!$B$7:$D$1031,3,0)</f>
        <v>389.33448246</v>
      </c>
      <c r="J281" s="483" t="n">
        <f aca="false">I281*G281</f>
        <v>389.33448246</v>
      </c>
      <c r="K281" s="483" t="n">
        <f aca="false">J281*$K$4</f>
        <v>778.66896492</v>
      </c>
      <c r="L281" s="692"/>
      <c r="M281" s="692"/>
      <c r="N281" s="0"/>
      <c r="O281" s="459"/>
      <c r="P281" s="0"/>
      <c r="Q281" s="482"/>
      <c r="R281" s="482"/>
      <c r="S281" s="666"/>
      <c r="T281" s="666"/>
      <c r="U281" s="666"/>
    </row>
    <row r="282" s="331" customFormat="true" ht="12.8" hidden="false" customHeight="false" outlineLevel="0" collapsed="false">
      <c r="B282" s="655"/>
      <c r="C282" s="479"/>
      <c r="D282" s="307"/>
      <c r="F282" s="115" t="s">
        <v>1105</v>
      </c>
      <c r="G282" s="719" t="n">
        <v>1</v>
      </c>
      <c r="H282" s="459"/>
      <c r="I282" s="483" t="n">
        <f aca="false">VLOOKUP(F282,'Рулонки компл. Амиго '!$B$7:$D$1031,3,0)</f>
        <v>214.0889364075</v>
      </c>
      <c r="J282" s="483" t="n">
        <f aca="false">I282*G282</f>
        <v>214.0889364075</v>
      </c>
      <c r="K282" s="483" t="n">
        <f aca="false">J282*$K$4</f>
        <v>428.177872815</v>
      </c>
      <c r="L282" s="692"/>
      <c r="M282" s="692"/>
      <c r="N282" s="0"/>
      <c r="O282" s="459"/>
      <c r="P282" s="0"/>
      <c r="Q282" s="482"/>
      <c r="R282" s="482"/>
      <c r="S282" s="666"/>
      <c r="T282" s="666"/>
      <c r="U282" s="666"/>
    </row>
    <row r="283" s="331" customFormat="true" ht="12.8" hidden="false" customHeight="false" outlineLevel="0" collapsed="false">
      <c r="B283" s="655"/>
      <c r="C283" s="479"/>
      <c r="D283" s="307"/>
      <c r="F283" s="115" t="s">
        <v>1106</v>
      </c>
      <c r="G283" s="718" t="n">
        <v>1</v>
      </c>
      <c r="H283" s="459"/>
      <c r="I283" s="483" t="n">
        <f aca="false">VLOOKUP(F283,'Рулонки компл. Амиго '!$B$7:$D$1031,3,0)</f>
        <v>214.0889364075</v>
      </c>
      <c r="J283" s="483" t="n">
        <f aca="false">I283*G283</f>
        <v>214.0889364075</v>
      </c>
      <c r="K283" s="483" t="n">
        <f aca="false">J283*$K$4</f>
        <v>428.177872815</v>
      </c>
      <c r="L283" s="692"/>
      <c r="M283" s="692"/>
      <c r="N283" s="0"/>
      <c r="O283" s="459"/>
      <c r="P283" s="0"/>
      <c r="Q283" s="482"/>
      <c r="R283" s="482"/>
      <c r="S283" s="666"/>
      <c r="T283" s="666"/>
      <c r="U283" s="666"/>
    </row>
    <row r="284" s="331" customFormat="true" ht="12.8" hidden="false" customHeight="false" outlineLevel="0" collapsed="false">
      <c r="B284" s="655"/>
      <c r="C284" s="479"/>
      <c r="D284" s="307"/>
      <c r="F284" s="115" t="s">
        <v>1107</v>
      </c>
      <c r="G284" s="719" t="n">
        <v>2</v>
      </c>
      <c r="H284" s="459"/>
      <c r="I284" s="483" t="n">
        <f aca="false">VLOOKUP(F284,'Рулонки компл. Амиго '!$B$7:$D$1031,3,0)</f>
        <v>155.681654205</v>
      </c>
      <c r="J284" s="483" t="n">
        <f aca="false">I284*G284</f>
        <v>311.36330841</v>
      </c>
      <c r="K284" s="483" t="n">
        <f aca="false">J284*$K$4</f>
        <v>622.72661682</v>
      </c>
      <c r="L284" s="692"/>
      <c r="M284" s="692"/>
      <c r="N284" s="0"/>
      <c r="O284" s="459"/>
      <c r="P284" s="0"/>
      <c r="Q284" s="482"/>
      <c r="R284" s="482"/>
      <c r="S284" s="666"/>
      <c r="T284" s="666"/>
      <c r="U284" s="666"/>
    </row>
    <row r="285" s="331" customFormat="true" ht="12.8" hidden="false" customHeight="false" outlineLevel="0" collapsed="false">
      <c r="B285" s="655"/>
      <c r="C285" s="479"/>
      <c r="D285" s="307"/>
      <c r="F285" s="115" t="s">
        <v>1099</v>
      </c>
      <c r="G285" s="719" t="n">
        <v>2</v>
      </c>
      <c r="H285" s="459"/>
      <c r="I285" s="483" t="n">
        <f aca="false">VLOOKUP(F285,'Рулонки компл. Амиго '!$B$7:$D$1031,3,0)</f>
        <v>168.4912042275</v>
      </c>
      <c r="J285" s="483" t="n">
        <f aca="false">I285*G285</f>
        <v>336.982408455</v>
      </c>
      <c r="K285" s="483" t="n">
        <f aca="false">J285*$K$4</f>
        <v>673.96481691</v>
      </c>
      <c r="L285" s="692"/>
      <c r="M285" s="692"/>
      <c r="N285" s="0"/>
      <c r="O285" s="459"/>
      <c r="P285" s="0"/>
      <c r="Q285" s="482"/>
      <c r="R285" s="482"/>
      <c r="S285" s="666"/>
      <c r="T285" s="666"/>
      <c r="U285" s="666"/>
    </row>
    <row r="286" s="331" customFormat="true" ht="12.8" hidden="false" customHeight="false" outlineLevel="0" collapsed="false">
      <c r="B286" s="655"/>
      <c r="C286" s="479"/>
      <c r="D286" s="307"/>
      <c r="F286" s="115" t="s">
        <v>1094</v>
      </c>
      <c r="G286" s="719" t="n">
        <v>1</v>
      </c>
      <c r="H286" s="459"/>
      <c r="I286" s="483" t="n">
        <f aca="false">VLOOKUP(F286,'Рулонки компл. Амиго '!$B$7:$D$1031,3,0)</f>
        <v>288.5288931525</v>
      </c>
      <c r="J286" s="483" t="n">
        <f aca="false">I286*G286</f>
        <v>288.5288931525</v>
      </c>
      <c r="K286" s="483" t="n">
        <f aca="false">J286*$K$4</f>
        <v>577.057786305</v>
      </c>
      <c r="L286" s="692"/>
      <c r="M286" s="692"/>
      <c r="N286" s="0"/>
      <c r="O286" s="459"/>
      <c r="P286" s="0"/>
      <c r="Q286" s="482"/>
      <c r="R286" s="482"/>
      <c r="S286" s="666"/>
      <c r="T286" s="666"/>
      <c r="U286" s="666"/>
    </row>
    <row r="287" s="331" customFormat="true" ht="12.8" hidden="false" customHeight="false" outlineLevel="0" collapsed="false">
      <c r="B287" s="655"/>
      <c r="C287" s="479"/>
      <c r="D287" s="307"/>
      <c r="F287" s="115" t="s">
        <v>1090</v>
      </c>
      <c r="G287" s="717" t="n">
        <v>1</v>
      </c>
      <c r="H287" s="459"/>
      <c r="I287" s="483" t="n">
        <f aca="false">VLOOKUP(F287,'Рулонки компл. Амиго '!$B$7:$D$1031,3,0)</f>
        <v>228.628545915</v>
      </c>
      <c r="J287" s="483" t="n">
        <f aca="false">I287*G287</f>
        <v>228.628545915</v>
      </c>
      <c r="K287" s="483" t="n">
        <f aca="false">J287*$K$4</f>
        <v>457.25709183</v>
      </c>
      <c r="L287" s="692"/>
      <c r="M287" s="692"/>
      <c r="N287" s="0"/>
      <c r="O287" s="459"/>
      <c r="P287" s="0"/>
      <c r="Q287" s="482"/>
      <c r="R287" s="482"/>
      <c r="S287" s="666"/>
      <c r="T287" s="666"/>
      <c r="U287" s="666"/>
    </row>
    <row r="288" s="331" customFormat="true" ht="12.8" hidden="false" customHeight="false" outlineLevel="0" collapsed="false">
      <c r="B288" s="655"/>
      <c r="C288" s="479"/>
      <c r="D288" s="307"/>
      <c r="F288" s="115" t="s">
        <v>1108</v>
      </c>
      <c r="G288" s="717" t="n">
        <v>4</v>
      </c>
      <c r="H288" s="459"/>
      <c r="I288" s="483" t="n">
        <f aca="false">VLOOKUP(F288,'Рулонки компл. Амиго '!$B$7:$D$1031,3,0)</f>
        <v>3.02005</v>
      </c>
      <c r="J288" s="483" t="n">
        <f aca="false">I288*G288</f>
        <v>12.0802</v>
      </c>
      <c r="K288" s="483" t="n">
        <f aca="false">J288*$K$4</f>
        <v>24.1604</v>
      </c>
      <c r="L288" s="692"/>
      <c r="M288" s="692"/>
      <c r="N288" s="0"/>
      <c r="O288" s="459"/>
      <c r="P288" s="0"/>
      <c r="Q288" s="482"/>
      <c r="R288" s="482"/>
      <c r="S288" s="666"/>
      <c r="T288" s="666"/>
      <c r="U288" s="666"/>
    </row>
    <row r="289" s="331" customFormat="true" ht="12.8" hidden="false" customHeight="false" outlineLevel="0" collapsed="false">
      <c r="B289" s="655"/>
      <c r="C289" s="479"/>
      <c r="D289" s="307"/>
      <c r="F289" s="731" t="s">
        <v>1100</v>
      </c>
      <c r="G289" s="720" t="n">
        <v>1</v>
      </c>
      <c r="H289" s="459"/>
      <c r="I289" s="483" t="n">
        <f aca="false">VLOOKUP(F289,'Рулонки компл. Амиго '!$B$7:$D$1031,3,0)</f>
        <v>376.737437461</v>
      </c>
      <c r="J289" s="483" t="n">
        <f aca="false">I289*G289</f>
        <v>376.737437461</v>
      </c>
      <c r="K289" s="483" t="n">
        <f aca="false">J289*$K$4</f>
        <v>753.474874922</v>
      </c>
      <c r="L289" s="692"/>
      <c r="M289" s="692"/>
      <c r="N289" s="0"/>
      <c r="O289" s="459"/>
      <c r="P289" s="0"/>
      <c r="Q289" s="482"/>
      <c r="R289" s="482"/>
      <c r="S289" s="666"/>
      <c r="T289" s="666"/>
      <c r="U289" s="666"/>
    </row>
    <row r="290" s="331" customFormat="true" ht="12.8" hidden="false" customHeight="false" outlineLevel="0" collapsed="false">
      <c r="B290" s="655"/>
      <c r="C290" s="479"/>
      <c r="D290" s="307"/>
      <c r="F290" s="728" t="s">
        <v>1109</v>
      </c>
      <c r="G290" s="719" t="n">
        <v>2</v>
      </c>
      <c r="H290" s="459"/>
      <c r="I290" s="483" t="n">
        <f aca="false">VLOOKUP(F290,'Рулонки компл. Амиго '!$B$7:$D$1031,3,0)</f>
        <v>29.2095659625</v>
      </c>
      <c r="J290" s="483" t="n">
        <f aca="false">I290*G290</f>
        <v>58.419131925</v>
      </c>
      <c r="K290" s="483" t="n">
        <f aca="false">J290*$K$4</f>
        <v>116.83826385</v>
      </c>
      <c r="L290" s="692"/>
      <c r="M290" s="692"/>
      <c r="N290" s="0"/>
      <c r="O290" s="459"/>
      <c r="P290" s="0"/>
      <c r="Q290" s="482"/>
      <c r="R290" s="482"/>
      <c r="S290" s="666"/>
      <c r="T290" s="666"/>
      <c r="U290" s="666"/>
    </row>
    <row r="291" s="490" customFormat="true" ht="12.8" hidden="false" customHeight="false" outlineLevel="0" collapsed="false">
      <c r="B291" s="693"/>
      <c r="C291" s="682"/>
      <c r="D291" s="683"/>
      <c r="F291" s="704" t="s">
        <v>1069</v>
      </c>
      <c r="G291" s="729" t="n">
        <v>2</v>
      </c>
      <c r="H291" s="491"/>
      <c r="I291" s="685" t="n">
        <f aca="false">VLOOKUP(F291,'Рулонки компл. Амиго '!$B$7:$D$1031,3,0)</f>
        <v>157.3050661875</v>
      </c>
      <c r="J291" s="685" t="n">
        <f aca="false">I291*G291</f>
        <v>314.610132375</v>
      </c>
      <c r="K291" s="685" t="n">
        <f aca="false">J291*$K$4</f>
        <v>629.22026475</v>
      </c>
      <c r="L291" s="694"/>
      <c r="M291" s="694"/>
      <c r="N291" s="489"/>
      <c r="O291" s="491"/>
      <c r="P291" s="489"/>
      <c r="Q291" s="687"/>
      <c r="R291" s="687"/>
      <c r="S291" s="688"/>
      <c r="T291" s="688"/>
      <c r="U291" s="688"/>
    </row>
    <row r="292" s="490" customFormat="true" ht="12.8" hidden="false" customHeight="false" outlineLevel="0" collapsed="false">
      <c r="B292" s="693"/>
      <c r="C292" s="682"/>
      <c r="D292" s="683"/>
      <c r="F292" s="708" t="s">
        <v>1098</v>
      </c>
      <c r="G292" s="490" t="n">
        <v>1.2</v>
      </c>
      <c r="H292" s="491" t="s">
        <v>1024</v>
      </c>
      <c r="I292" s="685" t="n">
        <f aca="false">VLOOKUP(F292,'Рулонки компл. Амиго '!$B$7:$D$1031,3,0)</f>
        <v>2520.76121428572</v>
      </c>
      <c r="J292" s="685" t="n">
        <f aca="false">I292*G292</f>
        <v>3024.91345714286</v>
      </c>
      <c r="K292" s="685" t="n">
        <f aca="false">J292*$K$4</f>
        <v>6049.82691428572</v>
      </c>
      <c r="L292" s="694"/>
      <c r="M292" s="694"/>
      <c r="N292" s="489"/>
      <c r="O292" s="491"/>
      <c r="P292" s="489"/>
      <c r="Q292" s="687"/>
      <c r="R292" s="687"/>
      <c r="S292" s="688"/>
      <c r="T292" s="688"/>
      <c r="U292" s="688"/>
    </row>
    <row r="293" s="490" customFormat="true" ht="12.8" hidden="false" customHeight="false" outlineLevel="0" collapsed="false">
      <c r="B293" s="693"/>
      <c r="C293" s="682"/>
      <c r="D293" s="683"/>
      <c r="F293" s="708" t="s">
        <v>1111</v>
      </c>
      <c r="G293" s="490" t="n">
        <v>1.2</v>
      </c>
      <c r="H293" s="491" t="s">
        <v>1024</v>
      </c>
      <c r="I293" s="685" t="n">
        <f aca="false">VLOOKUP(F293,'Рулонки компл. Амиго '!$B$7:$D$1031,3,0)</f>
        <v>1207.02914285715</v>
      </c>
      <c r="J293" s="685" t="n">
        <f aca="false">I293*G293</f>
        <v>1448.43497142858</v>
      </c>
      <c r="K293" s="685" t="n">
        <f aca="false">J293*$K$4</f>
        <v>2896.86994285715</v>
      </c>
      <c r="L293" s="694"/>
      <c r="M293" s="694"/>
      <c r="N293" s="489"/>
      <c r="O293" s="491"/>
      <c r="P293" s="489"/>
      <c r="Q293" s="687"/>
      <c r="R293" s="687"/>
      <c r="S293" s="688"/>
      <c r="T293" s="688"/>
      <c r="U293" s="688"/>
    </row>
    <row r="294" s="490" customFormat="true" ht="12.8" hidden="false" customHeight="false" outlineLevel="0" collapsed="false">
      <c r="B294" s="693"/>
      <c r="C294" s="682"/>
      <c r="D294" s="683"/>
      <c r="F294" s="708" t="s">
        <v>1112</v>
      </c>
      <c r="G294" s="490" t="n">
        <v>1.2</v>
      </c>
      <c r="H294" s="491" t="s">
        <v>1024</v>
      </c>
      <c r="I294" s="685" t="n">
        <f aca="false">VLOOKUP(F294,'Рулонки компл. Амиго '!$B$7:$D$1031,3,0)</f>
        <v>1982.03425</v>
      </c>
      <c r="J294" s="685" t="n">
        <f aca="false">I294*G294</f>
        <v>2378.4411</v>
      </c>
      <c r="K294" s="685" t="n">
        <f aca="false">J294*$K$4</f>
        <v>4756.8822</v>
      </c>
      <c r="L294" s="694"/>
      <c r="M294" s="694"/>
      <c r="N294" s="489"/>
      <c r="O294" s="491"/>
      <c r="P294" s="489"/>
      <c r="Q294" s="687"/>
      <c r="R294" s="687"/>
      <c r="S294" s="688"/>
      <c r="T294" s="688"/>
      <c r="U294" s="688"/>
    </row>
    <row r="295" s="490" customFormat="true" ht="12.8" hidden="false" customHeight="false" outlineLevel="0" collapsed="false">
      <c r="B295" s="693"/>
      <c r="C295" s="682"/>
      <c r="D295" s="683"/>
      <c r="F295" s="708" t="s">
        <v>1110</v>
      </c>
      <c r="G295" s="721" t="n">
        <v>2</v>
      </c>
      <c r="H295" s="491"/>
      <c r="I295" s="685" t="n">
        <f aca="false">VLOOKUP(F295,'Рулонки компл. Амиго '!$B$7:$D$1031,3,0)</f>
        <v>535.3349133825</v>
      </c>
      <c r="J295" s="685" t="n">
        <f aca="false">I295*G295</f>
        <v>1070.669826765</v>
      </c>
      <c r="K295" s="685" t="n">
        <f aca="false">J295*$K$4</f>
        <v>2141.33965353</v>
      </c>
      <c r="L295" s="694"/>
      <c r="M295" s="694"/>
      <c r="N295" s="489"/>
      <c r="O295" s="491"/>
      <c r="P295" s="489"/>
      <c r="Q295" s="687"/>
      <c r="R295" s="687"/>
      <c r="S295" s="688"/>
      <c r="T295" s="688"/>
      <c r="U295" s="688"/>
    </row>
    <row r="296" s="331" customFormat="true" ht="12.8" hidden="false" customHeight="false" outlineLevel="0" collapsed="false">
      <c r="B296" s="655"/>
      <c r="C296" s="479"/>
      <c r="D296" s="307"/>
      <c r="H296" s="459"/>
      <c r="L296" s="692"/>
      <c r="M296" s="692"/>
      <c r="N296" s="0"/>
      <c r="O296" s="459"/>
      <c r="P296" s="0"/>
      <c r="Q296" s="482"/>
      <c r="R296" s="482"/>
      <c r="S296" s="666"/>
      <c r="T296" s="666"/>
      <c r="U296" s="666"/>
    </row>
    <row r="297" s="331" customFormat="true" ht="12.8" hidden="false" customHeight="false" outlineLevel="0" collapsed="false">
      <c r="B297" s="655"/>
      <c r="C297" s="479"/>
      <c r="D297" s="307"/>
      <c r="H297" s="459"/>
      <c r="L297" s="692"/>
      <c r="M297" s="692"/>
      <c r="N297" s="0"/>
      <c r="O297" s="459"/>
      <c r="P297" s="0"/>
      <c r="Q297" s="482"/>
      <c r="R297" s="482"/>
      <c r="S297" s="666"/>
      <c r="T297" s="666"/>
      <c r="U297" s="666"/>
    </row>
    <row r="298" s="331" customFormat="true" ht="21.05" hidden="false" customHeight="false" outlineLevel="0" collapsed="false">
      <c r="A298" s="246" t="str">
        <f aca="false">"Рул - "&amp;B298</f>
        <v>Рул - 28</v>
      </c>
      <c r="B298" s="655" t="n">
        <v>28</v>
      </c>
      <c r="C298" s="690" t="s">
        <v>1009</v>
      </c>
      <c r="D298" s="307" t="s">
        <v>1104</v>
      </c>
      <c r="E298" s="331" t="n">
        <v>1</v>
      </c>
      <c r="F298" s="691" t="s">
        <v>1009</v>
      </c>
      <c r="H298" s="459"/>
      <c r="L298" s="692" t="n">
        <f aca="false">SUM(K299:K309)</f>
        <v>4459.9303573704</v>
      </c>
      <c r="M298" s="694" t="n">
        <f aca="false">SUM(K310:K314)</f>
        <v>13015.4034897086</v>
      </c>
      <c r="N298" s="0"/>
      <c r="O298" s="459"/>
      <c r="P298" s="115" t="s">
        <v>1084</v>
      </c>
      <c r="Q298" s="707"/>
      <c r="R298" s="707"/>
      <c r="S298" s="696" t="n">
        <v>1</v>
      </c>
      <c r="T298" s="696"/>
      <c r="U298" s="332" t="s">
        <v>824</v>
      </c>
    </row>
    <row r="299" s="331" customFormat="true" ht="12.8" hidden="false" customHeight="false" outlineLevel="0" collapsed="false">
      <c r="B299" s="655"/>
      <c r="C299" s="479"/>
      <c r="D299" s="307"/>
      <c r="F299" s="725" t="s">
        <v>1085</v>
      </c>
      <c r="G299" s="717" t="n">
        <v>1</v>
      </c>
      <c r="H299" s="459"/>
      <c r="I299" s="483" t="n">
        <f aca="false">VLOOKUP(F299,'Рулонки компл. Амиго '!$B$7:$D$1031,3,0)</f>
        <v>195.3426754125</v>
      </c>
      <c r="J299" s="483" t="n">
        <f aca="false">I299*G299</f>
        <v>195.3426754125</v>
      </c>
      <c r="K299" s="483" t="n">
        <f aca="false">J299*$K$4</f>
        <v>390.685350825</v>
      </c>
      <c r="L299" s="692"/>
      <c r="M299" s="692"/>
      <c r="N299" s="0"/>
      <c r="O299" s="459"/>
      <c r="P299" s="0"/>
      <c r="Q299" s="482"/>
      <c r="R299" s="482"/>
      <c r="S299" s="666"/>
      <c r="T299" s="666"/>
      <c r="U299" s="666"/>
    </row>
    <row r="300" s="331" customFormat="true" ht="12.8" hidden="false" customHeight="false" outlineLevel="0" collapsed="false">
      <c r="B300" s="655"/>
      <c r="C300" s="479"/>
      <c r="D300" s="307"/>
      <c r="F300" s="115" t="s">
        <v>1086</v>
      </c>
      <c r="G300" s="717" t="n">
        <v>1</v>
      </c>
      <c r="H300" s="459"/>
      <c r="I300" s="483" t="n">
        <f aca="false">VLOOKUP(F300,'Рулонки компл. Амиго '!$B$7:$D$1031,3,0)</f>
        <v>389.33448246</v>
      </c>
      <c r="J300" s="483" t="n">
        <f aca="false">I300*G300</f>
        <v>389.33448246</v>
      </c>
      <c r="K300" s="483" t="n">
        <f aca="false">J300*$K$4</f>
        <v>778.66896492</v>
      </c>
      <c r="L300" s="692"/>
      <c r="M300" s="692"/>
      <c r="N300" s="0"/>
      <c r="O300" s="459"/>
      <c r="P300" s="0"/>
      <c r="Q300" s="482"/>
      <c r="R300" s="482"/>
      <c r="S300" s="666"/>
      <c r="T300" s="666"/>
      <c r="U300" s="666"/>
    </row>
    <row r="301" s="331" customFormat="true" ht="12.8" hidden="false" customHeight="false" outlineLevel="0" collapsed="false">
      <c r="B301" s="655"/>
      <c r="C301" s="479"/>
      <c r="D301" s="307"/>
      <c r="F301" s="115" t="s">
        <v>1105</v>
      </c>
      <c r="G301" s="719" t="n">
        <v>1</v>
      </c>
      <c r="H301" s="459"/>
      <c r="I301" s="483" t="n">
        <f aca="false">VLOOKUP(F301,'Рулонки компл. Амиго '!$B$7:$D$1031,3,0)</f>
        <v>214.0889364075</v>
      </c>
      <c r="J301" s="483" t="n">
        <f aca="false">I301*G301</f>
        <v>214.0889364075</v>
      </c>
      <c r="K301" s="483" t="n">
        <f aca="false">J301*$K$4</f>
        <v>428.177872815</v>
      </c>
      <c r="L301" s="692"/>
      <c r="M301" s="692"/>
      <c r="N301" s="0"/>
      <c r="O301" s="459"/>
      <c r="P301" s="0"/>
      <c r="Q301" s="482"/>
      <c r="R301" s="482"/>
      <c r="S301" s="666"/>
      <c r="T301" s="666"/>
      <c r="U301" s="666"/>
    </row>
    <row r="302" s="331" customFormat="true" ht="12.8" hidden="false" customHeight="false" outlineLevel="0" collapsed="false">
      <c r="B302" s="655"/>
      <c r="C302" s="479"/>
      <c r="D302" s="307"/>
      <c r="F302" s="115" t="s">
        <v>1106</v>
      </c>
      <c r="G302" s="718" t="n">
        <v>1</v>
      </c>
      <c r="H302" s="459"/>
      <c r="I302" s="483" t="n">
        <f aca="false">VLOOKUP(F302,'Рулонки компл. Амиго '!$B$7:$D$1031,3,0)</f>
        <v>214.0889364075</v>
      </c>
      <c r="J302" s="483" t="n">
        <f aca="false">I302*G302</f>
        <v>214.0889364075</v>
      </c>
      <c r="K302" s="483" t="n">
        <f aca="false">J302*$K$4</f>
        <v>428.177872815</v>
      </c>
      <c r="L302" s="692"/>
      <c r="M302" s="692"/>
      <c r="N302" s="0"/>
      <c r="O302" s="459"/>
      <c r="P302" s="0"/>
      <c r="Q302" s="482"/>
      <c r="R302" s="482"/>
      <c r="S302" s="666"/>
      <c r="T302" s="666"/>
      <c r="U302" s="666"/>
    </row>
    <row r="303" s="331" customFormat="true" ht="12.8" hidden="false" customHeight="false" outlineLevel="0" collapsed="false">
      <c r="B303" s="655"/>
      <c r="C303" s="479"/>
      <c r="D303" s="307"/>
      <c r="F303" s="115" t="s">
        <v>1107</v>
      </c>
      <c r="G303" s="719" t="n">
        <v>2</v>
      </c>
      <c r="H303" s="459"/>
      <c r="I303" s="483" t="n">
        <f aca="false">VLOOKUP(F303,'Рулонки компл. Амиго '!$B$7:$D$1031,3,0)</f>
        <v>155.681654205</v>
      </c>
      <c r="J303" s="483" t="n">
        <f aca="false">I303*G303</f>
        <v>311.36330841</v>
      </c>
      <c r="K303" s="483" t="n">
        <f aca="false">J303*$K$4</f>
        <v>622.72661682</v>
      </c>
      <c r="L303" s="692"/>
      <c r="M303" s="692"/>
      <c r="N303" s="0"/>
      <c r="O303" s="459"/>
      <c r="P303" s="0"/>
      <c r="Q303" s="482"/>
      <c r="R303" s="482"/>
      <c r="S303" s="666"/>
      <c r="T303" s="666"/>
      <c r="U303" s="666"/>
    </row>
    <row r="304" s="331" customFormat="true" ht="12.8" hidden="false" customHeight="false" outlineLevel="0" collapsed="false">
      <c r="B304" s="655"/>
      <c r="C304" s="479"/>
      <c r="D304" s="307"/>
      <c r="F304" s="115" t="s">
        <v>1088</v>
      </c>
      <c r="G304" s="719" t="n">
        <v>1</v>
      </c>
      <c r="H304" s="459"/>
      <c r="I304" s="483" t="n">
        <f aca="false">VLOOKUP(F304,'Рулонки компл. Амиго '!$B$7:$D$1031,3,0)</f>
        <v>38.4523495125</v>
      </c>
      <c r="J304" s="483" t="n">
        <f aca="false">I304*G304</f>
        <v>38.4523495125</v>
      </c>
      <c r="K304" s="483" t="n">
        <f aca="false">J304*$K$4</f>
        <v>76.904699025</v>
      </c>
      <c r="L304" s="692"/>
      <c r="M304" s="692"/>
      <c r="N304" s="0"/>
      <c r="O304" s="459"/>
      <c r="P304" s="0"/>
      <c r="Q304" s="482"/>
      <c r="R304" s="482"/>
      <c r="S304" s="666"/>
      <c r="T304" s="666"/>
      <c r="U304" s="666"/>
    </row>
    <row r="305" s="331" customFormat="true" ht="12.8" hidden="false" customHeight="false" outlineLevel="0" collapsed="false">
      <c r="B305" s="655"/>
      <c r="C305" s="479"/>
      <c r="D305" s="307"/>
      <c r="F305" s="115" t="s">
        <v>1089</v>
      </c>
      <c r="G305" s="719" t="n">
        <v>2</v>
      </c>
      <c r="H305" s="459"/>
      <c r="I305" s="483" t="n">
        <f aca="false">VLOOKUP(F305,'Рулонки компл. Амиго '!$B$7:$D$1031,3,0)</f>
        <v>75.530131215</v>
      </c>
      <c r="J305" s="483" t="n">
        <f aca="false">I305*G305</f>
        <v>151.06026243</v>
      </c>
      <c r="K305" s="483" t="n">
        <f aca="false">J305*$K$4</f>
        <v>302.12052486</v>
      </c>
      <c r="L305" s="692"/>
      <c r="M305" s="692"/>
      <c r="N305" s="0"/>
      <c r="O305" s="459"/>
      <c r="P305" s="0"/>
      <c r="Q305" s="482"/>
      <c r="R305" s="482"/>
      <c r="S305" s="666"/>
      <c r="T305" s="666"/>
      <c r="U305" s="666"/>
    </row>
    <row r="306" s="331" customFormat="true" ht="12.8" hidden="false" customHeight="false" outlineLevel="0" collapsed="false">
      <c r="B306" s="655"/>
      <c r="C306" s="479"/>
      <c r="D306" s="307"/>
      <c r="F306" s="115" t="s">
        <v>1090</v>
      </c>
      <c r="G306" s="717" t="n">
        <v>1</v>
      </c>
      <c r="H306" s="459"/>
      <c r="I306" s="483" t="n">
        <f aca="false">VLOOKUP(F306,'Рулонки компл. Амиго '!$B$7:$D$1031,3,0)</f>
        <v>228.628545915</v>
      </c>
      <c r="J306" s="483" t="n">
        <f aca="false">I306*G306</f>
        <v>228.628545915</v>
      </c>
      <c r="K306" s="483" t="n">
        <f aca="false">J306*$K$4</f>
        <v>457.25709183</v>
      </c>
      <c r="L306" s="692"/>
      <c r="M306" s="692"/>
      <c r="N306" s="0"/>
      <c r="O306" s="459"/>
      <c r="P306" s="0"/>
      <c r="Q306" s="482"/>
      <c r="R306" s="482"/>
      <c r="S306" s="666"/>
      <c r="T306" s="666"/>
      <c r="U306" s="666"/>
    </row>
    <row r="307" s="331" customFormat="true" ht="12.8" hidden="false" customHeight="false" outlineLevel="0" collapsed="false">
      <c r="B307" s="655"/>
      <c r="C307" s="479"/>
      <c r="D307" s="307"/>
      <c r="F307" s="115" t="s">
        <v>1108</v>
      </c>
      <c r="G307" s="717" t="n">
        <v>4</v>
      </c>
      <c r="H307" s="459"/>
      <c r="I307" s="483" t="n">
        <f aca="false">VLOOKUP(F307,'Рулонки компл. Амиго '!$B$7:$D$1031,3,0)</f>
        <v>3.02005</v>
      </c>
      <c r="J307" s="483" t="n">
        <f aca="false">I307*G307</f>
        <v>12.0802</v>
      </c>
      <c r="K307" s="483" t="n">
        <f aca="false">J307*$K$4</f>
        <v>24.1604</v>
      </c>
      <c r="L307" s="692"/>
      <c r="M307" s="692"/>
      <c r="N307" s="0"/>
      <c r="O307" s="459"/>
      <c r="P307" s="0"/>
      <c r="Q307" s="482"/>
      <c r="R307" s="482"/>
      <c r="S307" s="666"/>
      <c r="T307" s="666"/>
      <c r="U307" s="666"/>
    </row>
    <row r="308" s="331" customFormat="true" ht="12.8" hidden="false" customHeight="false" outlineLevel="0" collapsed="false">
      <c r="B308" s="655"/>
      <c r="C308" s="479"/>
      <c r="D308" s="307"/>
      <c r="F308" s="115" t="s">
        <v>1101</v>
      </c>
      <c r="G308" s="720" t="n">
        <v>1</v>
      </c>
      <c r="H308" s="459"/>
      <c r="I308" s="483" t="n">
        <f aca="false">VLOOKUP(F308,'Рулонки компл. Амиго '!$B$7:$D$1031,3,0)</f>
        <v>417.1063498052</v>
      </c>
      <c r="J308" s="483" t="n">
        <f aca="false">I308*G308</f>
        <v>417.1063498052</v>
      </c>
      <c r="K308" s="483" t="n">
        <f aca="false">J308*$K$4</f>
        <v>834.2126996104</v>
      </c>
      <c r="L308" s="692"/>
      <c r="M308" s="692"/>
      <c r="N308" s="0"/>
      <c r="O308" s="459"/>
      <c r="P308" s="0"/>
      <c r="Q308" s="482"/>
      <c r="R308" s="482"/>
      <c r="S308" s="666"/>
      <c r="T308" s="666"/>
      <c r="U308" s="666"/>
    </row>
    <row r="309" s="331" customFormat="true" ht="12.8" hidden="false" customHeight="false" outlineLevel="0" collapsed="false">
      <c r="B309" s="655"/>
      <c r="C309" s="479"/>
      <c r="D309" s="307"/>
      <c r="F309" s="728" t="s">
        <v>1109</v>
      </c>
      <c r="G309" s="719" t="n">
        <v>2</v>
      </c>
      <c r="H309" s="459"/>
      <c r="I309" s="483" t="n">
        <f aca="false">VLOOKUP(F309,'Рулонки компл. Амиго '!$B$7:$D$1031,3,0)</f>
        <v>29.2095659625</v>
      </c>
      <c r="J309" s="483" t="n">
        <f aca="false">I309*G309</f>
        <v>58.419131925</v>
      </c>
      <c r="K309" s="483" t="n">
        <f aca="false">J309*$K$4</f>
        <v>116.83826385</v>
      </c>
      <c r="L309" s="692"/>
      <c r="M309" s="692"/>
      <c r="N309" s="0"/>
      <c r="O309" s="459"/>
      <c r="P309" s="0"/>
      <c r="Q309" s="482"/>
      <c r="R309" s="482"/>
      <c r="S309" s="666"/>
      <c r="T309" s="666"/>
      <c r="U309" s="666"/>
    </row>
    <row r="310" s="490" customFormat="true" ht="12.8" hidden="false" customHeight="false" outlineLevel="0" collapsed="false">
      <c r="B310" s="693"/>
      <c r="C310" s="682"/>
      <c r="D310" s="683"/>
      <c r="F310" s="708" t="s">
        <v>1110</v>
      </c>
      <c r="G310" s="721" t="n">
        <v>2</v>
      </c>
      <c r="H310" s="491"/>
      <c r="I310" s="685" t="n">
        <f aca="false">VLOOKUP(F310,'Рулонки компл. Амиго '!$B$7:$D$1031,3,0)</f>
        <v>535.3349133825</v>
      </c>
      <c r="J310" s="685" t="n">
        <f aca="false">I310*G310</f>
        <v>1070.669826765</v>
      </c>
      <c r="K310" s="685" t="n">
        <f aca="false">J310*$K$4</f>
        <v>2141.33965353</v>
      </c>
      <c r="L310" s="694"/>
      <c r="M310" s="694"/>
      <c r="N310" s="489"/>
      <c r="O310" s="491"/>
      <c r="P310" s="489"/>
      <c r="Q310" s="687"/>
      <c r="R310" s="687"/>
      <c r="S310" s="688"/>
      <c r="T310" s="688"/>
      <c r="U310" s="688"/>
    </row>
    <row r="311" s="490" customFormat="true" ht="12.8" hidden="false" customHeight="false" outlineLevel="0" collapsed="false">
      <c r="B311" s="693"/>
      <c r="C311" s="682"/>
      <c r="D311" s="683"/>
      <c r="F311" s="704" t="s">
        <v>1069</v>
      </c>
      <c r="G311" s="729" t="n">
        <v>2</v>
      </c>
      <c r="H311" s="491"/>
      <c r="I311" s="685" t="n">
        <f aca="false">VLOOKUP(F311,'Рулонки компл. Амиго '!$B$7:$D$1031,3,0)</f>
        <v>157.3050661875</v>
      </c>
      <c r="J311" s="685" t="n">
        <f aca="false">I311*G311</f>
        <v>314.610132375</v>
      </c>
      <c r="K311" s="685" t="n">
        <f aca="false">J311*$K$4</f>
        <v>629.22026475</v>
      </c>
      <c r="L311" s="694"/>
      <c r="M311" s="694"/>
      <c r="N311" s="489"/>
      <c r="O311" s="491"/>
      <c r="P311" s="489"/>
      <c r="Q311" s="687"/>
      <c r="R311" s="687"/>
      <c r="S311" s="688"/>
      <c r="T311" s="688"/>
      <c r="U311" s="688"/>
    </row>
    <row r="312" s="490" customFormat="true" ht="12.8" hidden="false" customHeight="false" outlineLevel="0" collapsed="false">
      <c r="B312" s="693"/>
      <c r="C312" s="682"/>
      <c r="D312" s="683"/>
      <c r="F312" s="708" t="s">
        <v>1084</v>
      </c>
      <c r="G312" s="490" t="n">
        <v>1.2</v>
      </c>
      <c r="H312" s="491" t="s">
        <v>1024</v>
      </c>
      <c r="I312" s="685" t="n">
        <f aca="false">VLOOKUP(F312,'Рулонки компл. Амиго '!$B$7:$D$1031,3,0)</f>
        <v>1079.62142857143</v>
      </c>
      <c r="J312" s="685" t="n">
        <f aca="false">I312*G312</f>
        <v>1295.54571428572</v>
      </c>
      <c r="K312" s="685" t="n">
        <f aca="false">J312*$K$4</f>
        <v>2591.09142857143</v>
      </c>
      <c r="L312" s="694"/>
      <c r="M312" s="694"/>
      <c r="N312" s="489"/>
      <c r="O312" s="491"/>
      <c r="P312" s="489"/>
      <c r="Q312" s="687"/>
      <c r="R312" s="687"/>
      <c r="S312" s="688"/>
      <c r="T312" s="688"/>
      <c r="U312" s="688"/>
    </row>
    <row r="313" s="490" customFormat="true" ht="12.8" hidden="false" customHeight="false" outlineLevel="0" collapsed="false">
      <c r="B313" s="693"/>
      <c r="C313" s="682"/>
      <c r="D313" s="683"/>
      <c r="F313" s="708" t="s">
        <v>1111</v>
      </c>
      <c r="G313" s="490" t="n">
        <v>1.2</v>
      </c>
      <c r="H313" s="491" t="s">
        <v>1024</v>
      </c>
      <c r="I313" s="685" t="n">
        <f aca="false">VLOOKUP(F313,'Рулонки компл. Амиго '!$B$7:$D$1031,3,0)</f>
        <v>1207.02914285715</v>
      </c>
      <c r="J313" s="685" t="n">
        <f aca="false">I313*G313</f>
        <v>1448.43497142858</v>
      </c>
      <c r="K313" s="685" t="n">
        <f aca="false">J313*$K$4</f>
        <v>2896.86994285715</v>
      </c>
      <c r="L313" s="694"/>
      <c r="M313" s="694"/>
      <c r="N313" s="489"/>
      <c r="O313" s="491"/>
      <c r="P313" s="489"/>
      <c r="Q313" s="687"/>
      <c r="R313" s="687"/>
      <c r="S313" s="688"/>
      <c r="T313" s="688"/>
      <c r="U313" s="688"/>
    </row>
    <row r="314" s="490" customFormat="true" ht="12.8" hidden="false" customHeight="false" outlineLevel="0" collapsed="false">
      <c r="B314" s="693"/>
      <c r="C314" s="682"/>
      <c r="D314" s="683"/>
      <c r="F314" s="708" t="s">
        <v>1112</v>
      </c>
      <c r="G314" s="490" t="n">
        <v>1.2</v>
      </c>
      <c r="H314" s="491" t="s">
        <v>1024</v>
      </c>
      <c r="I314" s="685" t="n">
        <f aca="false">VLOOKUP(F314,'Рулонки компл. Амиго '!$B$7:$D$1031,3,0)</f>
        <v>1982.03425</v>
      </c>
      <c r="J314" s="685" t="n">
        <f aca="false">I314*G314</f>
        <v>2378.4411</v>
      </c>
      <c r="K314" s="685" t="n">
        <f aca="false">J314*$K$4</f>
        <v>4756.8822</v>
      </c>
      <c r="L314" s="694"/>
      <c r="M314" s="694"/>
      <c r="N314" s="489"/>
      <c r="O314" s="491"/>
      <c r="P314" s="489"/>
      <c r="Q314" s="687"/>
      <c r="R314" s="687"/>
      <c r="S314" s="688"/>
      <c r="T314" s="688"/>
      <c r="U314" s="688"/>
    </row>
    <row r="315" s="331" customFormat="true" ht="12.8" hidden="false" customHeight="false" outlineLevel="0" collapsed="false">
      <c r="B315" s="655"/>
      <c r="C315" s="479"/>
      <c r="D315" s="307"/>
      <c r="H315" s="459"/>
      <c r="L315" s="692"/>
      <c r="M315" s="692"/>
      <c r="N315" s="0"/>
      <c r="O315" s="459"/>
      <c r="P315" s="0"/>
      <c r="Q315" s="482"/>
      <c r="R315" s="482"/>
      <c r="S315" s="666"/>
      <c r="T315" s="666"/>
      <c r="U315" s="666"/>
    </row>
    <row r="316" s="331" customFormat="true" ht="21.05" hidden="false" customHeight="false" outlineLevel="0" collapsed="false">
      <c r="A316" s="246" t="str">
        <f aca="false">"Рул - "&amp;B316</f>
        <v>Рул - 29</v>
      </c>
      <c r="B316" s="655" t="n">
        <v>29</v>
      </c>
      <c r="C316" s="690" t="s">
        <v>1010</v>
      </c>
      <c r="D316" s="307" t="s">
        <v>1113</v>
      </c>
      <c r="E316" s="331" t="n">
        <v>1</v>
      </c>
      <c r="F316" s="691" t="s">
        <v>1010</v>
      </c>
      <c r="H316" s="459"/>
      <c r="L316" s="692" t="n">
        <f aca="false">SUM(K317:K326)</f>
        <v>4638.437601611</v>
      </c>
      <c r="M316" s="694" t="n">
        <f aca="false">SUM(K327:K331)</f>
        <v>14066.35611828</v>
      </c>
      <c r="N316" s="0"/>
      <c r="O316" s="459"/>
      <c r="P316" s="115" t="s">
        <v>1093</v>
      </c>
      <c r="Q316" s="707"/>
      <c r="R316" s="707"/>
      <c r="S316" s="696" t="n">
        <v>1</v>
      </c>
      <c r="T316" s="696"/>
      <c r="U316" s="332" t="s">
        <v>824</v>
      </c>
    </row>
    <row r="317" s="331" customFormat="true" ht="12.8" hidden="false" customHeight="false" outlineLevel="0" collapsed="false">
      <c r="B317" s="655"/>
      <c r="C317" s="479"/>
      <c r="D317" s="307"/>
      <c r="F317" s="725" t="s">
        <v>1085</v>
      </c>
      <c r="G317" s="717" t="n">
        <v>1</v>
      </c>
      <c r="H317" s="459"/>
      <c r="I317" s="483" t="n">
        <f aca="false">VLOOKUP(F317,'Рулонки компл. Амиго '!$B$7:$D$1031,3,0)</f>
        <v>195.3426754125</v>
      </c>
      <c r="J317" s="483" t="n">
        <f aca="false">I317*G317</f>
        <v>195.3426754125</v>
      </c>
      <c r="K317" s="483" t="n">
        <f aca="false">J317*$K$4</f>
        <v>390.685350825</v>
      </c>
      <c r="L317" s="692"/>
      <c r="M317" s="692"/>
      <c r="N317" s="0"/>
      <c r="O317" s="459"/>
      <c r="P317" s="0"/>
      <c r="Q317" s="482"/>
      <c r="R317" s="482"/>
      <c r="S317" s="666"/>
      <c r="T317" s="666"/>
      <c r="U317" s="666"/>
    </row>
    <row r="318" s="331" customFormat="true" ht="12.8" hidden="false" customHeight="false" outlineLevel="0" collapsed="false">
      <c r="B318" s="655"/>
      <c r="C318" s="479"/>
      <c r="D318" s="307"/>
      <c r="F318" s="115" t="s">
        <v>1086</v>
      </c>
      <c r="G318" s="717" t="n">
        <v>1</v>
      </c>
      <c r="H318" s="459"/>
      <c r="I318" s="483" t="n">
        <f aca="false">VLOOKUP(F318,'Рулонки компл. Амиго '!$B$7:$D$1031,3,0)</f>
        <v>389.33448246</v>
      </c>
      <c r="J318" s="483" t="n">
        <f aca="false">I318*G318</f>
        <v>389.33448246</v>
      </c>
      <c r="K318" s="483" t="n">
        <f aca="false">J318*$K$4</f>
        <v>778.66896492</v>
      </c>
      <c r="L318" s="692"/>
      <c r="M318" s="692"/>
      <c r="N318" s="0"/>
      <c r="O318" s="459"/>
      <c r="P318" s="0"/>
      <c r="Q318" s="482"/>
      <c r="R318" s="482"/>
      <c r="S318" s="666"/>
      <c r="T318" s="666"/>
      <c r="U318" s="666"/>
    </row>
    <row r="319" s="331" customFormat="true" ht="12.8" hidden="false" customHeight="false" outlineLevel="0" collapsed="false">
      <c r="B319" s="655"/>
      <c r="C319" s="479"/>
      <c r="D319" s="307"/>
      <c r="F319" s="115" t="s">
        <v>1105</v>
      </c>
      <c r="G319" s="719" t="n">
        <v>1</v>
      </c>
      <c r="H319" s="459"/>
      <c r="I319" s="483" t="n">
        <f aca="false">VLOOKUP(F319,'Рулонки компл. Амиго '!$B$7:$D$1031,3,0)</f>
        <v>214.0889364075</v>
      </c>
      <c r="J319" s="483" t="n">
        <f aca="false">I319*G319</f>
        <v>214.0889364075</v>
      </c>
      <c r="K319" s="483" t="n">
        <f aca="false">J319*$K$4</f>
        <v>428.177872815</v>
      </c>
      <c r="L319" s="692"/>
      <c r="M319" s="692"/>
      <c r="N319" s="0"/>
      <c r="O319" s="459"/>
      <c r="P319" s="0"/>
      <c r="Q319" s="482"/>
      <c r="R319" s="482"/>
      <c r="S319" s="666"/>
      <c r="T319" s="666"/>
      <c r="U319" s="666"/>
    </row>
    <row r="320" s="331" customFormat="true" ht="12.8" hidden="false" customHeight="false" outlineLevel="0" collapsed="false">
      <c r="B320" s="655"/>
      <c r="C320" s="479"/>
      <c r="D320" s="307"/>
      <c r="F320" s="115" t="s">
        <v>1106</v>
      </c>
      <c r="G320" s="718" t="n">
        <v>1</v>
      </c>
      <c r="H320" s="459"/>
      <c r="I320" s="483" t="n">
        <f aca="false">VLOOKUP(F320,'Рулонки компл. Амиго '!$B$7:$D$1031,3,0)</f>
        <v>214.0889364075</v>
      </c>
      <c r="J320" s="483" t="n">
        <f aca="false">I320*G320</f>
        <v>214.0889364075</v>
      </c>
      <c r="K320" s="483" t="n">
        <f aca="false">J320*$K$4</f>
        <v>428.177872815</v>
      </c>
      <c r="L320" s="692"/>
      <c r="M320" s="692"/>
      <c r="N320" s="0"/>
      <c r="O320" s="459"/>
      <c r="P320" s="0"/>
      <c r="Q320" s="482"/>
      <c r="R320" s="482"/>
      <c r="S320" s="666"/>
      <c r="T320" s="666"/>
      <c r="U320" s="666"/>
    </row>
    <row r="321" s="331" customFormat="true" ht="12.8" hidden="false" customHeight="false" outlineLevel="0" collapsed="false">
      <c r="B321" s="655"/>
      <c r="C321" s="479"/>
      <c r="D321" s="307"/>
      <c r="F321" s="115" t="s">
        <v>1107</v>
      </c>
      <c r="G321" s="719" t="n">
        <v>2</v>
      </c>
      <c r="H321" s="459"/>
      <c r="I321" s="483" t="n">
        <f aca="false">VLOOKUP(F321,'Рулонки компл. Амиго '!$B$7:$D$1031,3,0)</f>
        <v>155.681654205</v>
      </c>
      <c r="J321" s="483" t="n">
        <f aca="false">I321*G321</f>
        <v>311.36330841</v>
      </c>
      <c r="K321" s="483" t="n">
        <f aca="false">J321*$K$4</f>
        <v>622.72661682</v>
      </c>
      <c r="L321" s="692"/>
      <c r="M321" s="692"/>
      <c r="N321" s="0"/>
      <c r="O321" s="459"/>
      <c r="P321" s="0"/>
      <c r="Q321" s="482"/>
      <c r="R321" s="482"/>
      <c r="S321" s="666"/>
      <c r="T321" s="666"/>
      <c r="U321" s="666"/>
    </row>
    <row r="322" s="331" customFormat="true" ht="12.8" hidden="false" customHeight="false" outlineLevel="0" collapsed="false">
      <c r="B322" s="655"/>
      <c r="C322" s="479"/>
      <c r="D322" s="307"/>
      <c r="F322" s="115" t="s">
        <v>1094</v>
      </c>
      <c r="G322" s="719" t="n">
        <v>1</v>
      </c>
      <c r="H322" s="459"/>
      <c r="I322" s="483" t="n">
        <f aca="false">VLOOKUP(F322,'Рулонки компл. Амиго '!$B$7:$D$1031,3,0)</f>
        <v>288.5288931525</v>
      </c>
      <c r="J322" s="483" t="n">
        <f aca="false">I322*G322</f>
        <v>288.5288931525</v>
      </c>
      <c r="K322" s="483" t="n">
        <f aca="false">J322*$K$4</f>
        <v>577.057786305</v>
      </c>
      <c r="L322" s="692"/>
      <c r="M322" s="692"/>
      <c r="N322" s="0"/>
      <c r="O322" s="459"/>
      <c r="P322" s="0"/>
      <c r="Q322" s="482"/>
      <c r="R322" s="482"/>
      <c r="S322" s="666"/>
      <c r="T322" s="666"/>
      <c r="U322" s="666"/>
    </row>
    <row r="323" s="331" customFormat="true" ht="12.8" hidden="false" customHeight="false" outlineLevel="0" collapsed="false">
      <c r="B323" s="655"/>
      <c r="C323" s="479"/>
      <c r="D323" s="307"/>
      <c r="F323" s="115" t="s">
        <v>1090</v>
      </c>
      <c r="G323" s="717" t="n">
        <v>1</v>
      </c>
      <c r="H323" s="459"/>
      <c r="I323" s="483" t="n">
        <f aca="false">VLOOKUP(F323,'Рулонки компл. Амиго '!$B$7:$D$1031,3,0)</f>
        <v>228.628545915</v>
      </c>
      <c r="J323" s="483" t="n">
        <f aca="false">I323*G323</f>
        <v>228.628545915</v>
      </c>
      <c r="K323" s="483" t="n">
        <f aca="false">J323*$K$4</f>
        <v>457.25709183</v>
      </c>
      <c r="L323" s="692"/>
      <c r="M323" s="692"/>
      <c r="N323" s="0"/>
      <c r="O323" s="459"/>
      <c r="P323" s="0"/>
      <c r="Q323" s="482"/>
      <c r="R323" s="482"/>
      <c r="S323" s="666"/>
      <c r="T323" s="666"/>
      <c r="U323" s="666"/>
    </row>
    <row r="324" s="331" customFormat="true" ht="12.8" hidden="false" customHeight="false" outlineLevel="0" collapsed="false">
      <c r="B324" s="655"/>
      <c r="C324" s="479"/>
      <c r="D324" s="307"/>
      <c r="F324" s="115" t="s">
        <v>1108</v>
      </c>
      <c r="G324" s="717" t="n">
        <v>4</v>
      </c>
      <c r="H324" s="459"/>
      <c r="I324" s="483" t="n">
        <f aca="false">VLOOKUP(F324,'Рулонки компл. Амиго '!$B$7:$D$1031,3,0)</f>
        <v>3.02005</v>
      </c>
      <c r="J324" s="483" t="n">
        <f aca="false">I324*G324</f>
        <v>12.0802</v>
      </c>
      <c r="K324" s="483" t="n">
        <f aca="false">J324*$K$4</f>
        <v>24.1604</v>
      </c>
      <c r="L324" s="692"/>
      <c r="M324" s="692"/>
      <c r="N324" s="0"/>
      <c r="O324" s="459"/>
      <c r="P324" s="0"/>
      <c r="Q324" s="482"/>
      <c r="R324" s="482"/>
      <c r="S324" s="666"/>
      <c r="T324" s="666"/>
      <c r="U324" s="666"/>
    </row>
    <row r="325" s="331" customFormat="true" ht="12.8" hidden="false" customHeight="false" outlineLevel="0" collapsed="false">
      <c r="B325" s="655"/>
      <c r="C325" s="479"/>
      <c r="D325" s="307"/>
      <c r="F325" s="115" t="s">
        <v>1116</v>
      </c>
      <c r="G325" s="720" t="n">
        <v>1</v>
      </c>
      <c r="H325" s="459"/>
      <c r="I325" s="483" t="n">
        <f aca="false">VLOOKUP(F325,'Рулонки компл. Амиго '!$B$7:$D$1031,3,0)</f>
        <v>407.3436907155</v>
      </c>
      <c r="J325" s="483" t="n">
        <f aca="false">I325*G325</f>
        <v>407.3436907155</v>
      </c>
      <c r="K325" s="483" t="n">
        <f aca="false">J325*$K$4</f>
        <v>814.687381431</v>
      </c>
      <c r="L325" s="692"/>
      <c r="M325" s="692"/>
      <c r="N325" s="0"/>
      <c r="O325" s="459"/>
      <c r="P325" s="0"/>
      <c r="Q325" s="482"/>
      <c r="R325" s="482"/>
      <c r="S325" s="666"/>
      <c r="T325" s="666"/>
      <c r="U325" s="666"/>
    </row>
    <row r="326" s="331" customFormat="true" ht="12.8" hidden="false" customHeight="false" outlineLevel="0" collapsed="false">
      <c r="B326" s="655"/>
      <c r="C326" s="479"/>
      <c r="D326" s="307"/>
      <c r="F326" s="728" t="s">
        <v>1109</v>
      </c>
      <c r="G326" s="719" t="n">
        <v>2</v>
      </c>
      <c r="H326" s="459"/>
      <c r="I326" s="483" t="n">
        <f aca="false">VLOOKUP(F326,'Рулонки компл. Амиго '!$B$7:$D$1031,3,0)</f>
        <v>29.2095659625</v>
      </c>
      <c r="J326" s="483" t="n">
        <f aca="false">I326*G326</f>
        <v>58.419131925</v>
      </c>
      <c r="K326" s="483" t="n">
        <f aca="false">J326*$K$4</f>
        <v>116.83826385</v>
      </c>
      <c r="L326" s="692"/>
      <c r="M326" s="692"/>
      <c r="N326" s="0"/>
      <c r="O326" s="459"/>
      <c r="P326" s="0"/>
      <c r="Q326" s="482"/>
      <c r="R326" s="482"/>
      <c r="S326" s="666"/>
      <c r="T326" s="666"/>
      <c r="U326" s="666"/>
    </row>
    <row r="327" s="490" customFormat="true" ht="12.8" hidden="false" customHeight="false" outlineLevel="0" collapsed="false">
      <c r="B327" s="693"/>
      <c r="C327" s="682"/>
      <c r="D327" s="683"/>
      <c r="F327" s="708" t="s">
        <v>1110</v>
      </c>
      <c r="G327" s="721" t="n">
        <v>2</v>
      </c>
      <c r="H327" s="491"/>
      <c r="I327" s="685" t="n">
        <f aca="false">VLOOKUP(F327,'Рулонки компл. Амиго '!$B$7:$D$1031,3,0)</f>
        <v>535.3349133825</v>
      </c>
      <c r="J327" s="685" t="n">
        <f aca="false">I327*G327</f>
        <v>1070.669826765</v>
      </c>
      <c r="K327" s="685" t="n">
        <f aca="false">J327*$K$4</f>
        <v>2141.33965353</v>
      </c>
      <c r="L327" s="694"/>
      <c r="M327" s="694"/>
      <c r="N327" s="489"/>
      <c r="O327" s="491"/>
      <c r="P327" s="489"/>
      <c r="Q327" s="687"/>
      <c r="R327" s="687"/>
      <c r="S327" s="688"/>
      <c r="T327" s="688"/>
      <c r="U327" s="688"/>
    </row>
    <row r="328" s="490" customFormat="true" ht="12.8" hidden="false" customHeight="false" outlineLevel="0" collapsed="false">
      <c r="B328" s="693"/>
      <c r="C328" s="682"/>
      <c r="D328" s="683"/>
      <c r="F328" s="704" t="s">
        <v>1069</v>
      </c>
      <c r="G328" s="729" t="n">
        <v>2</v>
      </c>
      <c r="H328" s="491"/>
      <c r="I328" s="685" t="n">
        <f aca="false">VLOOKUP(F328,'Рулонки компл. Амиго '!$B$7:$D$1031,3,0)</f>
        <v>157.3050661875</v>
      </c>
      <c r="J328" s="685" t="n">
        <f aca="false">I328*G328</f>
        <v>314.610132375</v>
      </c>
      <c r="K328" s="685" t="n">
        <f aca="false">J328*$K$4</f>
        <v>629.22026475</v>
      </c>
      <c r="L328" s="694"/>
      <c r="M328" s="694"/>
      <c r="N328" s="489"/>
      <c r="O328" s="491"/>
      <c r="P328" s="489"/>
      <c r="Q328" s="687"/>
      <c r="R328" s="687"/>
      <c r="S328" s="688"/>
      <c r="T328" s="688"/>
      <c r="U328" s="688"/>
    </row>
    <row r="329" s="490" customFormat="true" ht="12.8" hidden="false" customHeight="false" outlineLevel="0" collapsed="false">
      <c r="B329" s="693"/>
      <c r="C329" s="682"/>
      <c r="D329" s="683"/>
      <c r="F329" s="708" t="s">
        <v>1093</v>
      </c>
      <c r="G329" s="490" t="n">
        <v>1.2</v>
      </c>
      <c r="H329" s="491" t="s">
        <v>1024</v>
      </c>
      <c r="I329" s="685" t="n">
        <f aca="false">VLOOKUP(F329,'Рулонки компл. Амиго '!$B$7:$D$1031,3,0)</f>
        <v>1517.51835714285</v>
      </c>
      <c r="J329" s="685" t="n">
        <f aca="false">I329*G329</f>
        <v>1821.02202857142</v>
      </c>
      <c r="K329" s="685" t="n">
        <f aca="false">J329*$K$4</f>
        <v>3642.04405714285</v>
      </c>
      <c r="L329" s="694"/>
      <c r="M329" s="694"/>
      <c r="N329" s="489"/>
      <c r="O329" s="491"/>
      <c r="P329" s="489"/>
      <c r="Q329" s="687"/>
      <c r="R329" s="687"/>
      <c r="S329" s="688"/>
      <c r="T329" s="688"/>
      <c r="U329" s="688"/>
    </row>
    <row r="330" s="490" customFormat="true" ht="12.8" hidden="false" customHeight="false" outlineLevel="0" collapsed="false">
      <c r="B330" s="693"/>
      <c r="C330" s="682"/>
      <c r="D330" s="683"/>
      <c r="F330" s="732" t="s">
        <v>1111</v>
      </c>
      <c r="G330" s="490" t="n">
        <v>1.2</v>
      </c>
      <c r="H330" s="491" t="s">
        <v>1024</v>
      </c>
      <c r="I330" s="685" t="n">
        <f aca="false">VLOOKUP(F330,'Рулонки компл. Амиго '!$B$7:$D$1031,3,0)</f>
        <v>1207.02914285715</v>
      </c>
      <c r="J330" s="685" t="n">
        <f aca="false">I330*G330</f>
        <v>1448.43497142858</v>
      </c>
      <c r="K330" s="685" t="n">
        <f aca="false">J330*$K$4</f>
        <v>2896.86994285715</v>
      </c>
      <c r="L330" s="694"/>
      <c r="M330" s="694"/>
      <c r="N330" s="489"/>
      <c r="O330" s="491"/>
      <c r="P330" s="489"/>
      <c r="Q330" s="687"/>
      <c r="R330" s="687"/>
      <c r="S330" s="688"/>
      <c r="T330" s="688"/>
      <c r="U330" s="688"/>
    </row>
    <row r="331" s="490" customFormat="true" ht="12.8" hidden="false" customHeight="false" outlineLevel="0" collapsed="false">
      <c r="B331" s="693"/>
      <c r="C331" s="682"/>
      <c r="D331" s="683"/>
      <c r="F331" s="732" t="s">
        <v>1112</v>
      </c>
      <c r="G331" s="490" t="n">
        <v>1.2</v>
      </c>
      <c r="H331" s="491" t="s">
        <v>1024</v>
      </c>
      <c r="I331" s="685" t="n">
        <f aca="false">VLOOKUP(F331,'Рулонки компл. Амиго '!$B$7:$D$1031,3,0)</f>
        <v>1982.03425</v>
      </c>
      <c r="J331" s="685" t="n">
        <f aca="false">I331*G331</f>
        <v>2378.4411</v>
      </c>
      <c r="K331" s="685" t="n">
        <f aca="false">J331*$K$4</f>
        <v>4756.8822</v>
      </c>
      <c r="L331" s="694"/>
      <c r="M331" s="694"/>
      <c r="N331" s="489"/>
      <c r="O331" s="491"/>
      <c r="P331" s="489"/>
      <c r="Q331" s="687"/>
      <c r="R331" s="687"/>
      <c r="S331" s="688"/>
      <c r="T331" s="688"/>
      <c r="U331" s="688"/>
    </row>
    <row r="332" s="331" customFormat="true" ht="12.8" hidden="false" customHeight="false" outlineLevel="0" collapsed="false">
      <c r="B332" s="655"/>
      <c r="C332" s="479"/>
      <c r="D332" s="307"/>
      <c r="H332" s="459"/>
      <c r="L332" s="692"/>
      <c r="M332" s="692"/>
      <c r="N332" s="0"/>
      <c r="O332" s="459"/>
      <c r="P332" s="0"/>
      <c r="Q332" s="482"/>
      <c r="R332" s="482"/>
      <c r="S332" s="666"/>
      <c r="T332" s="666"/>
      <c r="U332" s="666"/>
    </row>
    <row r="333" s="331" customFormat="true" ht="21.05" hidden="false" customHeight="false" outlineLevel="0" collapsed="false">
      <c r="A333" s="246" t="str">
        <f aca="false">"Рул - "&amp;B333</f>
        <v>Рул - 30</v>
      </c>
      <c r="B333" s="655" t="n">
        <v>30</v>
      </c>
      <c r="C333" s="690" t="s">
        <v>1011</v>
      </c>
      <c r="D333" s="307" t="s">
        <v>1115</v>
      </c>
      <c r="E333" s="331" t="n">
        <v>1</v>
      </c>
      <c r="F333" s="691" t="s">
        <v>1011</v>
      </c>
      <c r="H333" s="459"/>
      <c r="L333" s="692" t="n">
        <f aca="false">SUM(K336:K344)</f>
        <v>4119.278462277</v>
      </c>
      <c r="M333" s="694" t="n">
        <f aca="false">SUM(K345:K349)</f>
        <v>16474.1389754229</v>
      </c>
      <c r="N333" s="0"/>
      <c r="O333" s="459"/>
      <c r="P333" s="728" t="s">
        <v>1098</v>
      </c>
      <c r="Q333" s="733"/>
      <c r="R333" s="733"/>
      <c r="S333" s="734" t="n">
        <v>1</v>
      </c>
      <c r="T333" s="734"/>
      <c r="U333" s="332" t="s">
        <v>824</v>
      </c>
    </row>
    <row r="334" s="331" customFormat="true" ht="12.8" hidden="false" customHeight="false" outlineLevel="0" collapsed="false">
      <c r="B334" s="655"/>
      <c r="C334" s="695"/>
      <c r="D334" s="307"/>
      <c r="F334" s="725" t="s">
        <v>1085</v>
      </c>
      <c r="G334" s="331" t="n">
        <v>1</v>
      </c>
      <c r="H334" s="459"/>
      <c r="I334" s="483" t="n">
        <f aca="false">VLOOKUP(F334,'Рулонки компл. Амиго '!$B$7:$D$1031,3,0)</f>
        <v>195.3426754125</v>
      </c>
      <c r="J334" s="483" t="n">
        <f aca="false">I334*G334</f>
        <v>195.3426754125</v>
      </c>
      <c r="K334" s="483" t="n">
        <f aca="false">J334*$K$4</f>
        <v>390.685350825</v>
      </c>
      <c r="L334" s="692"/>
      <c r="M334" s="694"/>
      <c r="N334" s="0"/>
      <c r="O334" s="459"/>
      <c r="P334" s="0"/>
      <c r="Q334" s="482"/>
      <c r="R334" s="482"/>
      <c r="S334" s="666"/>
      <c r="T334" s="666"/>
      <c r="U334" s="666"/>
    </row>
    <row r="335" s="331" customFormat="true" ht="12.8" hidden="false" customHeight="false" outlineLevel="0" collapsed="false">
      <c r="B335" s="655"/>
      <c r="C335" s="695"/>
      <c r="D335" s="307"/>
      <c r="F335" s="115" t="s">
        <v>1086</v>
      </c>
      <c r="G335" s="331" t="n">
        <v>1</v>
      </c>
      <c r="H335" s="459"/>
      <c r="I335" s="483" t="n">
        <f aca="false">VLOOKUP(F335,'Рулонки компл. Амиго '!$B$7:$D$1031,3,0)</f>
        <v>389.33448246</v>
      </c>
      <c r="J335" s="483" t="n">
        <f aca="false">I335*G335</f>
        <v>389.33448246</v>
      </c>
      <c r="K335" s="483" t="n">
        <f aca="false">J335*$K$4</f>
        <v>778.66896492</v>
      </c>
      <c r="L335" s="692"/>
      <c r="M335" s="694"/>
      <c r="N335" s="0"/>
      <c r="O335" s="459"/>
      <c r="P335" s="0"/>
      <c r="Q335" s="482"/>
      <c r="R335" s="482"/>
      <c r="S335" s="666"/>
      <c r="T335" s="666"/>
      <c r="U335" s="666"/>
    </row>
    <row r="336" s="331" customFormat="true" ht="12.8" hidden="false" customHeight="false" outlineLevel="0" collapsed="false">
      <c r="B336" s="655"/>
      <c r="C336" s="479"/>
      <c r="D336" s="307"/>
      <c r="F336" s="115" t="s">
        <v>1105</v>
      </c>
      <c r="G336" s="719" t="n">
        <v>1</v>
      </c>
      <c r="H336" s="459"/>
      <c r="I336" s="483" t="n">
        <f aca="false">VLOOKUP(F336,'Рулонки компл. Амиго '!$B$7:$D$1031,3,0)</f>
        <v>214.0889364075</v>
      </c>
      <c r="J336" s="483" t="n">
        <f aca="false">I336*G336</f>
        <v>214.0889364075</v>
      </c>
      <c r="K336" s="483" t="n">
        <f aca="false">J336*$K$4</f>
        <v>428.177872815</v>
      </c>
      <c r="L336" s="692"/>
      <c r="M336" s="692"/>
      <c r="N336" s="0"/>
      <c r="O336" s="459"/>
      <c r="P336" s="0"/>
      <c r="Q336" s="482"/>
      <c r="R336" s="482"/>
      <c r="S336" s="666"/>
      <c r="T336" s="666"/>
      <c r="U336" s="666"/>
    </row>
    <row r="337" s="331" customFormat="true" ht="12.8" hidden="false" customHeight="false" outlineLevel="0" collapsed="false">
      <c r="B337" s="655"/>
      <c r="C337" s="479"/>
      <c r="D337" s="307"/>
      <c r="F337" s="115" t="s">
        <v>1106</v>
      </c>
      <c r="G337" s="718" t="n">
        <v>1</v>
      </c>
      <c r="H337" s="459"/>
      <c r="I337" s="483" t="n">
        <f aca="false">VLOOKUP(F337,'Рулонки компл. Амиго '!$B$7:$D$1031,3,0)</f>
        <v>214.0889364075</v>
      </c>
      <c r="J337" s="483" t="n">
        <f aca="false">I337*G337</f>
        <v>214.0889364075</v>
      </c>
      <c r="K337" s="483" t="n">
        <f aca="false">J337*$K$4</f>
        <v>428.177872815</v>
      </c>
      <c r="L337" s="692"/>
      <c r="M337" s="692"/>
      <c r="N337" s="0"/>
      <c r="O337" s="459"/>
      <c r="P337" s="0"/>
      <c r="Q337" s="482"/>
      <c r="R337" s="482"/>
      <c r="S337" s="666"/>
      <c r="T337" s="666"/>
      <c r="U337" s="666"/>
    </row>
    <row r="338" s="331" customFormat="true" ht="12.8" hidden="false" customHeight="false" outlineLevel="0" collapsed="false">
      <c r="B338" s="655"/>
      <c r="C338" s="479"/>
      <c r="D338" s="307"/>
      <c r="F338" s="115" t="s">
        <v>1107</v>
      </c>
      <c r="G338" s="719" t="n">
        <v>2</v>
      </c>
      <c r="H338" s="459"/>
      <c r="I338" s="483" t="n">
        <f aca="false">VLOOKUP(F338,'Рулонки компл. Амиго '!$B$7:$D$1031,3,0)</f>
        <v>155.681654205</v>
      </c>
      <c r="J338" s="483" t="n">
        <f aca="false">I338*G338</f>
        <v>311.36330841</v>
      </c>
      <c r="K338" s="483" t="n">
        <f aca="false">J338*$K$4</f>
        <v>622.72661682</v>
      </c>
      <c r="L338" s="692"/>
      <c r="M338" s="692"/>
      <c r="N338" s="0"/>
      <c r="O338" s="459"/>
      <c r="P338" s="0"/>
      <c r="Q338" s="482"/>
      <c r="R338" s="482"/>
      <c r="S338" s="666"/>
      <c r="T338" s="666"/>
      <c r="U338" s="666"/>
    </row>
    <row r="339" s="331" customFormat="true" ht="12.8" hidden="false" customHeight="false" outlineLevel="0" collapsed="false">
      <c r="B339" s="655"/>
      <c r="C339" s="479"/>
      <c r="D339" s="307"/>
      <c r="F339" s="115" t="s">
        <v>1099</v>
      </c>
      <c r="G339" s="719" t="n">
        <v>2</v>
      </c>
      <c r="H339" s="459"/>
      <c r="I339" s="483" t="n">
        <f aca="false">VLOOKUP(F339,'Рулонки компл. Амиго '!$B$7:$D$1031,3,0)</f>
        <v>168.4912042275</v>
      </c>
      <c r="J339" s="483" t="n">
        <f aca="false">I339*G339</f>
        <v>336.982408455</v>
      </c>
      <c r="K339" s="483" t="n">
        <f aca="false">J339*$K$4</f>
        <v>673.96481691</v>
      </c>
      <c r="L339" s="692"/>
      <c r="M339" s="692"/>
      <c r="N339" s="0"/>
      <c r="O339" s="459"/>
      <c r="P339" s="0"/>
      <c r="Q339" s="482"/>
      <c r="R339" s="482"/>
      <c r="S339" s="666"/>
      <c r="T339" s="666"/>
      <c r="U339" s="666"/>
    </row>
    <row r="340" s="331" customFormat="true" ht="12.8" hidden="false" customHeight="false" outlineLevel="0" collapsed="false">
      <c r="B340" s="655"/>
      <c r="C340" s="479"/>
      <c r="D340" s="307"/>
      <c r="F340" s="115" t="s">
        <v>1094</v>
      </c>
      <c r="G340" s="719" t="n">
        <v>1</v>
      </c>
      <c r="H340" s="459"/>
      <c r="I340" s="483" t="n">
        <f aca="false">VLOOKUP(F340,'Рулонки компл. Амиго '!$B$7:$D$1031,3,0)</f>
        <v>288.5288931525</v>
      </c>
      <c r="J340" s="483" t="n">
        <f aca="false">I340*G340</f>
        <v>288.5288931525</v>
      </c>
      <c r="K340" s="483" t="n">
        <f aca="false">J340*$K$4</f>
        <v>577.057786305</v>
      </c>
      <c r="L340" s="692"/>
      <c r="M340" s="692"/>
      <c r="N340" s="0"/>
      <c r="O340" s="459"/>
      <c r="P340" s="0"/>
      <c r="Q340" s="482"/>
      <c r="R340" s="482"/>
      <c r="S340" s="666"/>
      <c r="T340" s="666"/>
      <c r="U340" s="666"/>
    </row>
    <row r="341" s="331" customFormat="true" ht="12.8" hidden="false" customHeight="false" outlineLevel="0" collapsed="false">
      <c r="B341" s="655"/>
      <c r="C341" s="479"/>
      <c r="D341" s="307"/>
      <c r="F341" s="115" t="s">
        <v>1090</v>
      </c>
      <c r="G341" s="717" t="n">
        <v>1</v>
      </c>
      <c r="H341" s="459"/>
      <c r="I341" s="483" t="n">
        <f aca="false">VLOOKUP(F341,'Рулонки компл. Амиго '!$B$7:$D$1031,3,0)</f>
        <v>228.628545915</v>
      </c>
      <c r="J341" s="483" t="n">
        <f aca="false">I341*G341</f>
        <v>228.628545915</v>
      </c>
      <c r="K341" s="483" t="n">
        <f aca="false">J341*$K$4</f>
        <v>457.25709183</v>
      </c>
      <c r="L341" s="692"/>
      <c r="M341" s="692"/>
      <c r="N341" s="0"/>
      <c r="O341" s="459"/>
      <c r="P341" s="0"/>
      <c r="Q341" s="482"/>
      <c r="R341" s="482"/>
      <c r="S341" s="666"/>
      <c r="T341" s="666"/>
      <c r="U341" s="666"/>
    </row>
    <row r="342" s="331" customFormat="true" ht="12.8" hidden="false" customHeight="false" outlineLevel="0" collapsed="false">
      <c r="B342" s="655"/>
      <c r="C342" s="479"/>
      <c r="D342" s="307"/>
      <c r="F342" s="115" t="s">
        <v>1108</v>
      </c>
      <c r="G342" s="717" t="n">
        <v>4</v>
      </c>
      <c r="H342" s="459"/>
      <c r="I342" s="483" t="n">
        <f aca="false">VLOOKUP(F342,'Рулонки компл. Амиго '!$B$7:$D$1031,3,0)</f>
        <v>3.02005</v>
      </c>
      <c r="J342" s="483" t="n">
        <f aca="false">I342*G342</f>
        <v>12.0802</v>
      </c>
      <c r="K342" s="483" t="n">
        <f aca="false">J342*$K$4</f>
        <v>24.1604</v>
      </c>
      <c r="L342" s="692"/>
      <c r="M342" s="692"/>
      <c r="N342" s="0"/>
      <c r="O342" s="459"/>
      <c r="P342" s="0"/>
      <c r="Q342" s="482"/>
      <c r="R342" s="482"/>
      <c r="S342" s="666"/>
      <c r="T342" s="666"/>
      <c r="U342" s="666"/>
    </row>
    <row r="343" s="331" customFormat="true" ht="12.8" hidden="false" customHeight="false" outlineLevel="0" collapsed="false">
      <c r="B343" s="655"/>
      <c r="C343" s="479"/>
      <c r="D343" s="307"/>
      <c r="F343" s="115" t="s">
        <v>1103</v>
      </c>
      <c r="G343" s="720" t="n">
        <v>1</v>
      </c>
      <c r="H343" s="459"/>
      <c r="I343" s="483" t="n">
        <f aca="false">VLOOKUP(F343,'Рулонки компл. Амиго '!$B$7:$D$1031,3,0)</f>
        <v>395.458870466</v>
      </c>
      <c r="J343" s="483" t="n">
        <f aca="false">I343*G343</f>
        <v>395.458870466</v>
      </c>
      <c r="K343" s="483" t="n">
        <f aca="false">J343*$K$4</f>
        <v>790.917740932</v>
      </c>
      <c r="L343" s="692"/>
      <c r="M343" s="692"/>
      <c r="N343" s="0"/>
      <c r="O343" s="459"/>
      <c r="P343" s="0"/>
      <c r="Q343" s="482"/>
      <c r="R343" s="482"/>
      <c r="S343" s="666"/>
      <c r="T343" s="666"/>
      <c r="U343" s="666"/>
    </row>
    <row r="344" s="331" customFormat="true" ht="12.8" hidden="false" customHeight="false" outlineLevel="0" collapsed="false">
      <c r="B344" s="655"/>
      <c r="C344" s="479"/>
      <c r="D344" s="307"/>
      <c r="F344" s="728" t="s">
        <v>1109</v>
      </c>
      <c r="G344" s="719" t="n">
        <v>2</v>
      </c>
      <c r="H344" s="459"/>
      <c r="I344" s="483" t="n">
        <f aca="false">VLOOKUP(F344,'Рулонки компл. Амиго '!$B$7:$D$1031,3,0)</f>
        <v>29.2095659625</v>
      </c>
      <c r="J344" s="483" t="n">
        <f aca="false">I344*G344</f>
        <v>58.419131925</v>
      </c>
      <c r="K344" s="483" t="n">
        <f aca="false">J344*$K$4</f>
        <v>116.83826385</v>
      </c>
      <c r="L344" s="692"/>
      <c r="M344" s="692"/>
      <c r="N344" s="0"/>
      <c r="O344" s="459"/>
      <c r="P344" s="0"/>
      <c r="Q344" s="482"/>
      <c r="R344" s="482"/>
      <c r="S344" s="666"/>
      <c r="T344" s="666"/>
      <c r="U344" s="666"/>
    </row>
    <row r="345" s="490" customFormat="true" ht="12.8" hidden="false" customHeight="false" outlineLevel="0" collapsed="false">
      <c r="B345" s="693"/>
      <c r="C345" s="682"/>
      <c r="D345" s="683"/>
      <c r="F345" s="735" t="s">
        <v>1110</v>
      </c>
      <c r="G345" s="721" t="n">
        <v>2</v>
      </c>
      <c r="I345" s="685" t="n">
        <f aca="false">VLOOKUP(F345,'Рулонки компл. Амиго '!$B$7:$D$1031,3,0)</f>
        <v>535.3349133825</v>
      </c>
      <c r="J345" s="685" t="n">
        <f aca="false">I345*G345</f>
        <v>1070.669826765</v>
      </c>
      <c r="K345" s="685" t="n">
        <f aca="false">J345*$K$4</f>
        <v>2141.33965353</v>
      </c>
      <c r="L345" s="694"/>
      <c r="M345" s="694"/>
      <c r="N345" s="489"/>
      <c r="O345" s="491"/>
      <c r="P345" s="489"/>
      <c r="Q345" s="687"/>
      <c r="R345" s="687"/>
      <c r="S345" s="688"/>
      <c r="T345" s="688"/>
      <c r="U345" s="688"/>
    </row>
    <row r="346" s="490" customFormat="true" ht="12.8" hidden="false" customHeight="false" outlineLevel="0" collapsed="false">
      <c r="B346" s="693"/>
      <c r="C346" s="682"/>
      <c r="D346" s="683"/>
      <c r="F346" s="704" t="s">
        <v>1069</v>
      </c>
      <c r="G346" s="729" t="n">
        <v>2</v>
      </c>
      <c r="H346" s="491"/>
      <c r="I346" s="685" t="n">
        <f aca="false">VLOOKUP(F346,'Рулонки компл. Амиго '!$B$7:$D$1031,3,0)</f>
        <v>157.3050661875</v>
      </c>
      <c r="J346" s="685" t="n">
        <f aca="false">I346*G346</f>
        <v>314.610132375</v>
      </c>
      <c r="K346" s="685" t="n">
        <f aca="false">J346*$K$4</f>
        <v>629.22026475</v>
      </c>
      <c r="L346" s="694"/>
      <c r="M346" s="694"/>
      <c r="N346" s="489"/>
      <c r="O346" s="491"/>
      <c r="P346" s="489"/>
      <c r="Q346" s="687"/>
      <c r="R346" s="687"/>
      <c r="S346" s="688"/>
      <c r="T346" s="688"/>
      <c r="U346" s="688"/>
    </row>
    <row r="347" s="490" customFormat="true" ht="12.8" hidden="false" customHeight="false" outlineLevel="0" collapsed="false">
      <c r="B347" s="693"/>
      <c r="C347" s="682"/>
      <c r="D347" s="683"/>
      <c r="F347" s="732" t="s">
        <v>1098</v>
      </c>
      <c r="G347" s="490" t="n">
        <v>1.2</v>
      </c>
      <c r="H347" s="491" t="s">
        <v>1024</v>
      </c>
      <c r="I347" s="685" t="n">
        <f aca="false">VLOOKUP(F347,'Рулонки компл. Амиго '!$B$7:$D$1031,3,0)</f>
        <v>2520.76121428572</v>
      </c>
      <c r="J347" s="685" t="n">
        <f aca="false">I347*G347</f>
        <v>3024.91345714286</v>
      </c>
      <c r="K347" s="685" t="n">
        <f aca="false">J347*$K$4</f>
        <v>6049.82691428572</v>
      </c>
      <c r="L347" s="694"/>
      <c r="M347" s="694"/>
      <c r="N347" s="489"/>
      <c r="O347" s="491"/>
      <c r="P347" s="489"/>
      <c r="Q347" s="687"/>
      <c r="R347" s="687"/>
      <c r="S347" s="688"/>
      <c r="T347" s="688"/>
      <c r="U347" s="688"/>
    </row>
    <row r="348" s="490" customFormat="true" ht="12.8" hidden="false" customHeight="false" outlineLevel="0" collapsed="false">
      <c r="B348" s="693"/>
      <c r="C348" s="682"/>
      <c r="D348" s="683"/>
      <c r="F348" s="732" t="s">
        <v>1111</v>
      </c>
      <c r="G348" s="490" t="n">
        <v>1.2</v>
      </c>
      <c r="H348" s="491" t="s">
        <v>1024</v>
      </c>
      <c r="I348" s="685" t="n">
        <f aca="false">VLOOKUP(F348,'Рулонки компл. Амиго '!$B$7:$D$1031,3,0)</f>
        <v>1207.02914285715</v>
      </c>
      <c r="J348" s="685" t="n">
        <f aca="false">I348*G348</f>
        <v>1448.43497142858</v>
      </c>
      <c r="K348" s="685" t="n">
        <f aca="false">J348*$K$4</f>
        <v>2896.86994285715</v>
      </c>
      <c r="L348" s="694"/>
      <c r="M348" s="694"/>
      <c r="N348" s="489"/>
      <c r="O348" s="491"/>
      <c r="P348" s="489"/>
      <c r="Q348" s="687"/>
      <c r="R348" s="687"/>
      <c r="S348" s="688"/>
      <c r="T348" s="688"/>
      <c r="U348" s="688"/>
    </row>
    <row r="349" s="490" customFormat="true" ht="12.8" hidden="false" customHeight="false" outlineLevel="0" collapsed="false">
      <c r="B349" s="693"/>
      <c r="C349" s="682"/>
      <c r="D349" s="683"/>
      <c r="F349" s="732" t="s">
        <v>1112</v>
      </c>
      <c r="G349" s="490" t="n">
        <v>1.2</v>
      </c>
      <c r="H349" s="491" t="s">
        <v>1024</v>
      </c>
      <c r="I349" s="685" t="n">
        <f aca="false">VLOOKUP(F349,'Рулонки компл. Амиго '!$B$7:$D$1031,3,0)</f>
        <v>1982.03425</v>
      </c>
      <c r="J349" s="685" t="n">
        <f aca="false">I349*G349</f>
        <v>2378.4411</v>
      </c>
      <c r="K349" s="685" t="n">
        <f aca="false">J349*$K$4</f>
        <v>4756.8822</v>
      </c>
      <c r="L349" s="694"/>
      <c r="M349" s="694"/>
      <c r="N349" s="489"/>
      <c r="O349" s="491"/>
      <c r="P349" s="489"/>
      <c r="Q349" s="687"/>
      <c r="R349" s="687"/>
      <c r="S349" s="688"/>
      <c r="T349" s="688"/>
      <c r="U349" s="688"/>
    </row>
    <row r="350" s="331" customFormat="true" ht="12.8" hidden="false" customHeight="false" outlineLevel="0" collapsed="false">
      <c r="B350" s="655"/>
      <c r="C350" s="479"/>
      <c r="D350" s="307"/>
      <c r="L350" s="692"/>
      <c r="M350" s="692"/>
      <c r="N350" s="0"/>
      <c r="O350" s="459"/>
      <c r="P350" s="0"/>
      <c r="Q350" s="482"/>
      <c r="R350" s="482"/>
      <c r="S350" s="666"/>
      <c r="T350" s="666"/>
      <c r="U350" s="666"/>
    </row>
    <row r="351" s="331" customFormat="true" ht="35.5" hidden="false" customHeight="false" outlineLevel="0" collapsed="false">
      <c r="A351" s="246" t="str">
        <f aca="false">"Рул - "&amp;B351</f>
        <v>Рул - 31</v>
      </c>
      <c r="B351" s="655" t="n">
        <v>31</v>
      </c>
      <c r="C351" s="335" t="s">
        <v>1117</v>
      </c>
      <c r="D351" s="331" t="s">
        <v>1118</v>
      </c>
      <c r="E351" s="331" t="n">
        <v>1</v>
      </c>
      <c r="F351" s="691" t="s">
        <v>1117</v>
      </c>
      <c r="L351" s="692" t="n">
        <f aca="false">SUM(K352:K359)</f>
        <v>4302.9609309566</v>
      </c>
      <c r="M351" s="694" t="n">
        <f aca="false">SUM(K360:K361)</f>
        <v>2905.70156094643</v>
      </c>
      <c r="N351" s="0"/>
      <c r="O351" s="459" t="n">
        <v>1</v>
      </c>
      <c r="P351" s="0" t="s">
        <v>1084</v>
      </c>
      <c r="Q351" s="482"/>
      <c r="R351" s="482"/>
      <c r="S351" s="666" t="n">
        <v>2</v>
      </c>
      <c r="T351" s="666"/>
      <c r="U351" s="332" t="s">
        <v>824</v>
      </c>
    </row>
    <row r="352" s="331" customFormat="true" ht="12.8" hidden="false" customHeight="false" outlineLevel="0" collapsed="false">
      <c r="B352" s="655"/>
      <c r="C352" s="335"/>
      <c r="D352" s="307"/>
      <c r="F352" s="115" t="s">
        <v>1085</v>
      </c>
      <c r="G352" s="0" t="n">
        <v>1</v>
      </c>
      <c r="I352" s="483" t="n">
        <f aca="false">VLOOKUP(F352,'Рулонки компл. Амиго '!$B$7:$D$1031,3,0)</f>
        <v>195.3426754125</v>
      </c>
      <c r="J352" s="483" t="n">
        <f aca="false">I352*G352</f>
        <v>195.3426754125</v>
      </c>
      <c r="K352" s="483" t="n">
        <f aca="false">J352*$K$4</f>
        <v>390.685350825</v>
      </c>
      <c r="L352" s="0"/>
      <c r="M352" s="0"/>
      <c r="N352" s="0"/>
      <c r="O352" s="616"/>
      <c r="P352" s="0"/>
      <c r="Q352" s="482"/>
      <c r="R352" s="482"/>
      <c r="S352" s="666"/>
      <c r="T352" s="666"/>
      <c r="U352" s="666"/>
    </row>
    <row r="353" s="331" customFormat="true" ht="12.8" hidden="false" customHeight="false" outlineLevel="0" collapsed="false">
      <c r="B353" s="655"/>
      <c r="C353" s="335"/>
      <c r="D353" s="307"/>
      <c r="F353" s="331" t="s">
        <v>1119</v>
      </c>
      <c r="G353" s="331" t="n">
        <v>1</v>
      </c>
      <c r="I353" s="483" t="n">
        <f aca="false">VLOOKUP(F353,'Рулонки компл. Амиго '!$B$7:$D$1031,3,0)</f>
        <v>397.2026982</v>
      </c>
      <c r="J353" s="483" t="n">
        <f aca="false">I353*G353</f>
        <v>397.2026982</v>
      </c>
      <c r="K353" s="483" t="n">
        <f aca="false">J353*$K$4</f>
        <v>794.4053964</v>
      </c>
      <c r="L353" s="692"/>
      <c r="M353" s="692"/>
      <c r="N353" s="0"/>
      <c r="O353" s="459"/>
      <c r="P353" s="0"/>
      <c r="Q353" s="482"/>
      <c r="R353" s="482"/>
      <c r="S353" s="666"/>
      <c r="T353" s="666"/>
      <c r="U353" s="666"/>
    </row>
    <row r="354" s="331" customFormat="true" ht="12.8" hidden="false" customHeight="false" outlineLevel="0" collapsed="false">
      <c r="B354" s="655"/>
      <c r="C354" s="335"/>
      <c r="D354" s="307"/>
      <c r="F354" s="331" t="s">
        <v>1086</v>
      </c>
      <c r="G354" s="331" t="n">
        <v>1</v>
      </c>
      <c r="I354" s="483" t="n">
        <f aca="false">VLOOKUP(F354,'Рулонки компл. Амиго '!$B$7:$D$1031,3,0)</f>
        <v>389.33448246</v>
      </c>
      <c r="J354" s="483" t="n">
        <f aca="false">I354*G354</f>
        <v>389.33448246</v>
      </c>
      <c r="K354" s="483" t="n">
        <f aca="false">J354*$K$4</f>
        <v>778.66896492</v>
      </c>
      <c r="L354" s="692"/>
      <c r="M354" s="692"/>
      <c r="N354" s="0"/>
      <c r="O354" s="459"/>
      <c r="P354" s="0"/>
      <c r="Q354" s="482"/>
      <c r="R354" s="482"/>
      <c r="S354" s="666"/>
      <c r="T354" s="666"/>
      <c r="U354" s="666"/>
    </row>
    <row r="355" s="331" customFormat="true" ht="12.8" hidden="false" customHeight="false" outlineLevel="0" collapsed="false">
      <c r="B355" s="655"/>
      <c r="C355" s="335"/>
      <c r="D355" s="307"/>
      <c r="F355" s="331" t="s">
        <v>1087</v>
      </c>
      <c r="G355" s="331" t="n">
        <v>2</v>
      </c>
      <c r="I355" s="483" t="n">
        <f aca="false">VLOOKUP(F355,'Рулонки компл. Амиго '!$B$7:$D$1031,3,0)</f>
        <v>78.658457955</v>
      </c>
      <c r="J355" s="483" t="n">
        <f aca="false">I355*G355</f>
        <v>157.31691591</v>
      </c>
      <c r="K355" s="483" t="n">
        <f aca="false">J355*$K$4</f>
        <v>314.63383182</v>
      </c>
      <c r="L355" s="692"/>
      <c r="M355" s="692"/>
      <c r="N355" s="0"/>
      <c r="O355" s="459"/>
      <c r="P355" s="0"/>
      <c r="Q355" s="482"/>
      <c r="R355" s="482"/>
      <c r="S355" s="666"/>
      <c r="T355" s="666"/>
      <c r="U355" s="666"/>
    </row>
    <row r="356" s="331" customFormat="true" ht="12.8" hidden="false" customHeight="false" outlineLevel="0" collapsed="false">
      <c r="B356" s="655"/>
      <c r="C356" s="335"/>
      <c r="D356" s="307"/>
      <c r="F356" s="331" t="s">
        <v>1088</v>
      </c>
      <c r="G356" s="331" t="n">
        <v>2</v>
      </c>
      <c r="I356" s="483" t="n">
        <f aca="false">VLOOKUP(F356,'Рулонки компл. Амиго '!$B$7:$D$1031,3,0)</f>
        <v>38.4523495125</v>
      </c>
      <c r="J356" s="483" t="n">
        <f aca="false">I356*G356</f>
        <v>76.904699025</v>
      </c>
      <c r="K356" s="483" t="n">
        <f aca="false">J356*$K$4</f>
        <v>153.80939805</v>
      </c>
      <c r="L356" s="692"/>
      <c r="M356" s="692"/>
      <c r="N356" s="0"/>
      <c r="O356" s="459"/>
      <c r="P356" s="0"/>
      <c r="Q356" s="482"/>
      <c r="R356" s="482"/>
      <c r="S356" s="666"/>
      <c r="T356" s="666"/>
      <c r="U356" s="666"/>
    </row>
    <row r="357" s="331" customFormat="true" ht="12.8" hidden="false" customHeight="false" outlineLevel="0" collapsed="false">
      <c r="B357" s="655"/>
      <c r="C357" s="335"/>
      <c r="D357" s="307"/>
      <c r="F357" s="331" t="s">
        <v>1089</v>
      </c>
      <c r="G357" s="331" t="n">
        <v>2</v>
      </c>
      <c r="I357" s="483" t="n">
        <f aca="false">VLOOKUP(F357,'Рулонки компл. Амиго '!$B$7:$D$1031,3,0)</f>
        <v>75.530131215</v>
      </c>
      <c r="J357" s="483" t="n">
        <f aca="false">I357*G357</f>
        <v>151.06026243</v>
      </c>
      <c r="K357" s="483" t="n">
        <f aca="false">J357*$K$4</f>
        <v>302.12052486</v>
      </c>
      <c r="L357" s="692"/>
      <c r="M357" s="692"/>
      <c r="N357" s="0"/>
      <c r="O357" s="459"/>
      <c r="P357" s="0"/>
      <c r="Q357" s="482"/>
      <c r="R357" s="482"/>
      <c r="S357" s="666"/>
      <c r="T357" s="666"/>
      <c r="U357" s="666"/>
    </row>
    <row r="358" s="331" customFormat="true" ht="12.8" hidden="false" customHeight="false" outlineLevel="0" collapsed="false">
      <c r="B358" s="655"/>
      <c r="C358" s="335"/>
      <c r="D358" s="307"/>
      <c r="F358" s="115" t="s">
        <v>1090</v>
      </c>
      <c r="G358" s="331" t="n">
        <v>2</v>
      </c>
      <c r="I358" s="483" t="n">
        <f aca="false">VLOOKUP(F358,'Рулонки компл. Амиго '!$B$7:$D$1031,3,0)</f>
        <v>228.628545915</v>
      </c>
      <c r="J358" s="483" t="n">
        <f aca="false">I358*G358</f>
        <v>457.25709183</v>
      </c>
      <c r="K358" s="483" t="n">
        <f aca="false">J358*$K$4</f>
        <v>914.51418366</v>
      </c>
      <c r="L358" s="692"/>
      <c r="M358" s="692"/>
      <c r="N358" s="0"/>
      <c r="O358" s="459"/>
      <c r="P358" s="0"/>
      <c r="Q358" s="482"/>
      <c r="R358" s="482"/>
      <c r="S358" s="666"/>
      <c r="T358" s="666"/>
      <c r="U358" s="666"/>
    </row>
    <row r="359" s="331" customFormat="true" ht="12.8" hidden="false" customHeight="false" outlineLevel="0" collapsed="false">
      <c r="B359" s="655"/>
      <c r="C359" s="335"/>
      <c r="D359" s="307"/>
      <c r="F359" s="115" t="s">
        <v>1091</v>
      </c>
      <c r="G359" s="331" t="n">
        <v>2</v>
      </c>
      <c r="I359" s="483" t="n">
        <f aca="false">VLOOKUP(F359,'Рулонки компл. Амиго '!$B$7:$D$1031,3,0)</f>
        <v>163.5308201054</v>
      </c>
      <c r="J359" s="483" t="n">
        <f aca="false">I359*G359</f>
        <v>327.0616402108</v>
      </c>
      <c r="K359" s="483" t="n">
        <f aca="false">J359*$K$4</f>
        <v>654.1232804216</v>
      </c>
      <c r="L359" s="692"/>
      <c r="M359" s="692"/>
      <c r="N359" s="0"/>
      <c r="O359" s="459"/>
      <c r="P359" s="0"/>
      <c r="Q359" s="482"/>
      <c r="R359" s="482"/>
      <c r="S359" s="666"/>
      <c r="T359" s="666"/>
      <c r="U359" s="666"/>
    </row>
    <row r="360" s="490" customFormat="true" ht="12.8" hidden="false" customHeight="false" outlineLevel="0" collapsed="false">
      <c r="B360" s="693"/>
      <c r="C360" s="682"/>
      <c r="D360" s="683"/>
      <c r="F360" s="490" t="s">
        <v>1069</v>
      </c>
      <c r="G360" s="490" t="n">
        <v>1</v>
      </c>
      <c r="I360" s="685" t="n">
        <f aca="false">VLOOKUP(F360,'Рулонки компл. Амиго '!$B$7:$D$1031,3,0)</f>
        <v>157.3050661875</v>
      </c>
      <c r="J360" s="685" t="n">
        <f aca="false">I360*G360</f>
        <v>157.3050661875</v>
      </c>
      <c r="K360" s="685" t="n">
        <f aca="false">J360*$K$4</f>
        <v>314.610132375</v>
      </c>
      <c r="L360" s="694"/>
      <c r="M360" s="694"/>
      <c r="N360" s="489"/>
      <c r="O360" s="491"/>
      <c r="P360" s="489"/>
      <c r="Q360" s="687"/>
      <c r="R360" s="687"/>
      <c r="S360" s="688"/>
      <c r="T360" s="688"/>
      <c r="U360" s="688"/>
    </row>
    <row r="361" s="490" customFormat="true" ht="12.8" hidden="false" customHeight="false" outlineLevel="0" collapsed="false">
      <c r="B361" s="693"/>
      <c r="C361" s="682"/>
      <c r="D361" s="683"/>
      <c r="F361" s="708" t="s">
        <v>1084</v>
      </c>
      <c r="G361" s="490" t="n">
        <v>1.2</v>
      </c>
      <c r="H361" s="491" t="s">
        <v>1024</v>
      </c>
      <c r="I361" s="685" t="n">
        <f aca="false">VLOOKUP(F361,'Рулонки компл. Амиго '!$B$7:$D$1031,3,0)</f>
        <v>1079.62142857143</v>
      </c>
      <c r="J361" s="685" t="n">
        <f aca="false">I361*G361</f>
        <v>1295.54571428572</v>
      </c>
      <c r="K361" s="685" t="n">
        <f aca="false">J361*$K$4</f>
        <v>2591.09142857143</v>
      </c>
      <c r="L361" s="694"/>
      <c r="M361" s="694"/>
      <c r="N361" s="489"/>
      <c r="O361" s="491"/>
      <c r="P361" s="489"/>
      <c r="Q361" s="687"/>
      <c r="R361" s="687"/>
      <c r="S361" s="688"/>
      <c r="T361" s="688"/>
      <c r="U361" s="688"/>
    </row>
    <row r="362" s="331" customFormat="true" ht="12.8" hidden="false" customHeight="false" outlineLevel="0" collapsed="false">
      <c r="B362" s="655"/>
      <c r="C362" s="335"/>
      <c r="D362" s="307"/>
      <c r="L362" s="692"/>
      <c r="M362" s="692"/>
      <c r="N362" s="0"/>
      <c r="O362" s="459"/>
      <c r="P362" s="0"/>
      <c r="Q362" s="482"/>
      <c r="R362" s="482"/>
      <c r="S362" s="666"/>
      <c r="T362" s="666"/>
      <c r="U362" s="666"/>
    </row>
    <row r="363" s="331" customFormat="true" ht="12.8" hidden="false" customHeight="false" outlineLevel="0" collapsed="false">
      <c r="A363" s="246" t="str">
        <f aca="false">"Рул - "&amp;B363</f>
        <v>Рул - 32</v>
      </c>
      <c r="B363" s="655" t="n">
        <v>32</v>
      </c>
      <c r="C363" s="331" t="s">
        <v>1120</v>
      </c>
      <c r="D363" s="331" t="s">
        <v>1121</v>
      </c>
      <c r="E363" s="331" t="n">
        <v>1</v>
      </c>
      <c r="F363" s="691" t="s">
        <v>1120</v>
      </c>
      <c r="L363" s="665" t="n">
        <f aca="false">SUM(K364:K367)</f>
        <v>848.6774</v>
      </c>
      <c r="M363" s="679" t="n">
        <f aca="false">SUM(K368:K370)</f>
        <v>625.90464</v>
      </c>
      <c r="N363" s="706" t="n">
        <f aca="false">SUM(K371)</f>
        <v>197.676</v>
      </c>
      <c r="O363" s="459"/>
      <c r="P363" s="0" t="s">
        <v>1122</v>
      </c>
      <c r="Q363" s="482"/>
      <c r="R363" s="482"/>
      <c r="S363" s="666" t="n">
        <v>1</v>
      </c>
      <c r="T363" s="666"/>
      <c r="U363" s="666" t="s">
        <v>1123</v>
      </c>
    </row>
    <row r="364" s="331" customFormat="true" ht="12.8" hidden="false" customHeight="false" outlineLevel="0" collapsed="false">
      <c r="B364" s="655"/>
      <c r="C364" s="335"/>
      <c r="D364" s="307"/>
      <c r="F364" s="331" t="s">
        <v>1124</v>
      </c>
      <c r="G364" s="331" t="n">
        <v>1</v>
      </c>
      <c r="I364" s="483" t="n">
        <f aca="false">VLOOKUP(F364,'Рулонки компл. Амиго '!$B$7:$D$1031,3,0)</f>
        <v>30.0271</v>
      </c>
      <c r="J364" s="483" t="n">
        <f aca="false">I364*G364</f>
        <v>30.0271</v>
      </c>
      <c r="K364" s="483" t="n">
        <f aca="false">J364*$K$4</f>
        <v>60.0542</v>
      </c>
      <c r="L364" s="692"/>
      <c r="M364" s="692"/>
      <c r="N364" s="0"/>
      <c r="O364" s="459"/>
      <c r="P364" s="0"/>
      <c r="Q364" s="482"/>
      <c r="R364" s="482"/>
      <c r="S364" s="666"/>
      <c r="T364" s="666"/>
      <c r="U364" s="666"/>
    </row>
    <row r="365" s="331" customFormat="true" ht="12.8" hidden="false" customHeight="false" outlineLevel="0" collapsed="false">
      <c r="B365" s="655"/>
      <c r="C365" s="335"/>
      <c r="D365" s="307"/>
      <c r="F365" s="331" t="s">
        <v>1125</v>
      </c>
      <c r="G365" s="331" t="n">
        <v>1</v>
      </c>
      <c r="I365" s="483" t="n">
        <f aca="false">VLOOKUP(F365,'Рулонки компл. Амиго '!$B$7:$D$1031,3,0)</f>
        <v>262.404775</v>
      </c>
      <c r="J365" s="483" t="n">
        <f aca="false">I365*G365</f>
        <v>262.404775</v>
      </c>
      <c r="K365" s="483" t="n">
        <f aca="false">J365*$K$4</f>
        <v>524.80955</v>
      </c>
      <c r="L365" s="692"/>
      <c r="M365" s="692"/>
      <c r="N365" s="0"/>
      <c r="O365" s="459"/>
      <c r="P365" s="0"/>
      <c r="Q365" s="482"/>
      <c r="R365" s="482"/>
      <c r="S365" s="666"/>
      <c r="T365" s="666"/>
      <c r="U365" s="666"/>
    </row>
    <row r="366" s="331" customFormat="true" ht="12.8" hidden="false" customHeight="false" outlineLevel="0" collapsed="false">
      <c r="B366" s="655"/>
      <c r="C366" s="335"/>
      <c r="D366" s="307"/>
      <c r="F366" s="331" t="s">
        <v>1126</v>
      </c>
      <c r="G366" s="331" t="n">
        <v>2</v>
      </c>
      <c r="I366" s="483" t="n">
        <f aca="false">VLOOKUP(F366,'Рулонки компл. Амиго '!$B$7:$D$1031,3,0)</f>
        <v>3.56915</v>
      </c>
      <c r="J366" s="483" t="n">
        <f aca="false">I366*G366</f>
        <v>7.1383</v>
      </c>
      <c r="K366" s="483" t="n">
        <f aca="false">J366*$K$4</f>
        <v>14.2766</v>
      </c>
      <c r="L366" s="692"/>
      <c r="M366" s="692"/>
      <c r="N366" s="0"/>
      <c r="O366" s="459"/>
      <c r="P366" s="0"/>
      <c r="Q366" s="482"/>
      <c r="R366" s="482"/>
      <c r="S366" s="666"/>
      <c r="T366" s="666"/>
      <c r="U366" s="666"/>
    </row>
    <row r="367" s="331" customFormat="true" ht="12.8" hidden="false" customHeight="false" outlineLevel="0" collapsed="false">
      <c r="B367" s="655"/>
      <c r="C367" s="335"/>
      <c r="D367" s="307"/>
      <c r="F367" s="331" t="s">
        <v>1127</v>
      </c>
      <c r="G367" s="331" t="n">
        <v>1</v>
      </c>
      <c r="I367" s="483" t="n">
        <f aca="false">VLOOKUP(F367,'Рулонки компл. Амиго '!$B$7:$D$1031,3,0)</f>
        <v>124.768525</v>
      </c>
      <c r="J367" s="483" t="n">
        <f aca="false">I367*G367</f>
        <v>124.768525</v>
      </c>
      <c r="K367" s="483" t="n">
        <f aca="false">J367*$K$4</f>
        <v>249.53705</v>
      </c>
      <c r="L367" s="692"/>
      <c r="M367" s="692"/>
      <c r="N367" s="0"/>
      <c r="O367" s="459"/>
      <c r="P367" s="0"/>
      <c r="Q367" s="482"/>
      <c r="R367" s="482"/>
      <c r="S367" s="666"/>
      <c r="T367" s="666"/>
      <c r="U367" s="666"/>
    </row>
    <row r="368" s="490" customFormat="true" ht="12.8" hidden="false" customHeight="false" outlineLevel="0" collapsed="false">
      <c r="B368" s="693"/>
      <c r="C368" s="736"/>
      <c r="D368" s="683"/>
      <c r="F368" s="490" t="s">
        <v>1122</v>
      </c>
      <c r="G368" s="490" t="n">
        <v>1.2</v>
      </c>
      <c r="I368" s="685" t="n">
        <f aca="false">VLOOKUP(F368,'Рулонки компл. Амиго '!$B$7:$D$1031,3,0)</f>
        <v>226.76385</v>
      </c>
      <c r="J368" s="685" t="n">
        <f aca="false">I368*G368</f>
        <v>272.11662</v>
      </c>
      <c r="K368" s="685" t="n">
        <f aca="false">J368*$K$4</f>
        <v>544.23324</v>
      </c>
      <c r="L368" s="694"/>
      <c r="M368" s="694"/>
      <c r="N368" s="489"/>
      <c r="O368" s="491"/>
      <c r="P368" s="489"/>
      <c r="Q368" s="687"/>
      <c r="R368" s="687"/>
      <c r="S368" s="688"/>
      <c r="T368" s="688"/>
      <c r="U368" s="688"/>
    </row>
    <row r="369" s="489" customFormat="true" ht="12.8" hidden="false" customHeight="false" outlineLevel="0" collapsed="false">
      <c r="B369" s="681"/>
      <c r="C369" s="682"/>
      <c r="D369" s="683"/>
      <c r="F369" s="490" t="s">
        <v>1022</v>
      </c>
      <c r="G369" s="490" t="n">
        <v>1</v>
      </c>
      <c r="H369" s="491"/>
      <c r="I369" s="685" t="n">
        <f aca="false">VLOOKUP(F369,'Рулонки компл. Амиго '!$B$7:$D$1031,3,0)</f>
        <v>19.428025</v>
      </c>
      <c r="J369" s="685" t="n">
        <f aca="false">I369*G369</f>
        <v>19.428025</v>
      </c>
      <c r="K369" s="685" t="n">
        <f aca="false">J369*$K$4</f>
        <v>38.85605</v>
      </c>
      <c r="L369" s="679"/>
      <c r="M369" s="679"/>
      <c r="O369" s="686"/>
      <c r="Q369" s="687"/>
      <c r="R369" s="687"/>
      <c r="S369" s="688"/>
      <c r="T369" s="688"/>
      <c r="U369" s="688"/>
    </row>
    <row r="370" s="489" customFormat="true" ht="12.8" hidden="false" customHeight="false" outlineLevel="0" collapsed="false">
      <c r="B370" s="681"/>
      <c r="C370" s="682"/>
      <c r="D370" s="683"/>
      <c r="F370" s="490" t="s">
        <v>1023</v>
      </c>
      <c r="G370" s="490" t="n">
        <v>1</v>
      </c>
      <c r="H370" s="491"/>
      <c r="I370" s="685" t="n">
        <f aca="false">VLOOKUP(F370,'Рулонки компл. Амиго '!$B$7:$D$1031,3,0)</f>
        <v>21.407675</v>
      </c>
      <c r="J370" s="685" t="n">
        <f aca="false">I370*G370</f>
        <v>21.407675</v>
      </c>
      <c r="K370" s="685" t="n">
        <f aca="false">J370*$K$4</f>
        <v>42.81535</v>
      </c>
      <c r="L370" s="679"/>
      <c r="M370" s="679"/>
      <c r="O370" s="686"/>
      <c r="Q370" s="687"/>
      <c r="R370" s="687"/>
      <c r="S370" s="688"/>
      <c r="T370" s="688"/>
      <c r="U370" s="688"/>
    </row>
    <row r="371" s="737" customFormat="true" ht="12.8" hidden="false" customHeight="false" outlineLevel="0" collapsed="false">
      <c r="B371" s="738"/>
      <c r="C371" s="739"/>
      <c r="D371" s="712"/>
      <c r="F371" s="737" t="s">
        <v>1128</v>
      </c>
      <c r="G371" s="737" t="n">
        <v>2</v>
      </c>
      <c r="I371" s="714" t="n">
        <f aca="false">VLOOKUP(F371,'Рулонки компл. Амиго '!$B$7:$D$1031,3,0)</f>
        <v>49.419</v>
      </c>
      <c r="J371" s="714" t="n">
        <f aca="false">I371*G371</f>
        <v>98.838</v>
      </c>
      <c r="K371" s="714" t="n">
        <f aca="false">J371*$K$4</f>
        <v>197.676</v>
      </c>
      <c r="L371" s="740"/>
      <c r="M371" s="740"/>
      <c r="N371" s="714"/>
      <c r="O371" s="741"/>
      <c r="P371" s="709"/>
      <c r="Q371" s="716"/>
      <c r="R371" s="716"/>
      <c r="S371" s="713"/>
      <c r="T371" s="713"/>
      <c r="U371" s="713"/>
    </row>
    <row r="372" s="331" customFormat="true" ht="12.8" hidden="false" customHeight="false" outlineLevel="0" collapsed="false">
      <c r="B372" s="655"/>
      <c r="C372" s="335"/>
      <c r="D372" s="307"/>
      <c r="L372" s="692"/>
      <c r="M372" s="692"/>
      <c r="N372" s="0"/>
      <c r="O372" s="459"/>
      <c r="P372" s="0"/>
      <c r="Q372" s="482"/>
      <c r="R372" s="482"/>
      <c r="S372" s="666"/>
      <c r="T372" s="666"/>
      <c r="U372" s="666"/>
    </row>
    <row r="373" s="331" customFormat="true" ht="35.5" hidden="false" customHeight="false" outlineLevel="0" collapsed="false">
      <c r="A373" s="246" t="str">
        <f aca="false">"Рул - "&amp;B373</f>
        <v>Рул - 33</v>
      </c>
      <c r="B373" s="655" t="n">
        <v>33</v>
      </c>
      <c r="C373" s="335" t="s">
        <v>1129</v>
      </c>
      <c r="D373" s="307" t="s">
        <v>1130</v>
      </c>
      <c r="E373" s="331" t="n">
        <v>1</v>
      </c>
      <c r="F373" s="691" t="s">
        <v>1129</v>
      </c>
      <c r="L373" s="665" t="n">
        <f aca="false">SUM(K374:K378)</f>
        <v>1385.0325</v>
      </c>
      <c r="M373" s="679" t="n">
        <f aca="false">SUM(K379:K381)</f>
        <v>625.90464</v>
      </c>
      <c r="N373" s="706" t="n">
        <f aca="false">SUM(K382)</f>
        <v>220.796</v>
      </c>
      <c r="O373" s="459"/>
      <c r="P373" s="0" t="s">
        <v>1122</v>
      </c>
      <c r="Q373" s="482"/>
      <c r="R373" s="482"/>
      <c r="S373" s="666" t="n">
        <v>1</v>
      </c>
      <c r="T373" s="666"/>
      <c r="U373" s="666" t="s">
        <v>1123</v>
      </c>
    </row>
    <row r="374" s="331" customFormat="true" ht="12.8" hidden="false" customHeight="false" outlineLevel="0" collapsed="false">
      <c r="B374" s="655"/>
      <c r="C374" s="335"/>
      <c r="D374" s="307"/>
      <c r="F374" s="331" t="s">
        <v>1124</v>
      </c>
      <c r="G374" s="331" t="n">
        <v>1</v>
      </c>
      <c r="I374" s="483" t="n">
        <f aca="false">VLOOKUP(F374,'Рулонки компл. Амиго '!$B$7:$D$1031,3,0)</f>
        <v>30.0271</v>
      </c>
      <c r="J374" s="483" t="n">
        <f aca="false">I374*G374</f>
        <v>30.0271</v>
      </c>
      <c r="K374" s="483" t="n">
        <f aca="false">J374*$K$4</f>
        <v>60.0542</v>
      </c>
      <c r="L374" s="665"/>
      <c r="M374" s="679"/>
      <c r="N374" s="706"/>
      <c r="O374" s="459"/>
      <c r="P374" s="0"/>
      <c r="Q374" s="482"/>
      <c r="R374" s="482"/>
      <c r="S374" s="666"/>
      <c r="T374" s="666"/>
      <c r="U374" s="666"/>
    </row>
    <row r="375" s="331" customFormat="true" ht="12.8" hidden="false" customHeight="false" outlineLevel="0" collapsed="false">
      <c r="B375" s="655"/>
      <c r="C375" s="335"/>
      <c r="D375" s="307"/>
      <c r="F375" s="331" t="s">
        <v>1027</v>
      </c>
      <c r="G375" s="331" t="n">
        <v>1</v>
      </c>
      <c r="I375" s="483" t="n">
        <f aca="false">VLOOKUP(F375,'Рулонки компл. Амиго '!$B$7:$D$1031,3,0)</f>
        <v>439.171625</v>
      </c>
      <c r="J375" s="483" t="n">
        <f aca="false">I375*G375</f>
        <v>439.171625</v>
      </c>
      <c r="K375" s="483" t="n">
        <f aca="false">J375*$K$4</f>
        <v>878.34325</v>
      </c>
      <c r="L375" s="692"/>
      <c r="M375" s="692"/>
      <c r="N375" s="0"/>
      <c r="O375" s="459"/>
      <c r="P375" s="0"/>
      <c r="Q375" s="482"/>
      <c r="R375" s="482"/>
      <c r="S375" s="666"/>
      <c r="T375" s="666"/>
      <c r="U375" s="666"/>
    </row>
    <row r="376" s="331" customFormat="true" ht="12.8" hidden="false" customHeight="false" outlineLevel="0" collapsed="false">
      <c r="B376" s="655"/>
      <c r="C376" s="335"/>
      <c r="D376" s="307"/>
      <c r="F376" s="331" t="s">
        <v>1026</v>
      </c>
      <c r="G376" s="331" t="n">
        <v>2</v>
      </c>
      <c r="I376" s="483" t="n">
        <f aca="false">VLOOKUP(F376,'Рулонки компл. Амиго '!$B$7:$D$1031,3,0)</f>
        <v>45.70535</v>
      </c>
      <c r="J376" s="483" t="n">
        <f aca="false">I376*G376</f>
        <v>91.4107</v>
      </c>
      <c r="K376" s="483" t="n">
        <f aca="false">J376*$K$4</f>
        <v>182.8214</v>
      </c>
      <c r="L376" s="692"/>
      <c r="M376" s="692"/>
      <c r="N376" s="0"/>
      <c r="O376" s="459"/>
      <c r="P376" s="0"/>
      <c r="Q376" s="482"/>
      <c r="R376" s="482"/>
      <c r="S376" s="666"/>
      <c r="T376" s="666"/>
      <c r="U376" s="666"/>
    </row>
    <row r="377" s="331" customFormat="true" ht="12.8" hidden="false" customHeight="false" outlineLevel="0" collapsed="false">
      <c r="B377" s="655"/>
      <c r="C377" s="335"/>
      <c r="D377" s="307"/>
      <c r="F377" s="331" t="s">
        <v>1126</v>
      </c>
      <c r="G377" s="331" t="n">
        <v>2</v>
      </c>
      <c r="I377" s="483" t="n">
        <f aca="false">VLOOKUP(F377,'Рулонки компл. Амиго '!$B$7:$D$1031,3,0)</f>
        <v>3.56915</v>
      </c>
      <c r="J377" s="483" t="n">
        <f aca="false">I377*G377</f>
        <v>7.1383</v>
      </c>
      <c r="K377" s="483" t="n">
        <f aca="false">J377*$K$4</f>
        <v>14.2766</v>
      </c>
      <c r="L377" s="692"/>
      <c r="M377" s="692"/>
      <c r="N377" s="0"/>
      <c r="O377" s="459"/>
      <c r="P377" s="0"/>
      <c r="Q377" s="482"/>
      <c r="R377" s="482"/>
      <c r="S377" s="666"/>
      <c r="T377" s="666"/>
      <c r="U377" s="666"/>
    </row>
    <row r="378" s="331" customFormat="true" ht="12.8" hidden="false" customHeight="false" outlineLevel="0" collapsed="false">
      <c r="B378" s="655"/>
      <c r="C378" s="335"/>
      <c r="D378" s="307"/>
      <c r="F378" s="331" t="s">
        <v>1127</v>
      </c>
      <c r="G378" s="331" t="n">
        <v>1</v>
      </c>
      <c r="I378" s="483" t="n">
        <f aca="false">VLOOKUP(F378,'Рулонки компл. Амиго '!$B$7:$D$1031,3,0)</f>
        <v>124.768525</v>
      </c>
      <c r="J378" s="483" t="n">
        <f aca="false">I378*G378</f>
        <v>124.768525</v>
      </c>
      <c r="K378" s="483" t="n">
        <f aca="false">J378*$K$4</f>
        <v>249.53705</v>
      </c>
      <c r="L378" s="692"/>
      <c r="M378" s="692"/>
      <c r="N378" s="0"/>
      <c r="O378" s="459"/>
      <c r="P378" s="0"/>
      <c r="Q378" s="482"/>
      <c r="R378" s="482"/>
      <c r="S378" s="666"/>
      <c r="T378" s="666"/>
      <c r="U378" s="666"/>
    </row>
    <row r="379" s="490" customFormat="true" ht="12.8" hidden="false" customHeight="false" outlineLevel="0" collapsed="false">
      <c r="B379" s="693"/>
      <c r="C379" s="736"/>
      <c r="D379" s="683"/>
      <c r="F379" s="490" t="s">
        <v>1122</v>
      </c>
      <c r="G379" s="490" t="n">
        <v>1.2</v>
      </c>
      <c r="I379" s="685" t="n">
        <f aca="false">VLOOKUP(F379,'Рулонки компл. Амиго '!$B$7:$D$1031,3,0)</f>
        <v>226.76385</v>
      </c>
      <c r="J379" s="685" t="n">
        <f aca="false">I379*G379</f>
        <v>272.11662</v>
      </c>
      <c r="K379" s="685" t="n">
        <f aca="false">J379*$K$4</f>
        <v>544.23324</v>
      </c>
      <c r="L379" s="694"/>
      <c r="M379" s="694"/>
      <c r="N379" s="489"/>
      <c r="O379" s="491"/>
      <c r="P379" s="489"/>
      <c r="Q379" s="687"/>
      <c r="R379" s="687"/>
      <c r="S379" s="688"/>
      <c r="T379" s="688"/>
      <c r="U379" s="688"/>
    </row>
    <row r="380" s="489" customFormat="true" ht="12.8" hidden="false" customHeight="false" outlineLevel="0" collapsed="false">
      <c r="B380" s="681"/>
      <c r="C380" s="682"/>
      <c r="D380" s="683"/>
      <c r="F380" s="490" t="s">
        <v>1022</v>
      </c>
      <c r="G380" s="490" t="n">
        <v>1</v>
      </c>
      <c r="H380" s="491"/>
      <c r="I380" s="685" t="n">
        <f aca="false">VLOOKUP(F380,'Рулонки компл. Амиго '!$B$7:$D$1031,3,0)</f>
        <v>19.428025</v>
      </c>
      <c r="J380" s="685" t="n">
        <f aca="false">I380*G380</f>
        <v>19.428025</v>
      </c>
      <c r="K380" s="685" t="n">
        <f aca="false">J380*$K$4</f>
        <v>38.85605</v>
      </c>
      <c r="L380" s="679"/>
      <c r="M380" s="679"/>
      <c r="O380" s="686"/>
      <c r="Q380" s="687"/>
      <c r="R380" s="687"/>
      <c r="S380" s="688"/>
      <c r="T380" s="688"/>
      <c r="U380" s="688"/>
    </row>
    <row r="381" s="489" customFormat="true" ht="12.8" hidden="false" customHeight="false" outlineLevel="0" collapsed="false">
      <c r="B381" s="681"/>
      <c r="C381" s="682"/>
      <c r="D381" s="683"/>
      <c r="F381" s="490" t="s">
        <v>1023</v>
      </c>
      <c r="G381" s="490" t="n">
        <v>1</v>
      </c>
      <c r="H381" s="491"/>
      <c r="I381" s="685" t="n">
        <f aca="false">VLOOKUP(F381,'Рулонки компл. Амиго '!$B$7:$D$1031,3,0)</f>
        <v>21.407675</v>
      </c>
      <c r="J381" s="685" t="n">
        <f aca="false">I381*G381</f>
        <v>21.407675</v>
      </c>
      <c r="K381" s="685" t="n">
        <f aca="false">J381*$K$4</f>
        <v>42.81535</v>
      </c>
      <c r="L381" s="679"/>
      <c r="M381" s="679"/>
      <c r="O381" s="686"/>
      <c r="Q381" s="687"/>
      <c r="R381" s="687"/>
      <c r="S381" s="688"/>
      <c r="T381" s="688"/>
      <c r="U381" s="688"/>
    </row>
    <row r="382" s="737" customFormat="true" ht="12.8" hidden="false" customHeight="false" outlineLevel="0" collapsed="false">
      <c r="B382" s="738"/>
      <c r="C382" s="739"/>
      <c r="D382" s="712"/>
      <c r="F382" s="742" t="s">
        <v>1131</v>
      </c>
      <c r="G382" s="737" t="n">
        <v>2</v>
      </c>
      <c r="I382" s="714" t="n">
        <f aca="false">VLOOKUP(F382,'Рулонки компл. Амиго '!$B$7:$D$1031,3,0)</f>
        <v>55.199</v>
      </c>
      <c r="J382" s="714" t="n">
        <f aca="false">I382*G382</f>
        <v>110.398</v>
      </c>
      <c r="K382" s="714" t="n">
        <f aca="false">J382*$K$4</f>
        <v>220.796</v>
      </c>
      <c r="L382" s="740"/>
      <c r="M382" s="740"/>
      <c r="N382" s="709"/>
      <c r="O382" s="741"/>
      <c r="P382" s="709"/>
      <c r="Q382" s="716"/>
      <c r="R382" s="716"/>
      <c r="S382" s="713"/>
      <c r="T382" s="713"/>
      <c r="U382" s="713"/>
    </row>
    <row r="383" s="331" customFormat="true" ht="12.8" hidden="false" customHeight="false" outlineLevel="0" collapsed="false">
      <c r="B383" s="655"/>
      <c r="C383" s="335"/>
      <c r="D383" s="307"/>
      <c r="L383" s="692"/>
      <c r="M383" s="692"/>
      <c r="N383" s="0"/>
      <c r="O383" s="459"/>
      <c r="P383" s="0"/>
      <c r="Q383" s="482"/>
      <c r="R383" s="482"/>
      <c r="S383" s="666"/>
      <c r="T383" s="666"/>
      <c r="U383" s="666"/>
    </row>
    <row r="384" s="331" customFormat="true" ht="35.5" hidden="false" customHeight="false" outlineLevel="0" collapsed="false">
      <c r="A384" s="246" t="str">
        <f aca="false">"Рул - "&amp;B384</f>
        <v>Рул - 34</v>
      </c>
      <c r="B384" s="655" t="n">
        <v>34</v>
      </c>
      <c r="C384" s="335" t="s">
        <v>1132</v>
      </c>
      <c r="D384" s="307" t="s">
        <v>1133</v>
      </c>
      <c r="E384" s="331" t="n">
        <v>1</v>
      </c>
      <c r="F384" s="691" t="s">
        <v>1132</v>
      </c>
      <c r="L384" s="665" t="n">
        <f aca="false">SUM(K385:K389)</f>
        <v>1343.2142</v>
      </c>
      <c r="M384" s="679" t="n">
        <f aca="false">SUM(K390:K392)</f>
        <v>625.90464</v>
      </c>
      <c r="N384" s="706" t="n">
        <f aca="false">SUM(K393)</f>
        <v>220.796</v>
      </c>
      <c r="O384" s="459"/>
      <c r="P384" s="0" t="s">
        <v>1122</v>
      </c>
      <c r="Q384" s="482"/>
      <c r="R384" s="482"/>
      <c r="S384" s="666" t="n">
        <v>1</v>
      </c>
      <c r="T384" s="666"/>
      <c r="U384" s="666" t="s">
        <v>1123</v>
      </c>
    </row>
    <row r="385" s="331" customFormat="true" ht="12.8" hidden="false" customHeight="false" outlineLevel="0" collapsed="false">
      <c r="B385" s="655"/>
      <c r="C385" s="335"/>
      <c r="D385" s="307"/>
      <c r="F385" s="331" t="s">
        <v>1124</v>
      </c>
      <c r="G385" s="331" t="n">
        <v>1</v>
      </c>
      <c r="I385" s="483" t="n">
        <f aca="false">VLOOKUP(F385,'Рулонки компл. Амиго '!$B$7:$D$1031,3,0)</f>
        <v>30.0271</v>
      </c>
      <c r="J385" s="483" t="n">
        <f aca="false">I385*G385</f>
        <v>30.0271</v>
      </c>
      <c r="K385" s="483" t="n">
        <f aca="false">J385*$K$4</f>
        <v>60.0542</v>
      </c>
      <c r="L385" s="665"/>
      <c r="M385" s="679"/>
      <c r="N385" s="706"/>
      <c r="O385" s="459"/>
      <c r="P385" s="0"/>
      <c r="Q385" s="482"/>
      <c r="R385" s="482"/>
      <c r="S385" s="666"/>
      <c r="T385" s="666"/>
      <c r="U385" s="666"/>
    </row>
    <row r="386" s="331" customFormat="true" ht="12.8" hidden="false" customHeight="false" outlineLevel="0" collapsed="false">
      <c r="B386" s="655"/>
      <c r="C386" s="335"/>
      <c r="D386" s="307"/>
      <c r="F386" s="115" t="s">
        <v>1029</v>
      </c>
      <c r="G386" s="331" t="n">
        <v>1</v>
      </c>
      <c r="I386" s="483" t="n">
        <f aca="false">VLOOKUP(F386,'Рулонки компл. Амиго '!$B$7:$D$1031,3,0)</f>
        <v>418.262475</v>
      </c>
      <c r="J386" s="483" t="n">
        <f aca="false">I386*G386</f>
        <v>418.262475</v>
      </c>
      <c r="K386" s="483" t="n">
        <f aca="false">J386*$K$4</f>
        <v>836.52495</v>
      </c>
      <c r="L386" s="692"/>
      <c r="M386" s="692"/>
      <c r="N386" s="0"/>
      <c r="O386" s="459"/>
      <c r="P386" s="0"/>
      <c r="Q386" s="482"/>
      <c r="R386" s="482"/>
      <c r="S386" s="666"/>
      <c r="T386" s="666"/>
      <c r="U386" s="666"/>
    </row>
    <row r="387" s="331" customFormat="true" ht="12.8" hidden="false" customHeight="false" outlineLevel="0" collapsed="false">
      <c r="B387" s="655"/>
      <c r="C387" s="335"/>
      <c r="D387" s="307"/>
      <c r="F387" s="331" t="s">
        <v>1026</v>
      </c>
      <c r="G387" s="331" t="n">
        <v>2</v>
      </c>
      <c r="I387" s="483" t="n">
        <f aca="false">VLOOKUP(F387,'Рулонки компл. Амиго '!$B$7:$D$1031,3,0)</f>
        <v>45.70535</v>
      </c>
      <c r="J387" s="483" t="n">
        <f aca="false">I387*G387</f>
        <v>91.4107</v>
      </c>
      <c r="K387" s="483" t="n">
        <f aca="false">J387*$K$4</f>
        <v>182.8214</v>
      </c>
      <c r="L387" s="692"/>
      <c r="M387" s="692"/>
      <c r="N387" s="0"/>
      <c r="O387" s="459"/>
      <c r="P387" s="0"/>
      <c r="Q387" s="482"/>
      <c r="R387" s="482"/>
      <c r="S387" s="666"/>
      <c r="T387" s="666"/>
      <c r="U387" s="666"/>
    </row>
    <row r="388" s="331" customFormat="true" ht="12.8" hidden="false" customHeight="false" outlineLevel="0" collapsed="false">
      <c r="B388" s="655"/>
      <c r="C388" s="335"/>
      <c r="D388" s="307"/>
      <c r="F388" s="331" t="s">
        <v>1126</v>
      </c>
      <c r="G388" s="331" t="n">
        <v>2</v>
      </c>
      <c r="I388" s="483" t="n">
        <f aca="false">VLOOKUP(F388,'Рулонки компл. Амиго '!$B$7:$D$1031,3,0)</f>
        <v>3.56915</v>
      </c>
      <c r="J388" s="483" t="n">
        <f aca="false">I388*G388</f>
        <v>7.1383</v>
      </c>
      <c r="K388" s="483" t="n">
        <f aca="false">J388*$K$4</f>
        <v>14.2766</v>
      </c>
      <c r="L388" s="692"/>
      <c r="M388" s="692"/>
      <c r="N388" s="0"/>
      <c r="O388" s="459"/>
      <c r="P388" s="0"/>
      <c r="Q388" s="482"/>
      <c r="R388" s="482"/>
      <c r="S388" s="666"/>
      <c r="T388" s="666"/>
      <c r="U388" s="666"/>
    </row>
    <row r="389" s="331" customFormat="true" ht="12.8" hidden="false" customHeight="false" outlineLevel="0" collapsed="false">
      <c r="B389" s="655"/>
      <c r="C389" s="335"/>
      <c r="D389" s="307"/>
      <c r="F389" s="331" t="s">
        <v>1127</v>
      </c>
      <c r="G389" s="331" t="n">
        <v>1</v>
      </c>
      <c r="I389" s="483" t="n">
        <f aca="false">VLOOKUP(F389,'Рулонки компл. Амиго '!$B$7:$D$1031,3,0)</f>
        <v>124.768525</v>
      </c>
      <c r="J389" s="483" t="n">
        <f aca="false">I389*G389</f>
        <v>124.768525</v>
      </c>
      <c r="K389" s="483" t="n">
        <f aca="false">J389*$K$4</f>
        <v>249.53705</v>
      </c>
      <c r="L389" s="692"/>
      <c r="M389" s="692"/>
      <c r="N389" s="0"/>
      <c r="O389" s="459"/>
      <c r="P389" s="0"/>
      <c r="Q389" s="482"/>
      <c r="R389" s="482"/>
      <c r="S389" s="666"/>
      <c r="T389" s="666"/>
      <c r="U389" s="666"/>
    </row>
    <row r="390" s="490" customFormat="true" ht="12.8" hidden="false" customHeight="false" outlineLevel="0" collapsed="false">
      <c r="B390" s="693"/>
      <c r="C390" s="736"/>
      <c r="D390" s="683"/>
      <c r="F390" s="490" t="s">
        <v>1122</v>
      </c>
      <c r="G390" s="490" t="n">
        <v>1.2</v>
      </c>
      <c r="I390" s="685" t="n">
        <f aca="false">VLOOKUP(F390,'Рулонки компл. Амиго '!$B$7:$D$1031,3,0)</f>
        <v>226.76385</v>
      </c>
      <c r="J390" s="685" t="n">
        <f aca="false">I390*G390</f>
        <v>272.11662</v>
      </c>
      <c r="K390" s="685" t="n">
        <f aca="false">J390*$K$4</f>
        <v>544.23324</v>
      </c>
      <c r="L390" s="694"/>
      <c r="M390" s="694"/>
      <c r="N390" s="489"/>
      <c r="O390" s="491"/>
      <c r="P390" s="489"/>
      <c r="Q390" s="687"/>
      <c r="R390" s="687"/>
      <c r="S390" s="688"/>
      <c r="T390" s="688"/>
      <c r="U390" s="688"/>
    </row>
    <row r="391" s="489" customFormat="true" ht="12.8" hidden="false" customHeight="false" outlineLevel="0" collapsed="false">
      <c r="B391" s="681"/>
      <c r="C391" s="682"/>
      <c r="D391" s="683"/>
      <c r="F391" s="490" t="s">
        <v>1022</v>
      </c>
      <c r="G391" s="490" t="n">
        <v>1</v>
      </c>
      <c r="H391" s="491"/>
      <c r="I391" s="685" t="n">
        <f aca="false">VLOOKUP(F391,'Рулонки компл. Амиго '!$B$7:$D$1031,3,0)</f>
        <v>19.428025</v>
      </c>
      <c r="J391" s="685" t="n">
        <f aca="false">I391*G391</f>
        <v>19.428025</v>
      </c>
      <c r="K391" s="685" t="n">
        <f aca="false">J391*$K$4</f>
        <v>38.85605</v>
      </c>
      <c r="L391" s="679"/>
      <c r="M391" s="679"/>
      <c r="O391" s="686"/>
      <c r="Q391" s="687"/>
      <c r="R391" s="687"/>
      <c r="S391" s="688"/>
      <c r="T391" s="688"/>
      <c r="U391" s="688"/>
    </row>
    <row r="392" s="489" customFormat="true" ht="12.8" hidden="false" customHeight="false" outlineLevel="0" collapsed="false">
      <c r="B392" s="681"/>
      <c r="C392" s="682"/>
      <c r="D392" s="683"/>
      <c r="F392" s="490" t="s">
        <v>1023</v>
      </c>
      <c r="G392" s="490" t="n">
        <v>1</v>
      </c>
      <c r="H392" s="491"/>
      <c r="I392" s="685" t="n">
        <f aca="false">VLOOKUP(F392,'Рулонки компл. Амиго '!$B$7:$D$1031,3,0)</f>
        <v>21.407675</v>
      </c>
      <c r="J392" s="685" t="n">
        <f aca="false">I392*G392</f>
        <v>21.407675</v>
      </c>
      <c r="K392" s="685" t="n">
        <f aca="false">J392*$K$4</f>
        <v>42.81535</v>
      </c>
      <c r="L392" s="679"/>
      <c r="M392" s="679"/>
      <c r="O392" s="686"/>
      <c r="Q392" s="687"/>
      <c r="R392" s="687"/>
      <c r="S392" s="688"/>
      <c r="T392" s="688"/>
      <c r="U392" s="688"/>
    </row>
    <row r="393" s="737" customFormat="true" ht="12.8" hidden="false" customHeight="false" outlineLevel="0" collapsed="false">
      <c r="B393" s="738"/>
      <c r="C393" s="739"/>
      <c r="D393" s="712"/>
      <c r="F393" s="742" t="s">
        <v>1131</v>
      </c>
      <c r="G393" s="737" t="n">
        <v>2</v>
      </c>
      <c r="I393" s="714" t="n">
        <f aca="false">VLOOKUP(F393,'Рулонки компл. Амиго '!$B$7:$D$1031,3,0)</f>
        <v>55.199</v>
      </c>
      <c r="J393" s="714" t="n">
        <f aca="false">I393*G393</f>
        <v>110.398</v>
      </c>
      <c r="K393" s="714" t="n">
        <f aca="false">J393*$K$4</f>
        <v>220.796</v>
      </c>
      <c r="L393" s="740"/>
      <c r="M393" s="740"/>
      <c r="N393" s="709"/>
      <c r="O393" s="741"/>
      <c r="P393" s="709"/>
      <c r="Q393" s="716"/>
      <c r="R393" s="716"/>
      <c r="S393" s="713"/>
      <c r="T393" s="713"/>
      <c r="U393" s="713"/>
    </row>
    <row r="394" s="331" customFormat="true" ht="12.8" hidden="false" customHeight="false" outlineLevel="0" collapsed="false">
      <c r="B394" s="655"/>
      <c r="C394" s="335"/>
      <c r="D394" s="307"/>
      <c r="L394" s="692"/>
      <c r="M394" s="692"/>
      <c r="N394" s="0"/>
      <c r="O394" s="459"/>
      <c r="P394" s="0"/>
      <c r="Q394" s="482"/>
      <c r="R394" s="482"/>
      <c r="S394" s="666"/>
      <c r="T394" s="666"/>
      <c r="U394" s="666"/>
    </row>
    <row r="395" s="331" customFormat="true" ht="35.5" hidden="false" customHeight="false" outlineLevel="0" collapsed="false">
      <c r="A395" s="246" t="str">
        <f aca="false">"Рул - "&amp;B395</f>
        <v>Рул - 35</v>
      </c>
      <c r="B395" s="655" t="n">
        <v>35</v>
      </c>
      <c r="C395" s="335" t="s">
        <v>1134</v>
      </c>
      <c r="D395" s="307" t="s">
        <v>1135</v>
      </c>
      <c r="E395" s="331" t="n">
        <v>1</v>
      </c>
      <c r="F395" s="691" t="s">
        <v>1134</v>
      </c>
      <c r="L395" s="665" t="n">
        <f aca="false">SUM(K396:K400)</f>
        <v>2224.01395</v>
      </c>
      <c r="M395" s="679" t="n">
        <f aca="false">SUM(K401:K403)</f>
        <v>1568.7498</v>
      </c>
      <c r="N395" s="706" t="n">
        <f aca="false">SUM(K404)</f>
        <v>197.676</v>
      </c>
      <c r="O395" s="459"/>
      <c r="P395" s="0" t="s">
        <v>1136</v>
      </c>
      <c r="Q395" s="482"/>
      <c r="R395" s="482"/>
      <c r="S395" s="666" t="n">
        <v>1</v>
      </c>
      <c r="T395" s="666"/>
      <c r="U395" s="666" t="s">
        <v>1123</v>
      </c>
    </row>
    <row r="396" s="331" customFormat="true" ht="12.8" hidden="false" customHeight="false" outlineLevel="0" collapsed="false">
      <c r="B396" s="655"/>
      <c r="C396" s="335"/>
      <c r="D396" s="307"/>
      <c r="F396" s="331" t="s">
        <v>1124</v>
      </c>
      <c r="G396" s="331" t="n">
        <v>1</v>
      </c>
      <c r="I396" s="483" t="n">
        <f aca="false">VLOOKUP(F396,'Рулонки компл. Амиго '!$B$7:$D$1031,3,0)</f>
        <v>30.0271</v>
      </c>
      <c r="J396" s="483" t="n">
        <f aca="false">I396*G396</f>
        <v>30.0271</v>
      </c>
      <c r="K396" s="483" t="n">
        <f aca="false">J396*$K$4</f>
        <v>60.0542</v>
      </c>
      <c r="L396" s="692"/>
      <c r="M396" s="692"/>
      <c r="N396" s="0"/>
      <c r="O396" s="459"/>
      <c r="P396" s="0"/>
      <c r="Q396" s="482"/>
      <c r="R396" s="482"/>
      <c r="S396" s="666"/>
      <c r="T396" s="666"/>
      <c r="U396" s="666"/>
    </row>
    <row r="397" s="331" customFormat="true" ht="12.8" hidden="false" customHeight="false" outlineLevel="0" collapsed="false">
      <c r="B397" s="655"/>
      <c r="C397" s="335"/>
      <c r="D397" s="307"/>
      <c r="F397" s="331" t="s">
        <v>1032</v>
      </c>
      <c r="G397" s="331" t="n">
        <v>2</v>
      </c>
      <c r="I397" s="483" t="n">
        <f aca="false">VLOOKUP(F397,'Рулонки компл. Амиго '!$B$7:$D$1031,3,0)</f>
        <v>121.13435</v>
      </c>
      <c r="J397" s="483" t="n">
        <f aca="false">I397*G397</f>
        <v>242.2687</v>
      </c>
      <c r="K397" s="483" t="n">
        <f aca="false">J397*$K$4</f>
        <v>484.5374</v>
      </c>
      <c r="L397" s="692"/>
      <c r="M397" s="692"/>
      <c r="N397" s="0"/>
      <c r="O397" s="459"/>
      <c r="P397" s="0"/>
      <c r="Q397" s="482"/>
      <c r="R397" s="482"/>
      <c r="S397" s="666"/>
      <c r="T397" s="666"/>
      <c r="U397" s="666"/>
    </row>
    <row r="398" s="331" customFormat="true" ht="12.8" hidden="false" customHeight="false" outlineLevel="0" collapsed="false">
      <c r="B398" s="655"/>
      <c r="C398" s="335"/>
      <c r="D398" s="307"/>
      <c r="F398" s="331" t="s">
        <v>1137</v>
      </c>
      <c r="G398" s="331" t="n">
        <v>1</v>
      </c>
      <c r="I398" s="483" t="n">
        <f aca="false">VLOOKUP(F398,'Рулонки компл. Амиго '!$B$7:$D$1031,3,0)</f>
        <v>707.80435</v>
      </c>
      <c r="J398" s="483" t="n">
        <f aca="false">I398*G398</f>
        <v>707.80435</v>
      </c>
      <c r="K398" s="483" t="n">
        <f aca="false">J398*$K$4</f>
        <v>1415.6087</v>
      </c>
      <c r="L398" s="692"/>
      <c r="M398" s="692"/>
      <c r="N398" s="0"/>
      <c r="O398" s="459"/>
      <c r="P398" s="0"/>
      <c r="Q398" s="482"/>
      <c r="R398" s="482"/>
      <c r="S398" s="666"/>
      <c r="T398" s="666"/>
      <c r="U398" s="666"/>
    </row>
    <row r="399" s="331" customFormat="true" ht="12.8" hidden="false" customHeight="false" outlineLevel="0" collapsed="false">
      <c r="B399" s="655"/>
      <c r="C399" s="335"/>
      <c r="D399" s="307"/>
      <c r="F399" s="331" t="s">
        <v>1127</v>
      </c>
      <c r="G399" s="331" t="n">
        <v>1</v>
      </c>
      <c r="I399" s="483" t="n">
        <f aca="false">VLOOKUP(F399,'Рулонки компл. Амиго '!$B$7:$D$1031,3,0)</f>
        <v>124.768525</v>
      </c>
      <c r="J399" s="483" t="n">
        <f aca="false">I399*G399</f>
        <v>124.768525</v>
      </c>
      <c r="K399" s="483" t="n">
        <f aca="false">J399*$K$4</f>
        <v>249.53705</v>
      </c>
      <c r="L399" s="692"/>
      <c r="M399" s="692"/>
      <c r="N399" s="0"/>
      <c r="O399" s="459"/>
      <c r="P399" s="0"/>
      <c r="Q399" s="482"/>
      <c r="R399" s="482"/>
      <c r="S399" s="666"/>
      <c r="T399" s="666"/>
      <c r="U399" s="666"/>
    </row>
    <row r="400" s="331" customFormat="true" ht="12.8" hidden="false" customHeight="false" outlineLevel="0" collapsed="false">
      <c r="B400" s="655"/>
      <c r="C400" s="335"/>
      <c r="D400" s="307"/>
      <c r="F400" s="331" t="s">
        <v>1126</v>
      </c>
      <c r="G400" s="331" t="n">
        <v>2</v>
      </c>
      <c r="I400" s="483" t="n">
        <f aca="false">VLOOKUP(F400,'Рулонки компл. Амиго '!$B$7:$D$1031,3,0)</f>
        <v>3.56915</v>
      </c>
      <c r="J400" s="483" t="n">
        <f aca="false">I400*G400</f>
        <v>7.1383</v>
      </c>
      <c r="K400" s="483" t="n">
        <f aca="false">J400*$K$4</f>
        <v>14.2766</v>
      </c>
      <c r="L400" s="692"/>
      <c r="M400" s="692"/>
      <c r="N400" s="0"/>
      <c r="O400" s="459"/>
      <c r="P400" s="0"/>
      <c r="Q400" s="482"/>
      <c r="R400" s="482"/>
      <c r="S400" s="666"/>
      <c r="T400" s="666"/>
      <c r="U400" s="666"/>
    </row>
    <row r="401" s="490" customFormat="true" ht="12.8" hidden="false" customHeight="false" outlineLevel="0" collapsed="false">
      <c r="B401" s="693"/>
      <c r="C401" s="736"/>
      <c r="D401" s="683"/>
      <c r="F401" s="490" t="s">
        <v>1136</v>
      </c>
      <c r="G401" s="490" t="n">
        <v>1.2</v>
      </c>
      <c r="I401" s="685" t="n">
        <f aca="false">VLOOKUP(F401,'Рулонки компл. Амиго '!$B$7:$D$1031,3,0)</f>
        <v>619.616</v>
      </c>
      <c r="J401" s="685" t="n">
        <f aca="false">I401*G401</f>
        <v>743.5392</v>
      </c>
      <c r="K401" s="685" t="n">
        <f aca="false">J401*$K$4</f>
        <v>1487.0784</v>
      </c>
      <c r="L401" s="694"/>
      <c r="M401" s="694"/>
      <c r="N401" s="489"/>
      <c r="O401" s="491"/>
      <c r="P401" s="489"/>
      <c r="Q401" s="687"/>
      <c r="R401" s="687"/>
      <c r="S401" s="688"/>
      <c r="T401" s="688"/>
      <c r="U401" s="688"/>
    </row>
    <row r="402" s="489" customFormat="true" ht="12.8" hidden="false" customHeight="false" outlineLevel="0" collapsed="false">
      <c r="B402" s="681"/>
      <c r="C402" s="682"/>
      <c r="D402" s="683"/>
      <c r="F402" s="490" t="s">
        <v>1022</v>
      </c>
      <c r="G402" s="490" t="n">
        <v>1</v>
      </c>
      <c r="H402" s="491"/>
      <c r="I402" s="685" t="n">
        <f aca="false">VLOOKUP(F402,'Рулонки компл. Амиго '!$B$7:$D$1031,3,0)</f>
        <v>19.428025</v>
      </c>
      <c r="J402" s="685" t="n">
        <f aca="false">I402*G402</f>
        <v>19.428025</v>
      </c>
      <c r="K402" s="685" t="n">
        <f aca="false">J402*$K$4</f>
        <v>38.85605</v>
      </c>
      <c r="L402" s="679"/>
      <c r="M402" s="679"/>
      <c r="O402" s="686"/>
      <c r="Q402" s="687"/>
      <c r="R402" s="687"/>
      <c r="S402" s="688"/>
      <c r="T402" s="688"/>
      <c r="U402" s="688"/>
    </row>
    <row r="403" s="489" customFormat="true" ht="12.8" hidden="false" customHeight="false" outlineLevel="0" collapsed="false">
      <c r="B403" s="681"/>
      <c r="C403" s="682"/>
      <c r="D403" s="683"/>
      <c r="F403" s="490" t="s">
        <v>1023</v>
      </c>
      <c r="G403" s="490" t="n">
        <v>1</v>
      </c>
      <c r="H403" s="491"/>
      <c r="I403" s="685" t="n">
        <f aca="false">VLOOKUP(F403,'Рулонки компл. Амиго '!$B$7:$D$1031,3,0)</f>
        <v>21.407675</v>
      </c>
      <c r="J403" s="685" t="n">
        <f aca="false">I403*G403</f>
        <v>21.407675</v>
      </c>
      <c r="K403" s="685" t="n">
        <f aca="false">J403*$K$4</f>
        <v>42.81535</v>
      </c>
      <c r="L403" s="679"/>
      <c r="M403" s="679"/>
      <c r="O403" s="686"/>
      <c r="Q403" s="687"/>
      <c r="R403" s="687"/>
      <c r="S403" s="688"/>
      <c r="T403" s="688"/>
      <c r="U403" s="688"/>
    </row>
    <row r="404" s="737" customFormat="true" ht="12.8" hidden="false" customHeight="false" outlineLevel="0" collapsed="false">
      <c r="B404" s="738"/>
      <c r="C404" s="739"/>
      <c r="D404" s="712"/>
      <c r="F404" s="737" t="s">
        <v>1128</v>
      </c>
      <c r="G404" s="737" t="n">
        <v>2</v>
      </c>
      <c r="I404" s="714" t="n">
        <f aca="false">VLOOKUP(F404,'Рулонки компл. Амиго '!$B$7:$D$1031,3,0)</f>
        <v>49.419</v>
      </c>
      <c r="J404" s="714" t="n">
        <f aca="false">I404*G404</f>
        <v>98.838</v>
      </c>
      <c r="K404" s="714" t="n">
        <f aca="false">J404*$K$4</f>
        <v>197.676</v>
      </c>
      <c r="L404" s="740"/>
      <c r="M404" s="740"/>
      <c r="N404" s="714"/>
      <c r="O404" s="741"/>
      <c r="P404" s="709"/>
      <c r="Q404" s="716"/>
      <c r="R404" s="716"/>
      <c r="S404" s="713"/>
      <c r="T404" s="713"/>
      <c r="U404" s="713"/>
    </row>
    <row r="405" s="331" customFormat="true" ht="12.8" hidden="false" customHeight="false" outlineLevel="0" collapsed="false">
      <c r="B405" s="655"/>
      <c r="C405" s="335"/>
      <c r="D405" s="307"/>
      <c r="L405" s="692"/>
      <c r="M405" s="692"/>
      <c r="N405" s="0"/>
      <c r="O405" s="459"/>
      <c r="P405" s="0"/>
      <c r="Q405" s="482"/>
      <c r="R405" s="482"/>
      <c r="S405" s="666"/>
      <c r="T405" s="666"/>
      <c r="U405" s="666"/>
    </row>
    <row r="406" s="331" customFormat="true" ht="35.5" hidden="false" customHeight="false" outlineLevel="0" collapsed="false">
      <c r="A406" s="246" t="str">
        <f aca="false">"Рул - "&amp;B406</f>
        <v>Рул - 36</v>
      </c>
      <c r="B406" s="655" t="n">
        <v>36</v>
      </c>
      <c r="C406" s="335" t="s">
        <v>1138</v>
      </c>
      <c r="D406" s="307" t="s">
        <v>1139</v>
      </c>
      <c r="E406" s="331" t="n">
        <v>1</v>
      </c>
      <c r="F406" s="691" t="s">
        <v>1138</v>
      </c>
      <c r="L406" s="665" t="n">
        <f aca="false">SUM(K407:K411)</f>
        <v>2478.07385</v>
      </c>
      <c r="M406" s="679" t="n">
        <f aca="false">SUM(K412:K414)</f>
        <v>1568.7498</v>
      </c>
      <c r="N406" s="706" t="n">
        <f aca="false">SUM(K415)</f>
        <v>220.796</v>
      </c>
      <c r="O406" s="459"/>
      <c r="P406" s="0" t="s">
        <v>1136</v>
      </c>
      <c r="Q406" s="482"/>
      <c r="R406" s="482"/>
      <c r="S406" s="666" t="n">
        <v>1</v>
      </c>
      <c r="T406" s="666"/>
      <c r="U406" s="666" t="s">
        <v>1123</v>
      </c>
    </row>
    <row r="407" s="331" customFormat="true" ht="12.8" hidden="false" customHeight="false" outlineLevel="0" collapsed="false">
      <c r="B407" s="655"/>
      <c r="C407" s="335"/>
      <c r="D407" s="307"/>
      <c r="F407" s="331" t="s">
        <v>1124</v>
      </c>
      <c r="G407" s="331" t="n">
        <v>1</v>
      </c>
      <c r="I407" s="483" t="n">
        <f aca="false">VLOOKUP(F407,'Рулонки компл. Амиго '!$B$7:$D$1031,3,0)</f>
        <v>30.0271</v>
      </c>
      <c r="J407" s="483" t="n">
        <f aca="false">I407*G407</f>
        <v>30.0271</v>
      </c>
      <c r="K407" s="483" t="n">
        <f aca="false">J407*$K$4</f>
        <v>60.0542</v>
      </c>
      <c r="L407" s="692"/>
      <c r="M407" s="692"/>
      <c r="N407" s="0"/>
      <c r="O407" s="459"/>
      <c r="P407" s="0"/>
      <c r="Q407" s="482"/>
      <c r="R407" s="482"/>
      <c r="S407" s="666"/>
      <c r="T407" s="666"/>
      <c r="U407" s="666"/>
    </row>
    <row r="408" s="331" customFormat="true" ht="12.8" hidden="false" customHeight="false" outlineLevel="0" collapsed="false">
      <c r="B408" s="655"/>
      <c r="C408" s="335"/>
      <c r="D408" s="307"/>
      <c r="F408" s="331" t="s">
        <v>1035</v>
      </c>
      <c r="G408" s="331" t="n">
        <v>2</v>
      </c>
      <c r="I408" s="483" t="n">
        <f aca="false">VLOOKUP(F408,'Рулонки компл. Амиго '!$B$7:$D$1031,3,0)</f>
        <v>139.31245</v>
      </c>
      <c r="J408" s="483" t="n">
        <f aca="false">I408*G408</f>
        <v>278.6249</v>
      </c>
      <c r="K408" s="483" t="n">
        <f aca="false">J408*$K$4</f>
        <v>557.2498</v>
      </c>
      <c r="L408" s="692"/>
      <c r="M408" s="692"/>
      <c r="N408" s="0"/>
      <c r="O408" s="459"/>
      <c r="P408" s="0"/>
      <c r="Q408" s="482"/>
      <c r="R408" s="482"/>
      <c r="S408" s="666"/>
      <c r="T408" s="666"/>
      <c r="U408" s="666"/>
    </row>
    <row r="409" s="331" customFormat="true" ht="12.8" hidden="false" customHeight="false" outlineLevel="0" collapsed="false">
      <c r="B409" s="655"/>
      <c r="C409" s="335"/>
      <c r="D409" s="307"/>
      <c r="F409" s="331" t="s">
        <v>1036</v>
      </c>
      <c r="G409" s="331" t="n">
        <v>1</v>
      </c>
      <c r="I409" s="483" t="n">
        <f aca="false">VLOOKUP(F409,'Рулонки компл. Амиго '!$B$7:$D$1031,3,0)</f>
        <v>798.4781</v>
      </c>
      <c r="J409" s="483" t="n">
        <f aca="false">I409*G409</f>
        <v>798.4781</v>
      </c>
      <c r="K409" s="483" t="n">
        <f aca="false">J409*$K$4</f>
        <v>1596.9562</v>
      </c>
      <c r="L409" s="692"/>
      <c r="M409" s="692"/>
      <c r="N409" s="0"/>
      <c r="O409" s="459"/>
      <c r="P409" s="0"/>
      <c r="Q409" s="482"/>
      <c r="R409" s="482"/>
      <c r="S409" s="666"/>
      <c r="T409" s="666"/>
      <c r="U409" s="666"/>
    </row>
    <row r="410" s="331" customFormat="true" ht="12.8" hidden="false" customHeight="false" outlineLevel="0" collapsed="false">
      <c r="B410" s="655"/>
      <c r="C410" s="335"/>
      <c r="D410" s="307"/>
      <c r="F410" s="331" t="s">
        <v>1127</v>
      </c>
      <c r="G410" s="331" t="n">
        <v>1</v>
      </c>
      <c r="I410" s="483" t="n">
        <f aca="false">VLOOKUP(F410,'Рулонки компл. Амиго '!$B$7:$D$1031,3,0)</f>
        <v>124.768525</v>
      </c>
      <c r="J410" s="483" t="n">
        <f aca="false">I410*G410</f>
        <v>124.768525</v>
      </c>
      <c r="K410" s="483" t="n">
        <f aca="false">J410*$K$4</f>
        <v>249.53705</v>
      </c>
      <c r="L410" s="692"/>
      <c r="M410" s="692"/>
      <c r="N410" s="0"/>
      <c r="O410" s="459"/>
      <c r="P410" s="0"/>
      <c r="Q410" s="482"/>
      <c r="R410" s="482"/>
      <c r="S410" s="666"/>
      <c r="T410" s="666"/>
      <c r="U410" s="666"/>
    </row>
    <row r="411" s="331" customFormat="true" ht="12.8" hidden="false" customHeight="false" outlineLevel="0" collapsed="false">
      <c r="B411" s="655"/>
      <c r="C411" s="335"/>
      <c r="D411" s="307"/>
      <c r="F411" s="331" t="s">
        <v>1126</v>
      </c>
      <c r="G411" s="331" t="n">
        <v>2</v>
      </c>
      <c r="I411" s="483" t="n">
        <f aca="false">VLOOKUP(F411,'Рулонки компл. Амиго '!$B$7:$D$1031,3,0)</f>
        <v>3.56915</v>
      </c>
      <c r="J411" s="483" t="n">
        <f aca="false">I411*G411</f>
        <v>7.1383</v>
      </c>
      <c r="K411" s="483" t="n">
        <f aca="false">J411*$K$4</f>
        <v>14.2766</v>
      </c>
      <c r="L411" s="692"/>
      <c r="M411" s="692"/>
      <c r="N411" s="0"/>
      <c r="O411" s="459"/>
      <c r="P411" s="0"/>
      <c r="Q411" s="482"/>
      <c r="R411" s="482"/>
      <c r="S411" s="666"/>
      <c r="T411" s="666"/>
      <c r="U411" s="666"/>
    </row>
    <row r="412" s="490" customFormat="true" ht="12.8" hidden="false" customHeight="false" outlineLevel="0" collapsed="false">
      <c r="B412" s="693"/>
      <c r="C412" s="736"/>
      <c r="D412" s="683"/>
      <c r="F412" s="490" t="s">
        <v>1136</v>
      </c>
      <c r="G412" s="490" t="n">
        <v>1.2</v>
      </c>
      <c r="I412" s="685" t="n">
        <f aca="false">VLOOKUP(F412,'Рулонки компл. Амиго '!$B$7:$D$1031,3,0)</f>
        <v>619.616</v>
      </c>
      <c r="J412" s="685" t="n">
        <f aca="false">I412*G412</f>
        <v>743.5392</v>
      </c>
      <c r="K412" s="685" t="n">
        <f aca="false">J412*$K$4</f>
        <v>1487.0784</v>
      </c>
      <c r="L412" s="694"/>
      <c r="M412" s="694"/>
      <c r="N412" s="489"/>
      <c r="O412" s="491"/>
      <c r="P412" s="489"/>
      <c r="Q412" s="687"/>
      <c r="R412" s="687"/>
      <c r="S412" s="688"/>
      <c r="T412" s="688"/>
      <c r="U412" s="688"/>
    </row>
    <row r="413" s="489" customFormat="true" ht="12.8" hidden="false" customHeight="false" outlineLevel="0" collapsed="false">
      <c r="B413" s="681"/>
      <c r="C413" s="682"/>
      <c r="D413" s="683"/>
      <c r="F413" s="490" t="s">
        <v>1022</v>
      </c>
      <c r="G413" s="490" t="n">
        <v>1</v>
      </c>
      <c r="H413" s="491"/>
      <c r="I413" s="685" t="n">
        <f aca="false">VLOOKUP(F413,'Рулонки компл. Амиго '!$B$7:$D$1031,3,0)</f>
        <v>19.428025</v>
      </c>
      <c r="J413" s="685" t="n">
        <f aca="false">I413*G413</f>
        <v>19.428025</v>
      </c>
      <c r="K413" s="685" t="n">
        <f aca="false">J413*$K$4</f>
        <v>38.85605</v>
      </c>
      <c r="L413" s="679"/>
      <c r="M413" s="679"/>
      <c r="O413" s="686"/>
      <c r="Q413" s="687"/>
      <c r="R413" s="687"/>
      <c r="S413" s="688"/>
      <c r="T413" s="688"/>
      <c r="U413" s="688"/>
    </row>
    <row r="414" s="489" customFormat="true" ht="12.8" hidden="false" customHeight="false" outlineLevel="0" collapsed="false">
      <c r="B414" s="681"/>
      <c r="C414" s="682"/>
      <c r="D414" s="683"/>
      <c r="F414" s="490" t="s">
        <v>1023</v>
      </c>
      <c r="G414" s="490" t="n">
        <v>1</v>
      </c>
      <c r="H414" s="491"/>
      <c r="I414" s="685" t="n">
        <f aca="false">VLOOKUP(F414,'Рулонки компл. Амиго '!$B$7:$D$1031,3,0)</f>
        <v>21.407675</v>
      </c>
      <c r="J414" s="685" t="n">
        <f aca="false">I414*G414</f>
        <v>21.407675</v>
      </c>
      <c r="K414" s="685" t="n">
        <f aca="false">J414*$K$4</f>
        <v>42.81535</v>
      </c>
      <c r="L414" s="679"/>
      <c r="M414" s="679"/>
      <c r="O414" s="686"/>
      <c r="Q414" s="687"/>
      <c r="R414" s="687"/>
      <c r="S414" s="688"/>
      <c r="T414" s="688"/>
      <c r="U414" s="688"/>
    </row>
    <row r="415" s="737" customFormat="true" ht="12.8" hidden="false" customHeight="false" outlineLevel="0" collapsed="false">
      <c r="B415" s="738"/>
      <c r="C415" s="739"/>
      <c r="D415" s="712"/>
      <c r="F415" s="742" t="s">
        <v>1131</v>
      </c>
      <c r="G415" s="737" t="n">
        <v>2</v>
      </c>
      <c r="I415" s="714" t="n">
        <f aca="false">VLOOKUP(F415,'Рулонки компл. Амиго '!$B$7:$D$1031,3,0)</f>
        <v>55.199</v>
      </c>
      <c r="J415" s="714" t="n">
        <f aca="false">I415*G415</f>
        <v>110.398</v>
      </c>
      <c r="K415" s="714" t="n">
        <f aca="false">J415*$K$4</f>
        <v>220.796</v>
      </c>
      <c r="L415" s="740"/>
      <c r="M415" s="740"/>
      <c r="N415" s="709"/>
      <c r="O415" s="741"/>
      <c r="P415" s="709"/>
      <c r="Q415" s="716"/>
      <c r="R415" s="716"/>
      <c r="S415" s="713"/>
      <c r="T415" s="713"/>
      <c r="U415" s="713"/>
    </row>
    <row r="416" s="331" customFormat="true" ht="12.8" hidden="false" customHeight="false" outlineLevel="0" collapsed="false">
      <c r="B416" s="655"/>
      <c r="C416" s="335"/>
      <c r="D416" s="307"/>
      <c r="L416" s="692"/>
      <c r="M416" s="692"/>
      <c r="N416" s="0"/>
      <c r="O416" s="459"/>
      <c r="P416" s="0"/>
      <c r="Q416" s="482"/>
      <c r="R416" s="482"/>
      <c r="S416" s="666"/>
      <c r="T416" s="666"/>
      <c r="U416" s="666"/>
    </row>
    <row r="417" s="331" customFormat="true" ht="35.5" hidden="false" customHeight="false" outlineLevel="0" collapsed="false">
      <c r="A417" s="246" t="str">
        <f aca="false">"Рул - "&amp;B417</f>
        <v>Рул - 37</v>
      </c>
      <c r="B417" s="655" t="n">
        <v>37</v>
      </c>
      <c r="C417" s="335" t="s">
        <v>1140</v>
      </c>
      <c r="D417" s="307" t="s">
        <v>1141</v>
      </c>
      <c r="E417" s="331" t="n">
        <v>1</v>
      </c>
      <c r="F417" s="691" t="s">
        <v>1140</v>
      </c>
      <c r="L417" s="665" t="n">
        <f aca="false">SUM(K418:K422)</f>
        <v>2478.07385</v>
      </c>
      <c r="M417" s="679" t="n">
        <f aca="false">SUM(K423:K425)</f>
        <v>1568.7498</v>
      </c>
      <c r="N417" s="706" t="n">
        <f aca="false">SUM(K426)</f>
        <v>220.796</v>
      </c>
      <c r="O417" s="459"/>
      <c r="P417" s="0" t="s">
        <v>1136</v>
      </c>
      <c r="Q417" s="482"/>
      <c r="R417" s="482"/>
      <c r="S417" s="666" t="n">
        <v>1</v>
      </c>
      <c r="T417" s="666"/>
      <c r="U417" s="666" t="s">
        <v>1123</v>
      </c>
    </row>
    <row r="418" s="331" customFormat="true" ht="12.8" hidden="false" customHeight="false" outlineLevel="0" collapsed="false">
      <c r="B418" s="655"/>
      <c r="C418" s="335"/>
      <c r="D418" s="307"/>
      <c r="F418" s="331" t="s">
        <v>1124</v>
      </c>
      <c r="G418" s="331" t="n">
        <v>1</v>
      </c>
      <c r="I418" s="483" t="n">
        <f aca="false">VLOOKUP(F418,'Рулонки компл. Амиго '!$B$7:$D$1031,3,0)</f>
        <v>30.0271</v>
      </c>
      <c r="J418" s="483" t="n">
        <f aca="false">I418*G418</f>
        <v>30.0271</v>
      </c>
      <c r="K418" s="483" t="n">
        <f aca="false">J418*$K$4</f>
        <v>60.0542</v>
      </c>
      <c r="L418" s="692"/>
      <c r="M418" s="692"/>
      <c r="N418" s="0"/>
      <c r="O418" s="459"/>
      <c r="P418" s="0"/>
      <c r="Q418" s="482"/>
      <c r="R418" s="482"/>
      <c r="S418" s="666"/>
      <c r="T418" s="666"/>
      <c r="U418" s="666"/>
    </row>
    <row r="419" s="331" customFormat="true" ht="12.8" hidden="false" customHeight="false" outlineLevel="0" collapsed="false">
      <c r="B419" s="655"/>
      <c r="C419" s="335"/>
      <c r="D419" s="307"/>
      <c r="F419" s="331" t="s">
        <v>1035</v>
      </c>
      <c r="G419" s="331" t="n">
        <v>2</v>
      </c>
      <c r="I419" s="483" t="n">
        <f aca="false">VLOOKUP(F419,'Рулонки компл. Амиго '!$B$7:$D$1031,3,0)</f>
        <v>139.31245</v>
      </c>
      <c r="J419" s="483" t="n">
        <f aca="false">I419*G419</f>
        <v>278.6249</v>
      </c>
      <c r="K419" s="483" t="n">
        <f aca="false">J419*$K$4</f>
        <v>557.2498</v>
      </c>
      <c r="L419" s="692"/>
      <c r="M419" s="692"/>
      <c r="N419" s="0"/>
      <c r="O419" s="459"/>
      <c r="P419" s="0"/>
      <c r="Q419" s="482"/>
      <c r="R419" s="482"/>
      <c r="S419" s="666"/>
      <c r="T419" s="666"/>
      <c r="U419" s="666"/>
    </row>
    <row r="420" s="331" customFormat="true" ht="12.8" hidden="false" customHeight="false" outlineLevel="0" collapsed="false">
      <c r="B420" s="655"/>
      <c r="C420" s="335"/>
      <c r="D420" s="307"/>
      <c r="F420" s="331" t="s">
        <v>1036</v>
      </c>
      <c r="G420" s="331" t="n">
        <v>1</v>
      </c>
      <c r="I420" s="483" t="n">
        <f aca="false">VLOOKUP(F420,'Рулонки компл. Амиго '!$B$7:$D$1031,3,0)</f>
        <v>798.4781</v>
      </c>
      <c r="J420" s="483" t="n">
        <f aca="false">I420*G420</f>
        <v>798.4781</v>
      </c>
      <c r="K420" s="483" t="n">
        <f aca="false">J420*$K$4</f>
        <v>1596.9562</v>
      </c>
      <c r="L420" s="692"/>
      <c r="M420" s="692"/>
      <c r="N420" s="0"/>
      <c r="O420" s="459"/>
      <c r="P420" s="0"/>
      <c r="Q420" s="482"/>
      <c r="R420" s="482"/>
      <c r="S420" s="666"/>
      <c r="T420" s="666"/>
      <c r="U420" s="666"/>
    </row>
    <row r="421" s="331" customFormat="true" ht="12.8" hidden="false" customHeight="false" outlineLevel="0" collapsed="false">
      <c r="B421" s="655"/>
      <c r="C421" s="335"/>
      <c r="D421" s="307"/>
      <c r="F421" s="331" t="s">
        <v>1127</v>
      </c>
      <c r="G421" s="331" t="n">
        <v>1</v>
      </c>
      <c r="I421" s="483" t="n">
        <f aca="false">VLOOKUP(F421,'Рулонки компл. Амиго '!$B$7:$D$1031,3,0)</f>
        <v>124.768525</v>
      </c>
      <c r="J421" s="483" t="n">
        <f aca="false">I421*G421</f>
        <v>124.768525</v>
      </c>
      <c r="K421" s="483" t="n">
        <f aca="false">J421*$K$4</f>
        <v>249.53705</v>
      </c>
      <c r="L421" s="692"/>
      <c r="M421" s="692"/>
      <c r="N421" s="0"/>
      <c r="O421" s="459"/>
      <c r="P421" s="0"/>
      <c r="Q421" s="482"/>
      <c r="R421" s="482"/>
      <c r="S421" s="666"/>
      <c r="T421" s="666"/>
      <c r="U421" s="666"/>
    </row>
    <row r="422" s="331" customFormat="true" ht="12.8" hidden="false" customHeight="false" outlineLevel="0" collapsed="false">
      <c r="B422" s="655"/>
      <c r="C422" s="335"/>
      <c r="D422" s="307"/>
      <c r="F422" s="331" t="s">
        <v>1126</v>
      </c>
      <c r="G422" s="331" t="n">
        <v>2</v>
      </c>
      <c r="I422" s="483" t="n">
        <f aca="false">VLOOKUP(F422,'Рулонки компл. Амиго '!$B$7:$D$1031,3,0)</f>
        <v>3.56915</v>
      </c>
      <c r="J422" s="483" t="n">
        <f aca="false">I422*G422</f>
        <v>7.1383</v>
      </c>
      <c r="K422" s="483" t="n">
        <f aca="false">J422*$K$4</f>
        <v>14.2766</v>
      </c>
      <c r="L422" s="692"/>
      <c r="M422" s="692"/>
      <c r="N422" s="0"/>
      <c r="O422" s="459"/>
      <c r="P422" s="0"/>
      <c r="Q422" s="482"/>
      <c r="R422" s="482"/>
      <c r="S422" s="666"/>
      <c r="T422" s="666"/>
      <c r="U422" s="666"/>
    </row>
    <row r="423" s="490" customFormat="true" ht="12.8" hidden="false" customHeight="false" outlineLevel="0" collapsed="false">
      <c r="B423" s="693"/>
      <c r="C423" s="736"/>
      <c r="D423" s="683"/>
      <c r="F423" s="490" t="s">
        <v>1136</v>
      </c>
      <c r="G423" s="490" t="n">
        <v>1.2</v>
      </c>
      <c r="I423" s="685" t="n">
        <f aca="false">VLOOKUP(F423,'Рулонки компл. Амиго '!$B$7:$D$1031,3,0)</f>
        <v>619.616</v>
      </c>
      <c r="J423" s="685" t="n">
        <f aca="false">I423*G423</f>
        <v>743.5392</v>
      </c>
      <c r="K423" s="685" t="n">
        <f aca="false">J423*$K$4</f>
        <v>1487.0784</v>
      </c>
      <c r="L423" s="694"/>
      <c r="M423" s="694"/>
      <c r="N423" s="489"/>
      <c r="O423" s="491"/>
      <c r="P423" s="489"/>
      <c r="Q423" s="687"/>
      <c r="R423" s="687"/>
      <c r="S423" s="688"/>
      <c r="T423" s="688"/>
      <c r="U423" s="688"/>
    </row>
    <row r="424" s="489" customFormat="true" ht="12.8" hidden="false" customHeight="false" outlineLevel="0" collapsed="false">
      <c r="B424" s="681"/>
      <c r="C424" s="682"/>
      <c r="D424" s="683"/>
      <c r="F424" s="490" t="s">
        <v>1022</v>
      </c>
      <c r="G424" s="490" t="n">
        <v>1</v>
      </c>
      <c r="H424" s="491"/>
      <c r="I424" s="685" t="n">
        <f aca="false">VLOOKUP(F424,'Рулонки компл. Амиго '!$B$7:$D$1031,3,0)</f>
        <v>19.428025</v>
      </c>
      <c r="J424" s="685" t="n">
        <f aca="false">I424*G424</f>
        <v>19.428025</v>
      </c>
      <c r="K424" s="685" t="n">
        <f aca="false">J424*$K$4</f>
        <v>38.85605</v>
      </c>
      <c r="L424" s="679"/>
      <c r="M424" s="679"/>
      <c r="O424" s="686"/>
      <c r="Q424" s="687"/>
      <c r="R424" s="687"/>
      <c r="S424" s="688"/>
      <c r="T424" s="688"/>
      <c r="U424" s="688"/>
    </row>
    <row r="425" s="489" customFormat="true" ht="12.8" hidden="false" customHeight="false" outlineLevel="0" collapsed="false">
      <c r="B425" s="681"/>
      <c r="C425" s="682"/>
      <c r="D425" s="683"/>
      <c r="F425" s="490" t="s">
        <v>1023</v>
      </c>
      <c r="G425" s="490" t="n">
        <v>1</v>
      </c>
      <c r="H425" s="491"/>
      <c r="I425" s="685" t="n">
        <f aca="false">VLOOKUP(F425,'Рулонки компл. Амиго '!$B$7:$D$1031,3,0)</f>
        <v>21.407675</v>
      </c>
      <c r="J425" s="685" t="n">
        <f aca="false">I425*G425</f>
        <v>21.407675</v>
      </c>
      <c r="K425" s="685" t="n">
        <f aca="false">J425*$K$4</f>
        <v>42.81535</v>
      </c>
      <c r="L425" s="679"/>
      <c r="M425" s="679"/>
      <c r="O425" s="686"/>
      <c r="Q425" s="687"/>
      <c r="R425" s="687"/>
      <c r="S425" s="688"/>
      <c r="T425" s="688"/>
      <c r="U425" s="688"/>
    </row>
    <row r="426" s="737" customFormat="true" ht="12.8" hidden="false" customHeight="false" outlineLevel="0" collapsed="false">
      <c r="B426" s="738"/>
      <c r="C426" s="739"/>
      <c r="D426" s="712"/>
      <c r="F426" s="742" t="s">
        <v>1131</v>
      </c>
      <c r="G426" s="737" t="n">
        <v>2</v>
      </c>
      <c r="I426" s="714" t="n">
        <f aca="false">VLOOKUP(F426,'Рулонки компл. Амиго '!$B$7:$D$1031,3,0)</f>
        <v>55.199</v>
      </c>
      <c r="J426" s="714" t="n">
        <f aca="false">I426*G426</f>
        <v>110.398</v>
      </c>
      <c r="K426" s="714" t="n">
        <f aca="false">J426*$K$4</f>
        <v>220.796</v>
      </c>
      <c r="L426" s="740"/>
      <c r="M426" s="740"/>
      <c r="N426" s="709"/>
      <c r="O426" s="741"/>
      <c r="P426" s="709"/>
      <c r="Q426" s="716"/>
      <c r="R426" s="716"/>
      <c r="S426" s="713"/>
      <c r="T426" s="713"/>
      <c r="U426" s="713"/>
    </row>
    <row r="427" s="331" customFormat="true" ht="12.8" hidden="false" customHeight="false" outlineLevel="0" collapsed="false">
      <c r="B427" s="655"/>
      <c r="C427" s="335"/>
      <c r="D427" s="307"/>
      <c r="L427" s="692"/>
      <c r="M427" s="692"/>
      <c r="N427" s="0"/>
      <c r="O427" s="459"/>
      <c r="P427" s="0"/>
      <c r="Q427" s="482"/>
      <c r="R427" s="482"/>
      <c r="S427" s="666"/>
      <c r="T427" s="666"/>
      <c r="U427" s="666"/>
    </row>
    <row r="428" s="331" customFormat="true" ht="12.8" hidden="false" customHeight="false" outlineLevel="0" collapsed="false">
      <c r="A428" s="246" t="str">
        <f aca="false">"Рул - "&amp;B428</f>
        <v>Рул - 38</v>
      </c>
      <c r="B428" s="655" t="n">
        <v>38</v>
      </c>
      <c r="C428" s="335"/>
      <c r="D428" s="331" t="s">
        <v>1142</v>
      </c>
      <c r="E428" s="331" t="n">
        <v>1</v>
      </c>
      <c r="F428" s="691" t="s">
        <v>1143</v>
      </c>
      <c r="L428" s="692"/>
      <c r="M428" s="692"/>
      <c r="N428" s="0"/>
      <c r="O428" s="459"/>
      <c r="P428" s="708" t="s">
        <v>1144</v>
      </c>
      <c r="Q428" s="482"/>
      <c r="R428" s="482"/>
      <c r="S428" s="666"/>
      <c r="T428" s="666"/>
      <c r="U428" s="666"/>
    </row>
    <row r="429" s="331" customFormat="true" ht="12.8" hidden="false" customHeight="false" outlineLevel="0" collapsed="false">
      <c r="B429" s="655"/>
      <c r="C429" s="335"/>
      <c r="D429" s="307"/>
      <c r="F429" s="115" t="s">
        <v>1145</v>
      </c>
      <c r="G429" s="331" t="n">
        <v>2</v>
      </c>
      <c r="L429" s="692"/>
      <c r="M429" s="692"/>
      <c r="N429" s="0"/>
      <c r="O429" s="459"/>
      <c r="P429" s="0"/>
      <c r="Q429" s="482"/>
      <c r="R429" s="482"/>
      <c r="S429" s="666"/>
      <c r="T429" s="666"/>
      <c r="U429" s="666"/>
    </row>
    <row r="430" s="331" customFormat="true" ht="12.8" hidden="false" customHeight="false" outlineLevel="0" collapsed="false">
      <c r="B430" s="655"/>
      <c r="C430" s="335"/>
      <c r="D430" s="307"/>
      <c r="F430" s="115" t="s">
        <v>1146</v>
      </c>
      <c r="G430" s="331" t="n">
        <v>2</v>
      </c>
      <c r="L430" s="692"/>
      <c r="M430" s="692"/>
      <c r="N430" s="0"/>
      <c r="O430" s="459"/>
      <c r="P430" s="0"/>
      <c r="Q430" s="482"/>
      <c r="R430" s="482"/>
      <c r="S430" s="666"/>
      <c r="T430" s="666"/>
      <c r="U430" s="666"/>
    </row>
    <row r="431" s="331" customFormat="true" ht="12.8" hidden="false" customHeight="false" outlineLevel="0" collapsed="false">
      <c r="B431" s="655"/>
      <c r="C431" s="335"/>
      <c r="D431" s="307"/>
      <c r="F431" s="115" t="s">
        <v>1147</v>
      </c>
      <c r="G431" s="331" t="n">
        <v>1</v>
      </c>
      <c r="L431" s="692"/>
      <c r="M431" s="692"/>
      <c r="N431" s="0"/>
      <c r="O431" s="459"/>
      <c r="P431" s="0"/>
      <c r="Q431" s="482"/>
      <c r="R431" s="482"/>
      <c r="S431" s="666"/>
      <c r="T431" s="666"/>
      <c r="U431" s="666"/>
    </row>
    <row r="432" s="331" customFormat="true" ht="12.8" hidden="false" customHeight="false" outlineLevel="0" collapsed="false">
      <c r="B432" s="655"/>
      <c r="C432" s="335"/>
      <c r="D432" s="307"/>
      <c r="F432" s="115" t="s">
        <v>1148</v>
      </c>
      <c r="G432" s="331" t="n">
        <v>1</v>
      </c>
      <c r="L432" s="692"/>
      <c r="M432" s="692"/>
      <c r="N432" s="0"/>
      <c r="O432" s="459"/>
      <c r="P432" s="0"/>
      <c r="Q432" s="482"/>
      <c r="R432" s="482"/>
      <c r="S432" s="666"/>
      <c r="T432" s="666"/>
      <c r="U432" s="666"/>
    </row>
    <row r="433" customFormat="false" ht="12.8" hidden="false" customHeight="false" outlineLevel="0" collapsed="false">
      <c r="C433" s="0"/>
      <c r="D433" s="0"/>
      <c r="F433" s="115" t="s">
        <v>1149</v>
      </c>
      <c r="G433" s="0" t="n">
        <v>1</v>
      </c>
      <c r="L433" s="0"/>
      <c r="M433" s="0"/>
      <c r="Q433" s="0"/>
      <c r="R433" s="0"/>
      <c r="S433" s="0"/>
      <c r="T433" s="0"/>
      <c r="U433" s="0"/>
    </row>
    <row r="434" customFormat="false" ht="12.8" hidden="false" customHeight="false" outlineLevel="0" collapsed="false">
      <c r="C434" s="0"/>
      <c r="D434" s="0"/>
      <c r="F434" s="115" t="s">
        <v>1150</v>
      </c>
      <c r="G434" s="0" t="n">
        <v>1</v>
      </c>
      <c r="L434" s="0"/>
      <c r="M434" s="0"/>
      <c r="Q434" s="0"/>
      <c r="R434" s="0"/>
      <c r="S434" s="0"/>
      <c r="T434" s="0"/>
      <c r="U434" s="0"/>
    </row>
    <row r="435" s="490" customFormat="true" ht="12.8" hidden="false" customHeight="false" outlineLevel="0" collapsed="false">
      <c r="B435" s="693"/>
      <c r="C435" s="736"/>
      <c r="D435" s="683"/>
      <c r="F435" s="708" t="s">
        <v>1144</v>
      </c>
      <c r="G435" s="490" t="n">
        <v>1</v>
      </c>
      <c r="L435" s="694"/>
      <c r="M435" s="694"/>
      <c r="N435" s="489"/>
      <c r="O435" s="491"/>
      <c r="P435" s="489"/>
      <c r="Q435" s="687"/>
      <c r="R435" s="687"/>
      <c r="S435" s="688"/>
      <c r="T435" s="688"/>
      <c r="U435" s="688"/>
    </row>
    <row r="436" s="490" customFormat="true" ht="12.8" hidden="false" customHeight="false" outlineLevel="0" collapsed="false">
      <c r="B436" s="693"/>
      <c r="C436" s="736"/>
      <c r="D436" s="683"/>
      <c r="F436" s="490" t="s">
        <v>1023</v>
      </c>
      <c r="G436" s="490" t="n">
        <v>1</v>
      </c>
      <c r="L436" s="694"/>
      <c r="M436" s="694"/>
      <c r="N436" s="489"/>
      <c r="O436" s="491"/>
      <c r="P436" s="489"/>
      <c r="Q436" s="687"/>
      <c r="R436" s="687"/>
      <c r="S436" s="688"/>
      <c r="T436" s="688"/>
      <c r="U436" s="688"/>
    </row>
    <row r="437" s="490" customFormat="true" ht="12.8" hidden="false" customHeight="false" outlineLevel="0" collapsed="false">
      <c r="B437" s="693"/>
      <c r="C437" s="736"/>
      <c r="D437" s="683"/>
      <c r="F437" s="708" t="s">
        <v>1151</v>
      </c>
      <c r="G437" s="490" t="n">
        <v>1</v>
      </c>
      <c r="L437" s="694"/>
      <c r="M437" s="694"/>
      <c r="N437" s="489"/>
      <c r="O437" s="491"/>
      <c r="P437" s="489"/>
      <c r="Q437" s="687"/>
      <c r="R437" s="687"/>
      <c r="S437" s="688"/>
      <c r="T437" s="688"/>
      <c r="U437" s="688"/>
    </row>
    <row r="438" s="331" customFormat="true" ht="12.8" hidden="false" customHeight="false" outlineLevel="0" collapsed="false">
      <c r="B438" s="655"/>
      <c r="C438" s="335"/>
      <c r="D438" s="307"/>
      <c r="L438" s="692"/>
      <c r="M438" s="692"/>
      <c r="N438" s="0"/>
      <c r="O438" s="459"/>
      <c r="P438" s="0"/>
      <c r="Q438" s="482"/>
      <c r="R438" s="482"/>
      <c r="S438" s="666"/>
      <c r="T438" s="666"/>
      <c r="U438" s="666"/>
    </row>
    <row r="439" s="331" customFormat="true" ht="35.5" hidden="false" customHeight="false" outlineLevel="0" collapsed="false">
      <c r="A439" s="246" t="str">
        <f aca="false">"Рул - "&amp;B439</f>
        <v>Рул - 39</v>
      </c>
      <c r="B439" s="655" t="n">
        <v>39</v>
      </c>
      <c r="C439" s="335" t="s">
        <v>1152</v>
      </c>
      <c r="D439" s="331" t="s">
        <v>1153</v>
      </c>
      <c r="E439" s="331" t="n">
        <v>1</v>
      </c>
      <c r="F439" s="691" t="s">
        <v>1152</v>
      </c>
      <c r="L439" s="665" t="n">
        <f aca="false">SUM(K440:K449)</f>
        <v>6798.7638841408</v>
      </c>
      <c r="M439" s="679" t="n">
        <f aca="false">SUM(K450:K451)</f>
        <v>2905.70156094643</v>
      </c>
      <c r="N439" s="0"/>
      <c r="O439" s="459" t="n">
        <v>1</v>
      </c>
      <c r="P439" s="0" t="s">
        <v>1084</v>
      </c>
      <c r="Q439" s="482"/>
      <c r="R439" s="482"/>
      <c r="S439" s="666" t="n">
        <v>1</v>
      </c>
      <c r="T439" s="666"/>
      <c r="U439" s="332" t="s">
        <v>824</v>
      </c>
    </row>
    <row r="440" s="331" customFormat="true" ht="12.8" hidden="false" customHeight="false" outlineLevel="0" collapsed="false">
      <c r="B440" s="655"/>
      <c r="C440" s="335"/>
      <c r="D440" s="307"/>
      <c r="F440" s="115" t="s">
        <v>1085</v>
      </c>
      <c r="G440" s="0" t="n">
        <v>1</v>
      </c>
      <c r="I440" s="483" t="n">
        <f aca="false">VLOOKUP(F440,'Рулонки компл. Амиго '!$B$7:$D$1031,3,0)</f>
        <v>195.3426754125</v>
      </c>
      <c r="J440" s="483" t="n">
        <f aca="false">I440*G440</f>
        <v>195.3426754125</v>
      </c>
      <c r="K440" s="483" t="n">
        <f aca="false">J440*$K$4</f>
        <v>390.685350825</v>
      </c>
      <c r="L440" s="692"/>
      <c r="M440" s="692"/>
      <c r="N440" s="0"/>
      <c r="O440" s="459"/>
      <c r="P440" s="0"/>
      <c r="Q440" s="482"/>
      <c r="R440" s="482"/>
      <c r="S440" s="666"/>
      <c r="T440" s="666"/>
      <c r="U440" s="666"/>
    </row>
    <row r="441" s="331" customFormat="true" ht="12.8" hidden="false" customHeight="false" outlineLevel="0" collapsed="false">
      <c r="B441" s="655"/>
      <c r="C441" s="335"/>
      <c r="D441" s="307"/>
      <c r="F441" s="331" t="s">
        <v>1086</v>
      </c>
      <c r="G441" s="331" t="n">
        <v>2</v>
      </c>
      <c r="I441" s="483" t="n">
        <f aca="false">VLOOKUP(F441,'Рулонки компл. Амиго '!$B$7:$D$1031,3,0)</f>
        <v>389.33448246</v>
      </c>
      <c r="J441" s="483" t="n">
        <f aca="false">I441*G441</f>
        <v>778.66896492</v>
      </c>
      <c r="K441" s="483" t="n">
        <f aca="false">J441*$K$4</f>
        <v>1557.33792984</v>
      </c>
      <c r="L441" s="692"/>
      <c r="M441" s="692"/>
      <c r="N441" s="0"/>
      <c r="O441" s="459"/>
      <c r="P441" s="0"/>
      <c r="Q441" s="482"/>
      <c r="R441" s="482"/>
      <c r="S441" s="666"/>
      <c r="T441" s="666"/>
      <c r="U441" s="666"/>
    </row>
    <row r="442" s="331" customFormat="true" ht="12.8" hidden="false" customHeight="false" outlineLevel="0" collapsed="false">
      <c r="B442" s="655"/>
      <c r="C442" s="335"/>
      <c r="D442" s="307"/>
      <c r="F442" s="331" t="s">
        <v>1087</v>
      </c>
      <c r="G442" s="331" t="n">
        <v>2</v>
      </c>
      <c r="I442" s="483" t="n">
        <f aca="false">VLOOKUP(F442,'Рулонки компл. Амиго '!$B$7:$D$1031,3,0)</f>
        <v>78.658457955</v>
      </c>
      <c r="J442" s="483" t="n">
        <f aca="false">I442*G442</f>
        <v>157.31691591</v>
      </c>
      <c r="K442" s="483" t="n">
        <f aca="false">J442*$K$4</f>
        <v>314.63383182</v>
      </c>
      <c r="L442" s="692"/>
      <c r="M442" s="692"/>
      <c r="N442" s="0"/>
      <c r="O442" s="459"/>
      <c r="P442" s="0"/>
      <c r="Q442" s="482"/>
      <c r="R442" s="482"/>
      <c r="S442" s="666"/>
      <c r="T442" s="666"/>
      <c r="U442" s="666"/>
    </row>
    <row r="443" s="331" customFormat="true" ht="12.8" hidden="false" customHeight="false" outlineLevel="0" collapsed="false">
      <c r="B443" s="655"/>
      <c r="C443" s="335"/>
      <c r="D443" s="307"/>
      <c r="F443" s="331" t="s">
        <v>1088</v>
      </c>
      <c r="G443" s="331" t="n">
        <v>3</v>
      </c>
      <c r="I443" s="483" t="n">
        <f aca="false">VLOOKUP(F443,'Рулонки компл. Амиго '!$B$7:$D$1031,3,0)</f>
        <v>38.4523495125</v>
      </c>
      <c r="J443" s="483" t="n">
        <f aca="false">I443*G443</f>
        <v>115.3570485375</v>
      </c>
      <c r="K443" s="483" t="n">
        <f aca="false">J443*$K$4</f>
        <v>230.714097075</v>
      </c>
      <c r="L443" s="692"/>
      <c r="M443" s="692"/>
      <c r="N443" s="0"/>
      <c r="O443" s="459"/>
      <c r="P443" s="0"/>
      <c r="Q443" s="482"/>
      <c r="R443" s="482"/>
      <c r="S443" s="666"/>
      <c r="T443" s="666"/>
      <c r="U443" s="666"/>
    </row>
    <row r="444" s="331" customFormat="true" ht="12.8" hidden="false" customHeight="false" outlineLevel="0" collapsed="false">
      <c r="B444" s="655"/>
      <c r="C444" s="335"/>
      <c r="D444" s="307"/>
      <c r="F444" s="331" t="s">
        <v>1089</v>
      </c>
      <c r="G444" s="331" t="n">
        <v>4</v>
      </c>
      <c r="I444" s="483" t="n">
        <f aca="false">VLOOKUP(F444,'Рулонки компл. Амиго '!$B$7:$D$1031,3,0)</f>
        <v>75.530131215</v>
      </c>
      <c r="J444" s="483" t="n">
        <f aca="false">I444*G444</f>
        <v>302.12052486</v>
      </c>
      <c r="K444" s="483" t="n">
        <f aca="false">J444*$K$4</f>
        <v>604.24104972</v>
      </c>
      <c r="L444" s="692"/>
      <c r="M444" s="692"/>
      <c r="N444" s="0"/>
      <c r="O444" s="459"/>
      <c r="P444" s="0"/>
      <c r="Q444" s="482"/>
      <c r="R444" s="482"/>
      <c r="S444" s="666"/>
      <c r="T444" s="666"/>
      <c r="U444" s="666"/>
    </row>
    <row r="445" s="331" customFormat="true" ht="12.8" hidden="false" customHeight="false" outlineLevel="0" collapsed="false">
      <c r="B445" s="655"/>
      <c r="C445" s="335"/>
      <c r="D445" s="307"/>
      <c r="F445" s="115" t="s">
        <v>1095</v>
      </c>
      <c r="G445" s="331" t="n">
        <v>1</v>
      </c>
      <c r="I445" s="483" t="n">
        <f aca="false">VLOOKUP(F445,'Рулонки компл. Амиго '!$B$7:$D$1031,3,0)</f>
        <v>430.8914592675</v>
      </c>
      <c r="J445" s="483" t="n">
        <f aca="false">I445*G445</f>
        <v>430.8914592675</v>
      </c>
      <c r="K445" s="483" t="n">
        <f aca="false">J445*$K$4</f>
        <v>861.782918535</v>
      </c>
      <c r="L445" s="692"/>
      <c r="M445" s="692"/>
      <c r="N445" s="0"/>
      <c r="O445" s="459"/>
      <c r="P445" s="0"/>
      <c r="Q445" s="482"/>
      <c r="R445" s="482"/>
      <c r="S445" s="666"/>
      <c r="T445" s="666"/>
      <c r="U445" s="666"/>
    </row>
    <row r="446" s="331" customFormat="true" ht="12.8" hidden="false" customHeight="false" outlineLevel="0" collapsed="false">
      <c r="B446" s="655"/>
      <c r="C446" s="335"/>
      <c r="D446" s="307"/>
      <c r="F446" s="115" t="s">
        <v>1091</v>
      </c>
      <c r="G446" s="331" t="n">
        <v>1</v>
      </c>
      <c r="I446" s="483" t="n">
        <f aca="false">VLOOKUP(F446,'Рулонки компл. Амиго '!$B$7:$D$1031,3,0)</f>
        <v>163.5308201054</v>
      </c>
      <c r="J446" s="483" t="n">
        <f aca="false">I446*G446</f>
        <v>163.5308201054</v>
      </c>
      <c r="K446" s="483" t="n">
        <f aca="false">J446*$K$4</f>
        <v>327.0616402108</v>
      </c>
      <c r="L446" s="692"/>
      <c r="M446" s="692"/>
      <c r="N446" s="0"/>
      <c r="O446" s="459"/>
      <c r="P446" s="0"/>
      <c r="Q446" s="482"/>
      <c r="R446" s="482"/>
      <c r="S446" s="666"/>
      <c r="T446" s="666"/>
      <c r="U446" s="666"/>
    </row>
    <row r="447" s="331" customFormat="true" ht="12.8" hidden="false" customHeight="false" outlineLevel="0" collapsed="false">
      <c r="B447" s="655"/>
      <c r="C447" s="335"/>
      <c r="D447" s="307"/>
      <c r="F447" s="0" t="s">
        <v>1154</v>
      </c>
      <c r="G447" s="0" t="n">
        <v>1</v>
      </c>
      <c r="I447" s="483" t="n">
        <f aca="false">VLOOKUP(F447,'Рулонки компл. Амиго '!$B$7:$D$1031,3,0)</f>
        <v>446.92413381</v>
      </c>
      <c r="J447" s="483" t="n">
        <f aca="false">I447*G447</f>
        <v>446.92413381</v>
      </c>
      <c r="K447" s="483" t="n">
        <f aca="false">J447*$K$4</f>
        <v>893.84826762</v>
      </c>
      <c r="L447" s="692"/>
      <c r="M447" s="692"/>
      <c r="N447" s="0"/>
      <c r="O447" s="459"/>
      <c r="P447" s="0"/>
      <c r="Q447" s="482"/>
      <c r="R447" s="482"/>
      <c r="S447" s="666"/>
      <c r="T447" s="666"/>
      <c r="U447" s="666"/>
    </row>
    <row r="448" s="331" customFormat="true" ht="12.8" hidden="false" customHeight="false" outlineLevel="0" collapsed="false">
      <c r="B448" s="655"/>
      <c r="C448" s="335"/>
      <c r="D448" s="307"/>
      <c r="F448" s="0" t="s">
        <v>1155</v>
      </c>
      <c r="G448" s="0" t="n">
        <v>1</v>
      </c>
      <c r="I448" s="483" t="n">
        <f aca="false">VLOOKUP(F448,'Рулонки компл. Амиго '!$B$7:$D$1031,3,0)</f>
        <v>563.4898540425</v>
      </c>
      <c r="J448" s="483" t="n">
        <f aca="false">I448*G448</f>
        <v>563.4898540425</v>
      </c>
      <c r="K448" s="483" t="n">
        <f aca="false">J448*$K$4</f>
        <v>1126.979708085</v>
      </c>
      <c r="L448" s="692"/>
      <c r="M448" s="692"/>
      <c r="N448" s="0"/>
      <c r="O448" s="459"/>
      <c r="P448" s="0"/>
      <c r="Q448" s="482"/>
      <c r="R448" s="482"/>
      <c r="S448" s="666"/>
      <c r="T448" s="666"/>
      <c r="U448" s="666"/>
    </row>
    <row r="449" s="331" customFormat="true" ht="12.8" hidden="false" customHeight="false" outlineLevel="0" collapsed="false">
      <c r="B449" s="655"/>
      <c r="C449" s="335"/>
      <c r="D449" s="307"/>
      <c r="F449" s="0" t="s">
        <v>1156</v>
      </c>
      <c r="G449" s="0" t="n">
        <v>1</v>
      </c>
      <c r="I449" s="483" t="n">
        <f aca="false">VLOOKUP(F449,'Рулонки компл. Амиго '!$B$7:$D$1031,3,0)</f>
        <v>245.739545205</v>
      </c>
      <c r="J449" s="483" t="n">
        <f aca="false">I449*G449</f>
        <v>245.739545205</v>
      </c>
      <c r="K449" s="483" t="n">
        <f aca="false">J449*$K$4</f>
        <v>491.47909041</v>
      </c>
      <c r="L449" s="692"/>
      <c r="M449" s="692"/>
      <c r="N449" s="0"/>
      <c r="O449" s="459"/>
      <c r="P449" s="0"/>
      <c r="Q449" s="482"/>
      <c r="R449" s="482"/>
      <c r="S449" s="666"/>
      <c r="T449" s="666"/>
      <c r="U449" s="666"/>
    </row>
    <row r="450" s="490" customFormat="true" ht="12.8" hidden="false" customHeight="false" outlineLevel="0" collapsed="false">
      <c r="B450" s="693"/>
      <c r="C450" s="736"/>
      <c r="D450" s="683"/>
      <c r="F450" s="490" t="s">
        <v>1069</v>
      </c>
      <c r="G450" s="490" t="n">
        <v>1</v>
      </c>
      <c r="H450" s="491"/>
      <c r="I450" s="685" t="n">
        <f aca="false">VLOOKUP(F450,'Рулонки компл. Амиго '!$B$7:$D$1031,3,0)</f>
        <v>157.3050661875</v>
      </c>
      <c r="J450" s="685" t="n">
        <f aca="false">I450*G450</f>
        <v>157.3050661875</v>
      </c>
      <c r="K450" s="685" t="n">
        <f aca="false">J450*$K$4</f>
        <v>314.610132375</v>
      </c>
      <c r="L450" s="694"/>
      <c r="M450" s="694"/>
      <c r="N450" s="489"/>
      <c r="O450" s="491"/>
      <c r="P450" s="489"/>
      <c r="Q450" s="687"/>
      <c r="R450" s="687"/>
      <c r="S450" s="688"/>
      <c r="T450" s="688"/>
      <c r="U450" s="688"/>
    </row>
    <row r="451" s="490" customFormat="true" ht="12.8" hidden="false" customHeight="false" outlineLevel="0" collapsed="false">
      <c r="B451" s="693"/>
      <c r="C451" s="736"/>
      <c r="D451" s="683"/>
      <c r="F451" s="708" t="s">
        <v>1084</v>
      </c>
      <c r="G451" s="490" t="n">
        <v>1.2</v>
      </c>
      <c r="H451" s="491"/>
      <c r="I451" s="685" t="n">
        <f aca="false">VLOOKUP(F451,'Рулонки компл. Амиго '!$B$7:$D$1031,3,0)</f>
        <v>1079.62142857143</v>
      </c>
      <c r="J451" s="685" t="n">
        <f aca="false">I451*G451</f>
        <v>1295.54571428572</v>
      </c>
      <c r="K451" s="685" t="n">
        <f aca="false">J451*$K$4</f>
        <v>2591.09142857143</v>
      </c>
      <c r="L451" s="694"/>
      <c r="M451" s="694"/>
      <c r="N451" s="489"/>
      <c r="O451" s="491"/>
      <c r="P451" s="489"/>
      <c r="Q451" s="687"/>
      <c r="R451" s="687"/>
      <c r="S451" s="688"/>
      <c r="T451" s="688"/>
      <c r="U451" s="688"/>
    </row>
    <row r="452" s="331" customFormat="true" ht="12.8" hidden="false" customHeight="false" outlineLevel="0" collapsed="false">
      <c r="B452" s="655"/>
      <c r="C452" s="335"/>
      <c r="D452" s="307"/>
      <c r="H452" s="459"/>
      <c r="L452" s="692"/>
      <c r="M452" s="692"/>
      <c r="N452" s="0"/>
      <c r="O452" s="459"/>
      <c r="P452" s="0"/>
      <c r="Q452" s="482"/>
      <c r="R452" s="482"/>
      <c r="S452" s="666"/>
      <c r="T452" s="666"/>
      <c r="U452" s="666"/>
    </row>
    <row r="453" s="331" customFormat="true" ht="12.8" hidden="false" customHeight="false" outlineLevel="0" collapsed="false">
      <c r="B453" s="655"/>
      <c r="C453" s="335"/>
      <c r="D453" s="307"/>
      <c r="H453" s="459"/>
      <c r="L453" s="692"/>
      <c r="M453" s="692"/>
      <c r="N453" s="0"/>
      <c r="O453" s="459"/>
      <c r="P453" s="0"/>
      <c r="Q453" s="482"/>
      <c r="R453" s="482"/>
      <c r="S453" s="666"/>
      <c r="T453" s="666"/>
      <c r="U453" s="666"/>
    </row>
    <row r="454" s="331" customFormat="true" ht="12.8" hidden="false" customHeight="false" outlineLevel="0" collapsed="false">
      <c r="B454" s="655"/>
      <c r="C454" s="335"/>
      <c r="D454" s="307"/>
      <c r="H454" s="459"/>
      <c r="L454" s="692"/>
      <c r="M454" s="692"/>
      <c r="N454" s="0"/>
      <c r="O454" s="459"/>
      <c r="P454" s="0"/>
      <c r="Q454" s="482"/>
      <c r="R454" s="482"/>
      <c r="S454" s="666"/>
      <c r="T454" s="666"/>
      <c r="U454" s="666"/>
    </row>
    <row r="455" s="331" customFormat="true" ht="12.8" hidden="false" customHeight="false" outlineLevel="0" collapsed="false">
      <c r="B455" s="655"/>
      <c r="C455" s="335"/>
      <c r="D455" s="307"/>
      <c r="L455" s="692"/>
      <c r="M455" s="692"/>
      <c r="N455" s="0"/>
      <c r="O455" s="459"/>
      <c r="P455" s="0"/>
      <c r="Q455" s="482"/>
      <c r="R455" s="482"/>
      <c r="S455" s="666"/>
      <c r="T455" s="666"/>
      <c r="U455" s="666"/>
    </row>
    <row r="456" s="331" customFormat="true" ht="12.8" hidden="false" customHeight="false" outlineLevel="0" collapsed="false">
      <c r="B456" s="655"/>
      <c r="C456" s="335"/>
      <c r="D456" s="307"/>
      <c r="F456" s="331" t="s">
        <v>1157</v>
      </c>
      <c r="I456" s="331" t="n">
        <f aca="false">SUM(I7:I455)</f>
        <v>132872.692253131</v>
      </c>
      <c r="L456" s="692"/>
      <c r="M456" s="692"/>
      <c r="N456" s="0"/>
      <c r="O456" s="459"/>
      <c r="P456" s="0"/>
      <c r="Q456" s="482"/>
      <c r="R456" s="482"/>
      <c r="S456" s="666"/>
      <c r="T456" s="666"/>
      <c r="U456" s="666"/>
    </row>
    <row r="457" s="331" customFormat="true" ht="12.8" hidden="false" customHeight="false" outlineLevel="0" collapsed="false">
      <c r="B457" s="655"/>
      <c r="C457" s="335"/>
      <c r="D457" s="307"/>
      <c r="L457" s="692"/>
      <c r="M457" s="692"/>
      <c r="N457" s="0"/>
      <c r="O457" s="459"/>
      <c r="P457" s="0"/>
      <c r="Q457" s="482"/>
      <c r="R457" s="482"/>
      <c r="S457" s="666"/>
      <c r="T457" s="666"/>
      <c r="U457" s="666"/>
    </row>
    <row r="458" s="331" customFormat="true" ht="12.8" hidden="false" customHeight="false" outlineLevel="0" collapsed="false">
      <c r="B458" s="655"/>
      <c r="C458" s="335"/>
      <c r="D458" s="307"/>
      <c r="L458" s="692"/>
      <c r="M458" s="692"/>
      <c r="N458" s="0"/>
      <c r="O458" s="459"/>
      <c r="P458" s="0"/>
      <c r="Q458" s="482"/>
      <c r="R458" s="482"/>
      <c r="S458" s="666"/>
      <c r="T458" s="666"/>
      <c r="U458" s="666"/>
    </row>
    <row r="459" s="331" customFormat="true" ht="12.8" hidden="false" customHeight="false" outlineLevel="0" collapsed="false">
      <c r="B459" s="655"/>
      <c r="C459" s="335"/>
      <c r="D459" s="307"/>
      <c r="L459" s="692"/>
      <c r="M459" s="692"/>
      <c r="N459" s="0"/>
      <c r="O459" s="459"/>
      <c r="P459" s="0"/>
      <c r="Q459" s="482"/>
      <c r="R459" s="482"/>
      <c r="S459" s="666"/>
      <c r="T459" s="666"/>
      <c r="U459" s="666"/>
    </row>
    <row r="460" s="331" customFormat="true" ht="12.8" hidden="false" customHeight="false" outlineLevel="0" collapsed="false">
      <c r="B460" s="655"/>
      <c r="C460" s="335"/>
      <c r="D460" s="307"/>
      <c r="L460" s="692"/>
      <c r="M460" s="692"/>
      <c r="N460" s="0"/>
      <c r="O460" s="459"/>
      <c r="P460" s="0"/>
      <c r="Q460" s="482"/>
      <c r="R460" s="482"/>
      <c r="S460" s="666"/>
      <c r="T460" s="666"/>
      <c r="U460" s="666"/>
    </row>
    <row r="461" s="331" customFormat="true" ht="12.8" hidden="false" customHeight="false" outlineLevel="0" collapsed="false">
      <c r="B461" s="655"/>
      <c r="C461" s="335"/>
      <c r="D461" s="307"/>
      <c r="L461" s="692"/>
      <c r="M461" s="692"/>
      <c r="N461" s="0"/>
      <c r="O461" s="459"/>
      <c r="P461" s="0"/>
      <c r="Q461" s="482"/>
      <c r="R461" s="482"/>
      <c r="S461" s="666"/>
      <c r="T461" s="666"/>
      <c r="U461" s="666"/>
    </row>
    <row r="462" s="331" customFormat="true" ht="12.8" hidden="false" customHeight="false" outlineLevel="0" collapsed="false">
      <c r="B462" s="655"/>
      <c r="C462" s="335"/>
      <c r="D462" s="307"/>
      <c r="L462" s="692"/>
      <c r="M462" s="692"/>
      <c r="N462" s="0"/>
      <c r="O462" s="459"/>
      <c r="P462" s="0"/>
      <c r="Q462" s="482"/>
      <c r="R462" s="482"/>
      <c r="S462" s="666"/>
      <c r="T462" s="666"/>
      <c r="U462" s="666"/>
    </row>
    <row r="463" customFormat="false" ht="12.8" hidden="false" customHeight="false" outlineLevel="0" collapsed="false">
      <c r="C463" s="335"/>
      <c r="F463" s="728"/>
      <c r="G463" s="331"/>
      <c r="H463" s="459"/>
    </row>
    <row r="464" customFormat="false" ht="12.8" hidden="false" customHeight="false" outlineLevel="0" collapsed="false">
      <c r="C464" s="335"/>
      <c r="F464" s="728"/>
      <c r="G464" s="331"/>
      <c r="H464" s="459"/>
    </row>
    <row r="465" customFormat="false" ht="12.8" hidden="false" customHeight="false" outlineLevel="0" collapsed="false">
      <c r="C465" s="335"/>
      <c r="F465" s="743"/>
      <c r="G465" s="717"/>
      <c r="H465" s="459"/>
    </row>
    <row r="466" customFormat="false" ht="12.8" hidden="false" customHeight="false" outlineLevel="0" collapsed="false">
      <c r="C466" s="335"/>
      <c r="F466" s="743"/>
      <c r="G466" s="717"/>
      <c r="H466" s="459"/>
    </row>
    <row r="467" customFormat="false" ht="12.8" hidden="false" customHeight="false" outlineLevel="0" collapsed="false">
      <c r="C467" s="335"/>
      <c r="F467" s="731"/>
      <c r="G467" s="720"/>
      <c r="H467" s="459"/>
    </row>
    <row r="468" customFormat="false" ht="12.8" hidden="false" customHeight="false" outlineLevel="0" collapsed="false">
      <c r="C468" s="335"/>
      <c r="F468" s="728"/>
      <c r="G468" s="719"/>
      <c r="H468" s="459"/>
    </row>
    <row r="469" customFormat="false" ht="12.8" hidden="false" customHeight="false" outlineLevel="0" collapsed="false">
      <c r="C469" s="335"/>
      <c r="F469" s="728"/>
      <c r="G469" s="719"/>
      <c r="H469" s="459"/>
    </row>
    <row r="470" customFormat="false" ht="12.8" hidden="false" customHeight="false" outlineLevel="0" collapsed="false">
      <c r="C470" s="335"/>
      <c r="F470" s="743"/>
      <c r="G470" s="720"/>
      <c r="H470" s="459"/>
    </row>
    <row r="471" customFormat="false" ht="12.8" hidden="false" customHeight="false" outlineLevel="0" collapsed="false">
      <c r="C471" s="335"/>
      <c r="F471" s="730"/>
      <c r="G471" s="720"/>
      <c r="H471" s="459"/>
    </row>
    <row r="472" customFormat="false" ht="12.8" hidden="false" customHeight="false" outlineLevel="0" collapsed="false">
      <c r="C472" s="335"/>
    </row>
    <row r="473" customFormat="false" ht="12.8" hidden="false" customHeight="false" outlineLevel="0" collapsed="false">
      <c r="C473" s="335"/>
    </row>
    <row r="474" customFormat="false" ht="12.8" hidden="false" customHeight="false" outlineLevel="0" collapsed="false">
      <c r="C474" s="335"/>
      <c r="F474" s="631"/>
    </row>
    <row r="475" customFormat="false" ht="12.8" hidden="false" customHeight="false" outlineLevel="0" collapsed="false">
      <c r="C475" s="335"/>
    </row>
    <row r="476" customFormat="false" ht="12.8" hidden="false" customHeight="false" outlineLevel="0" collapsed="false">
      <c r="C476" s="335"/>
    </row>
    <row r="477" customFormat="false" ht="12.8" hidden="false" customHeight="false" outlineLevel="0" collapsed="false">
      <c r="C477" s="335"/>
      <c r="F477" s="631"/>
    </row>
    <row r="478" customFormat="false" ht="12.8" hidden="false" customHeight="false" outlineLevel="0" collapsed="false">
      <c r="C478" s="335"/>
    </row>
    <row r="479" s="331" customFormat="true" ht="12.8" hidden="false" customHeight="false" outlineLevel="0" collapsed="false">
      <c r="B479" s="655"/>
      <c r="C479" s="335"/>
      <c r="D479" s="307"/>
      <c r="F479" s="728"/>
      <c r="G479" s="719"/>
      <c r="H479" s="459"/>
      <c r="L479" s="692"/>
      <c r="M479" s="692"/>
      <c r="N479" s="0"/>
      <c r="O479" s="459"/>
      <c r="P479" s="0"/>
      <c r="Q479" s="482"/>
      <c r="R479" s="482"/>
      <c r="S479" s="666"/>
      <c r="T479" s="666"/>
      <c r="U479" s="666"/>
    </row>
    <row r="480" s="331" customFormat="true" ht="12.8" hidden="false" customHeight="false" outlineLevel="0" collapsed="false">
      <c r="B480" s="655"/>
      <c r="C480" s="335"/>
      <c r="D480" s="307"/>
      <c r="F480" s="743"/>
      <c r="G480" s="720"/>
      <c r="H480" s="459"/>
      <c r="L480" s="692"/>
      <c r="M480" s="692"/>
      <c r="N480" s="0"/>
      <c r="O480" s="459"/>
      <c r="P480" s="0"/>
      <c r="Q480" s="482"/>
      <c r="R480" s="482"/>
      <c r="S480" s="666"/>
      <c r="T480" s="666"/>
      <c r="U480" s="666"/>
    </row>
    <row r="481" s="331" customFormat="true" ht="12.8" hidden="false" customHeight="false" outlineLevel="0" collapsed="false">
      <c r="B481" s="655"/>
      <c r="C481" s="335"/>
      <c r="D481" s="307"/>
      <c r="F481" s="730"/>
      <c r="G481" s="720"/>
      <c r="H481" s="459"/>
      <c r="L481" s="692"/>
      <c r="M481" s="692"/>
      <c r="N481" s="0"/>
      <c r="O481" s="459"/>
      <c r="P481" s="0"/>
      <c r="Q481" s="482"/>
      <c r="R481" s="482"/>
      <c r="S481" s="666"/>
      <c r="T481" s="666"/>
      <c r="U481" s="666"/>
    </row>
    <row r="482" customFormat="false" ht="12.8" hidden="false" customHeight="false" outlineLevel="0" collapsed="false">
      <c r="C482" s="335"/>
    </row>
    <row r="483" customFormat="false" ht="12.8" hidden="false" customHeight="false" outlineLevel="0" collapsed="false">
      <c r="C483" s="335"/>
    </row>
    <row r="484" customFormat="false" ht="12.8" hidden="false" customHeight="false" outlineLevel="0" collapsed="false">
      <c r="C484" s="335"/>
    </row>
    <row r="485" customFormat="false" ht="12.8" hidden="false" customHeight="false" outlineLevel="0" collapsed="false">
      <c r="C485" s="335"/>
    </row>
    <row r="486" customFormat="false" ht="12.8" hidden="false" customHeight="false" outlineLevel="0" collapsed="false">
      <c r="C486" s="335"/>
    </row>
    <row r="487" customFormat="false" ht="12.8" hidden="false" customHeight="false" outlineLevel="0" collapsed="false">
      <c r="C487" s="335"/>
    </row>
    <row r="488" customFormat="false" ht="12.8" hidden="false" customHeight="false" outlineLevel="0" collapsed="false">
      <c r="C488" s="335"/>
    </row>
    <row r="489" customFormat="false" ht="12.8" hidden="false" customHeight="false" outlineLevel="0" collapsed="false">
      <c r="C489" s="335"/>
    </row>
    <row r="490" customFormat="false" ht="12.8" hidden="false" customHeight="false" outlineLevel="0" collapsed="false">
      <c r="C490" s="335"/>
    </row>
    <row r="491" customFormat="false" ht="12.8" hidden="false" customHeight="false" outlineLevel="0" collapsed="false">
      <c r="C491" s="335"/>
    </row>
    <row r="492" customFormat="false" ht="12.8" hidden="false" customHeight="false" outlineLevel="0" collapsed="false">
      <c r="C492" s="335"/>
    </row>
    <row r="493" customFormat="false" ht="12.8" hidden="false" customHeight="false" outlineLevel="0" collapsed="false">
      <c r="C493" s="335"/>
    </row>
    <row r="494" customFormat="false" ht="12.8" hidden="false" customHeight="false" outlineLevel="0" collapsed="false">
      <c r="C494" s="335"/>
    </row>
    <row r="495" customFormat="false" ht="12.8" hidden="false" customHeight="false" outlineLevel="0" collapsed="false">
      <c r="C495" s="335"/>
    </row>
    <row r="496" customFormat="false" ht="12.8" hidden="false" customHeight="false" outlineLevel="0" collapsed="false">
      <c r="C496" s="335"/>
    </row>
    <row r="497" customFormat="false" ht="12.8" hidden="false" customHeight="false" outlineLevel="0" collapsed="false">
      <c r="C497" s="335"/>
    </row>
    <row r="498" customFormat="false" ht="12.8" hidden="false" customHeight="false" outlineLevel="0" collapsed="false">
      <c r="C498" s="335"/>
    </row>
    <row r="499" customFormat="false" ht="12.8" hidden="false" customHeight="false" outlineLevel="0" collapsed="false">
      <c r="C499" s="335"/>
    </row>
    <row r="500" customFormat="false" ht="12.8" hidden="false" customHeight="false" outlineLevel="0" collapsed="false">
      <c r="C500" s="335"/>
    </row>
    <row r="501" customFormat="false" ht="12.8" hidden="false" customHeight="false" outlineLevel="0" collapsed="false">
      <c r="C501" s="335"/>
    </row>
    <row r="502" customFormat="false" ht="12.8" hidden="false" customHeight="false" outlineLevel="0" collapsed="false">
      <c r="C502" s="335"/>
    </row>
    <row r="503" customFormat="false" ht="12.8" hidden="false" customHeight="false" outlineLevel="0" collapsed="false">
      <c r="C503" s="335"/>
    </row>
    <row r="504" customFormat="false" ht="12.8" hidden="false" customHeight="false" outlineLevel="0" collapsed="false">
      <c r="C504" s="335"/>
    </row>
    <row r="505" customFormat="false" ht="12.8" hidden="false" customHeight="false" outlineLevel="0" collapsed="false">
      <c r="C505" s="335"/>
    </row>
    <row r="506" customFormat="false" ht="12.8" hidden="false" customHeight="false" outlineLevel="0" collapsed="false">
      <c r="C506" s="335"/>
    </row>
    <row r="507" customFormat="false" ht="12.8" hidden="false" customHeight="false" outlineLevel="0" collapsed="false">
      <c r="C507" s="335"/>
    </row>
    <row r="508" customFormat="false" ht="12.8" hidden="false" customHeight="false" outlineLevel="0" collapsed="false">
      <c r="C508" s="335"/>
    </row>
    <row r="509" customFormat="false" ht="12.8" hidden="false" customHeight="false" outlineLevel="0" collapsed="false">
      <c r="C509" s="335"/>
    </row>
    <row r="510" customFormat="false" ht="12.8" hidden="false" customHeight="false" outlineLevel="0" collapsed="false">
      <c r="C510" s="335"/>
    </row>
    <row r="511" customFormat="false" ht="12.8" hidden="false" customHeight="false" outlineLevel="0" collapsed="false">
      <c r="C511" s="335"/>
    </row>
    <row r="512" customFormat="false" ht="12.8" hidden="false" customHeight="false" outlineLevel="0" collapsed="false">
      <c r="C512" s="335"/>
    </row>
    <row r="513" customFormat="false" ht="12.8" hidden="false" customHeight="false" outlineLevel="0" collapsed="false">
      <c r="C513" s="335"/>
    </row>
    <row r="514" customFormat="false" ht="12.8" hidden="false" customHeight="false" outlineLevel="0" collapsed="false">
      <c r="C514" s="335"/>
    </row>
    <row r="515" customFormat="false" ht="12.8" hidden="false" customHeight="false" outlineLevel="0" collapsed="false">
      <c r="C515" s="335"/>
    </row>
    <row r="516" customFormat="false" ht="12.8" hidden="false" customHeight="false" outlineLevel="0" collapsed="false">
      <c r="C516" s="335"/>
    </row>
    <row r="517" customFormat="false" ht="12.8" hidden="false" customHeight="false" outlineLevel="0" collapsed="false">
      <c r="C517" s="335"/>
    </row>
    <row r="518" customFormat="false" ht="12.8" hidden="false" customHeight="false" outlineLevel="0" collapsed="false">
      <c r="C518" s="335"/>
    </row>
    <row r="519" customFormat="false" ht="12.8" hidden="false" customHeight="false" outlineLevel="0" collapsed="false">
      <c r="C519" s="335"/>
    </row>
    <row r="520" customFormat="false" ht="12.8" hidden="false" customHeight="false" outlineLevel="0" collapsed="false">
      <c r="C520" s="335"/>
    </row>
    <row r="521" customFormat="false" ht="12.8" hidden="false" customHeight="false" outlineLevel="0" collapsed="false">
      <c r="C521" s="335"/>
    </row>
    <row r="522" customFormat="false" ht="12.8" hidden="false" customHeight="false" outlineLevel="0" collapsed="false">
      <c r="C522" s="335"/>
    </row>
    <row r="523" customFormat="false" ht="12.8" hidden="false" customHeight="false" outlineLevel="0" collapsed="false">
      <c r="C523" s="335"/>
    </row>
    <row r="524" customFormat="false" ht="12.8" hidden="false" customHeight="false" outlineLevel="0" collapsed="false">
      <c r="C524" s="335"/>
    </row>
    <row r="525" customFormat="false" ht="12.8" hidden="false" customHeight="false" outlineLevel="0" collapsed="false">
      <c r="C525" s="335"/>
    </row>
    <row r="526" customFormat="false" ht="12.8" hidden="false" customHeight="false" outlineLevel="0" collapsed="false">
      <c r="C526" s="335"/>
    </row>
    <row r="527" customFormat="false" ht="12.8" hidden="false" customHeight="false" outlineLevel="0" collapsed="false">
      <c r="C527" s="335"/>
    </row>
    <row r="528" customFormat="false" ht="12.8" hidden="false" customHeight="false" outlineLevel="0" collapsed="false">
      <c r="C528" s="335"/>
    </row>
    <row r="529" customFormat="false" ht="12.8" hidden="false" customHeight="false" outlineLevel="0" collapsed="false">
      <c r="C529" s="335"/>
    </row>
    <row r="530" customFormat="false" ht="12.8" hidden="false" customHeight="false" outlineLevel="0" collapsed="false">
      <c r="C530" s="335"/>
    </row>
    <row r="531" customFormat="false" ht="12.8" hidden="false" customHeight="false" outlineLevel="0" collapsed="false">
      <c r="C531" s="335"/>
    </row>
    <row r="532" customFormat="false" ht="12.8" hidden="false" customHeight="false" outlineLevel="0" collapsed="false">
      <c r="C532" s="335"/>
    </row>
    <row r="533" customFormat="false" ht="12.8" hidden="false" customHeight="false" outlineLevel="0" collapsed="false">
      <c r="C533" s="335"/>
    </row>
    <row r="534" customFormat="false" ht="12.8" hidden="false" customHeight="false" outlineLevel="0" collapsed="false">
      <c r="C534" s="335"/>
    </row>
    <row r="535" customFormat="false" ht="12.8" hidden="false" customHeight="false" outlineLevel="0" collapsed="false">
      <c r="C535" s="335"/>
    </row>
    <row r="536" customFormat="false" ht="12.8" hidden="false" customHeight="false" outlineLevel="0" collapsed="false">
      <c r="C536" s="335"/>
    </row>
    <row r="537" customFormat="false" ht="12.8" hidden="false" customHeight="false" outlineLevel="0" collapsed="false">
      <c r="C537" s="335"/>
    </row>
    <row r="538" customFormat="false" ht="12.8" hidden="false" customHeight="false" outlineLevel="0" collapsed="false">
      <c r="C538" s="335"/>
    </row>
    <row r="539" customFormat="false" ht="12.8" hidden="false" customHeight="false" outlineLevel="0" collapsed="false">
      <c r="C539" s="335"/>
    </row>
    <row r="540" customFormat="false" ht="12.8" hidden="false" customHeight="false" outlineLevel="0" collapsed="false">
      <c r="C540" s="335"/>
    </row>
    <row r="541" customFormat="false" ht="12.8" hidden="false" customHeight="false" outlineLevel="0" collapsed="false">
      <c r="C541" s="335"/>
    </row>
    <row r="542" customFormat="false" ht="12.8" hidden="false" customHeight="false" outlineLevel="0" collapsed="false">
      <c r="C542" s="335"/>
    </row>
    <row r="543" customFormat="false" ht="12.8" hidden="false" customHeight="false" outlineLevel="0" collapsed="false">
      <c r="C543" s="335"/>
    </row>
    <row r="544" customFormat="false" ht="12.8" hidden="false" customHeight="false" outlineLevel="0" collapsed="false">
      <c r="C544" s="335"/>
    </row>
    <row r="545" customFormat="false" ht="12.8" hidden="false" customHeight="false" outlineLevel="0" collapsed="false">
      <c r="C545" s="335"/>
    </row>
    <row r="546" customFormat="false" ht="12.8" hidden="false" customHeight="false" outlineLevel="0" collapsed="false">
      <c r="C546" s="335"/>
    </row>
    <row r="547" customFormat="false" ht="12.8" hidden="false" customHeight="false" outlineLevel="0" collapsed="false">
      <c r="C547" s="335"/>
    </row>
    <row r="548" customFormat="false" ht="12.8" hidden="false" customHeight="false" outlineLevel="0" collapsed="false">
      <c r="C548" s="335"/>
    </row>
    <row r="549" customFormat="false" ht="12.8" hidden="false" customHeight="false" outlineLevel="0" collapsed="false">
      <c r="C549" s="335"/>
    </row>
    <row r="550" customFormat="false" ht="12.8" hidden="false" customHeight="false" outlineLevel="0" collapsed="false">
      <c r="C550" s="335"/>
    </row>
    <row r="551" customFormat="false" ht="12.8" hidden="false" customHeight="false" outlineLevel="0" collapsed="false">
      <c r="C551" s="335"/>
    </row>
    <row r="552" customFormat="false" ht="12.8" hidden="false" customHeight="false" outlineLevel="0" collapsed="false">
      <c r="C552" s="335"/>
    </row>
    <row r="553" customFormat="false" ht="12.8" hidden="false" customHeight="false" outlineLevel="0" collapsed="false">
      <c r="C553" s="335"/>
    </row>
    <row r="554" customFormat="false" ht="12.8" hidden="false" customHeight="false" outlineLevel="0" collapsed="false">
      <c r="C554" s="335"/>
    </row>
    <row r="555" customFormat="false" ht="12.8" hidden="false" customHeight="false" outlineLevel="0" collapsed="false">
      <c r="C555" s="335"/>
    </row>
    <row r="556" customFormat="false" ht="12.8" hidden="false" customHeight="false" outlineLevel="0" collapsed="false">
      <c r="C556" s="335"/>
    </row>
    <row r="557" customFormat="false" ht="12.8" hidden="false" customHeight="false" outlineLevel="0" collapsed="false">
      <c r="C557" s="335"/>
    </row>
    <row r="558" customFormat="false" ht="12.8" hidden="false" customHeight="false" outlineLevel="0" collapsed="false">
      <c r="C558" s="335"/>
    </row>
    <row r="559" customFormat="false" ht="12.8" hidden="false" customHeight="false" outlineLevel="0" collapsed="false">
      <c r="C559" s="335"/>
    </row>
    <row r="560" customFormat="false" ht="12.8" hidden="false" customHeight="false" outlineLevel="0" collapsed="false">
      <c r="C560" s="335"/>
    </row>
    <row r="561" customFormat="false" ht="12.8" hidden="false" customHeight="false" outlineLevel="0" collapsed="false">
      <c r="C561" s="335"/>
    </row>
    <row r="562" customFormat="false" ht="12.8" hidden="false" customHeight="false" outlineLevel="0" collapsed="false">
      <c r="C562" s="335"/>
    </row>
    <row r="563" customFormat="false" ht="12.8" hidden="false" customHeight="false" outlineLevel="0" collapsed="false">
      <c r="C563" s="335"/>
    </row>
    <row r="564" customFormat="false" ht="12.8" hidden="false" customHeight="false" outlineLevel="0" collapsed="false">
      <c r="C564" s="335"/>
    </row>
    <row r="565" customFormat="false" ht="12.8" hidden="false" customHeight="false" outlineLevel="0" collapsed="false">
      <c r="C565" s="335"/>
    </row>
    <row r="566" customFormat="false" ht="12.8" hidden="false" customHeight="false" outlineLevel="0" collapsed="false">
      <c r="C566" s="335"/>
    </row>
    <row r="567" customFormat="false" ht="12.8" hidden="false" customHeight="false" outlineLevel="0" collapsed="false">
      <c r="C567" s="335"/>
    </row>
    <row r="568" customFormat="false" ht="12.8" hidden="false" customHeight="false" outlineLevel="0" collapsed="false">
      <c r="C568" s="335"/>
    </row>
    <row r="569" customFormat="false" ht="12.8" hidden="false" customHeight="false" outlineLevel="0" collapsed="false">
      <c r="C569" s="335"/>
    </row>
    <row r="570" customFormat="false" ht="12.8" hidden="false" customHeight="false" outlineLevel="0" collapsed="false">
      <c r="C570" s="335"/>
    </row>
    <row r="571" customFormat="false" ht="12.8" hidden="false" customHeight="false" outlineLevel="0" collapsed="false">
      <c r="C571" s="335"/>
    </row>
    <row r="572" customFormat="false" ht="12.8" hidden="false" customHeight="false" outlineLevel="0" collapsed="false">
      <c r="C572" s="335"/>
    </row>
    <row r="573" customFormat="false" ht="12.8" hidden="false" customHeight="false" outlineLevel="0" collapsed="false">
      <c r="C573" s="335"/>
    </row>
    <row r="574" customFormat="false" ht="12.8" hidden="false" customHeight="false" outlineLevel="0" collapsed="false">
      <c r="C574" s="335"/>
    </row>
    <row r="575" customFormat="false" ht="12.8" hidden="false" customHeight="false" outlineLevel="0" collapsed="false">
      <c r="C575" s="335"/>
    </row>
    <row r="576" customFormat="false" ht="12.8" hidden="false" customHeight="false" outlineLevel="0" collapsed="false">
      <c r="C576" s="335"/>
    </row>
    <row r="577" customFormat="false" ht="12.8" hidden="false" customHeight="false" outlineLevel="0" collapsed="false">
      <c r="C577" s="335"/>
    </row>
    <row r="578" customFormat="false" ht="12.8" hidden="false" customHeight="false" outlineLevel="0" collapsed="false">
      <c r="C578" s="335"/>
    </row>
    <row r="579" customFormat="false" ht="12.8" hidden="false" customHeight="false" outlineLevel="0" collapsed="false">
      <c r="C579" s="335"/>
    </row>
    <row r="580" customFormat="false" ht="12.8" hidden="false" customHeight="false" outlineLevel="0" collapsed="false">
      <c r="C580" s="335"/>
    </row>
    <row r="581" customFormat="false" ht="12.8" hidden="false" customHeight="false" outlineLevel="0" collapsed="false">
      <c r="C581" s="335"/>
    </row>
    <row r="582" customFormat="false" ht="12.8" hidden="false" customHeight="false" outlineLevel="0" collapsed="false">
      <c r="C582" s="335"/>
    </row>
    <row r="583" customFormat="false" ht="12.8" hidden="false" customHeight="false" outlineLevel="0" collapsed="false">
      <c r="C583" s="335"/>
    </row>
    <row r="584" customFormat="false" ht="12.8" hidden="false" customHeight="false" outlineLevel="0" collapsed="false">
      <c r="C584" s="335"/>
    </row>
    <row r="585" customFormat="false" ht="12.8" hidden="false" customHeight="false" outlineLevel="0" collapsed="false">
      <c r="C585" s="335"/>
    </row>
    <row r="586" customFormat="false" ht="12.8" hidden="false" customHeight="false" outlineLevel="0" collapsed="false">
      <c r="C586" s="335"/>
    </row>
    <row r="587" customFormat="false" ht="12.8" hidden="false" customHeight="false" outlineLevel="0" collapsed="false">
      <c r="C587" s="335"/>
    </row>
    <row r="588" customFormat="false" ht="12.8" hidden="false" customHeight="false" outlineLevel="0" collapsed="false">
      <c r="C588" s="335"/>
    </row>
    <row r="589" customFormat="false" ht="12.8" hidden="false" customHeight="false" outlineLevel="0" collapsed="false">
      <c r="C589" s="335"/>
    </row>
    <row r="590" customFormat="false" ht="12.8" hidden="false" customHeight="false" outlineLevel="0" collapsed="false">
      <c r="C590" s="335"/>
    </row>
    <row r="591" customFormat="false" ht="12.8" hidden="false" customHeight="false" outlineLevel="0" collapsed="false">
      <c r="C591" s="335"/>
    </row>
    <row r="592" customFormat="false" ht="12.8" hidden="false" customHeight="false" outlineLevel="0" collapsed="false">
      <c r="C592" s="335"/>
    </row>
    <row r="593" customFormat="false" ht="12.8" hidden="false" customHeight="false" outlineLevel="0" collapsed="false">
      <c r="C593" s="335"/>
    </row>
    <row r="594" customFormat="false" ht="12.8" hidden="false" customHeight="false" outlineLevel="0" collapsed="false">
      <c r="C594" s="335"/>
    </row>
    <row r="595" customFormat="false" ht="12.8" hidden="false" customHeight="false" outlineLevel="0" collapsed="false">
      <c r="C595" s="335"/>
    </row>
    <row r="596" customFormat="false" ht="12.8" hidden="false" customHeight="false" outlineLevel="0" collapsed="false">
      <c r="C596" s="335"/>
    </row>
    <row r="597" customFormat="false" ht="12.8" hidden="false" customHeight="false" outlineLevel="0" collapsed="false">
      <c r="C597" s="335"/>
    </row>
    <row r="598" customFormat="false" ht="12.8" hidden="false" customHeight="false" outlineLevel="0" collapsed="false">
      <c r="C598" s="335"/>
    </row>
    <row r="599" customFormat="false" ht="12.8" hidden="false" customHeight="false" outlineLevel="0" collapsed="false">
      <c r="C599" s="335"/>
    </row>
    <row r="600" customFormat="false" ht="12.8" hidden="false" customHeight="false" outlineLevel="0" collapsed="false">
      <c r="C600" s="335"/>
    </row>
    <row r="601" customFormat="false" ht="12.8" hidden="false" customHeight="false" outlineLevel="0" collapsed="false">
      <c r="C601" s="335"/>
    </row>
    <row r="602" customFormat="false" ht="12.8" hidden="false" customHeight="false" outlineLevel="0" collapsed="false">
      <c r="C602" s="335"/>
    </row>
    <row r="603" customFormat="false" ht="12.8" hidden="false" customHeight="false" outlineLevel="0" collapsed="false">
      <c r="C603" s="335"/>
    </row>
    <row r="604" customFormat="false" ht="12.8" hidden="false" customHeight="false" outlineLevel="0" collapsed="false">
      <c r="C604" s="335"/>
    </row>
    <row r="605" customFormat="false" ht="12.8" hidden="false" customHeight="false" outlineLevel="0" collapsed="false">
      <c r="C605" s="335"/>
    </row>
    <row r="606" customFormat="false" ht="12.8" hidden="false" customHeight="false" outlineLevel="0" collapsed="false">
      <c r="C606" s="335"/>
    </row>
    <row r="607" customFormat="false" ht="12.8" hidden="false" customHeight="false" outlineLevel="0" collapsed="false">
      <c r="C607" s="335"/>
    </row>
    <row r="608" customFormat="false" ht="12.8" hidden="false" customHeight="false" outlineLevel="0" collapsed="false">
      <c r="C608" s="335"/>
    </row>
    <row r="609" customFormat="false" ht="12.8" hidden="false" customHeight="false" outlineLevel="0" collapsed="false">
      <c r="C609" s="335"/>
    </row>
    <row r="610" customFormat="false" ht="12.8" hidden="false" customHeight="false" outlineLevel="0" collapsed="false">
      <c r="C610" s="335"/>
    </row>
    <row r="611" customFormat="false" ht="12.8" hidden="false" customHeight="false" outlineLevel="0" collapsed="false">
      <c r="C611" s="335"/>
    </row>
    <row r="612" customFormat="false" ht="12.8" hidden="false" customHeight="false" outlineLevel="0" collapsed="false">
      <c r="C612" s="335"/>
    </row>
    <row r="613" customFormat="false" ht="12.8" hidden="false" customHeight="false" outlineLevel="0" collapsed="false">
      <c r="C613" s="335"/>
    </row>
    <row r="614" customFormat="false" ht="12.8" hidden="false" customHeight="false" outlineLevel="0" collapsed="false">
      <c r="C614" s="335"/>
    </row>
    <row r="615" customFormat="false" ht="12.8" hidden="false" customHeight="false" outlineLevel="0" collapsed="false">
      <c r="C615" s="335"/>
    </row>
    <row r="616" customFormat="false" ht="12.8" hidden="false" customHeight="false" outlineLevel="0" collapsed="false">
      <c r="C616" s="335"/>
    </row>
    <row r="617" customFormat="false" ht="12.8" hidden="false" customHeight="false" outlineLevel="0" collapsed="false">
      <c r="C617" s="335"/>
    </row>
    <row r="618" customFormat="false" ht="12.8" hidden="false" customHeight="false" outlineLevel="0" collapsed="false">
      <c r="C618" s="335"/>
    </row>
    <row r="619" customFormat="false" ht="12.8" hidden="false" customHeight="false" outlineLevel="0" collapsed="false">
      <c r="C619" s="335"/>
    </row>
    <row r="620" customFormat="false" ht="12.8" hidden="false" customHeight="false" outlineLevel="0" collapsed="false">
      <c r="C620" s="335"/>
    </row>
    <row r="621" customFormat="false" ht="12.8" hidden="false" customHeight="false" outlineLevel="0" collapsed="false">
      <c r="C621" s="335"/>
    </row>
    <row r="622" customFormat="false" ht="12.8" hidden="false" customHeight="false" outlineLevel="0" collapsed="false">
      <c r="C622" s="335"/>
    </row>
    <row r="623" customFormat="false" ht="12.8" hidden="false" customHeight="false" outlineLevel="0" collapsed="false">
      <c r="C623" s="335"/>
    </row>
    <row r="624" customFormat="false" ht="12.8" hidden="false" customHeight="false" outlineLevel="0" collapsed="false">
      <c r="C624" s="335"/>
    </row>
    <row r="625" customFormat="false" ht="12.8" hidden="false" customHeight="false" outlineLevel="0" collapsed="false">
      <c r="C625" s="335"/>
    </row>
    <row r="626" customFormat="false" ht="12.8" hidden="false" customHeight="false" outlineLevel="0" collapsed="false">
      <c r="C626" s="335"/>
    </row>
    <row r="627" customFormat="false" ht="12.8" hidden="false" customHeight="false" outlineLevel="0" collapsed="false">
      <c r="C627" s="335"/>
    </row>
    <row r="628" customFormat="false" ht="12.8" hidden="false" customHeight="false" outlineLevel="0" collapsed="false">
      <c r="C628" s="335"/>
    </row>
    <row r="629" customFormat="false" ht="12.8" hidden="false" customHeight="false" outlineLevel="0" collapsed="false">
      <c r="C629" s="335"/>
    </row>
    <row r="630" customFormat="false" ht="12.8" hidden="false" customHeight="false" outlineLevel="0" collapsed="false">
      <c r="C630" s="335"/>
    </row>
    <row r="631" customFormat="false" ht="12.8" hidden="false" customHeight="false" outlineLevel="0" collapsed="false">
      <c r="C631" s="335"/>
    </row>
    <row r="632" customFormat="false" ht="12.8" hidden="false" customHeight="false" outlineLevel="0" collapsed="false">
      <c r="C632" s="335"/>
    </row>
    <row r="633" customFormat="false" ht="12.8" hidden="false" customHeight="false" outlineLevel="0" collapsed="false">
      <c r="C633" s="335"/>
    </row>
    <row r="634" customFormat="false" ht="12.8" hidden="false" customHeight="false" outlineLevel="0" collapsed="false">
      <c r="C634" s="335"/>
    </row>
    <row r="635" customFormat="false" ht="12.8" hidden="false" customHeight="false" outlineLevel="0" collapsed="false">
      <c r="C635" s="335"/>
    </row>
    <row r="636" customFormat="false" ht="12.8" hidden="false" customHeight="false" outlineLevel="0" collapsed="false">
      <c r="C636" s="335"/>
    </row>
    <row r="637" customFormat="false" ht="12.8" hidden="false" customHeight="false" outlineLevel="0" collapsed="false">
      <c r="C637" s="335"/>
    </row>
    <row r="638" customFormat="false" ht="12.8" hidden="false" customHeight="false" outlineLevel="0" collapsed="false">
      <c r="C638" s="335"/>
    </row>
    <row r="639" customFormat="false" ht="12.8" hidden="false" customHeight="false" outlineLevel="0" collapsed="false">
      <c r="C639" s="335"/>
    </row>
    <row r="640" customFormat="false" ht="12.8" hidden="false" customHeight="false" outlineLevel="0" collapsed="false">
      <c r="C640" s="335"/>
    </row>
    <row r="641" customFormat="false" ht="12.8" hidden="false" customHeight="false" outlineLevel="0" collapsed="false">
      <c r="C641" s="335"/>
    </row>
    <row r="642" customFormat="false" ht="12.8" hidden="false" customHeight="false" outlineLevel="0" collapsed="false">
      <c r="C642" s="335"/>
    </row>
    <row r="643" customFormat="false" ht="12.8" hidden="false" customHeight="false" outlineLevel="0" collapsed="false">
      <c r="C643" s="335"/>
    </row>
    <row r="644" customFormat="false" ht="12.8" hidden="false" customHeight="false" outlineLevel="0" collapsed="false">
      <c r="C644" s="335"/>
    </row>
    <row r="645" customFormat="false" ht="12.8" hidden="false" customHeight="false" outlineLevel="0" collapsed="false">
      <c r="C645" s="335"/>
    </row>
    <row r="646" customFormat="false" ht="12.8" hidden="false" customHeight="false" outlineLevel="0" collapsed="false">
      <c r="C646" s="335"/>
    </row>
    <row r="647" customFormat="false" ht="12.8" hidden="false" customHeight="false" outlineLevel="0" collapsed="false">
      <c r="C647" s="335"/>
    </row>
    <row r="648" customFormat="false" ht="12.8" hidden="false" customHeight="false" outlineLevel="0" collapsed="false">
      <c r="C648" s="335"/>
    </row>
    <row r="649" customFormat="false" ht="12.8" hidden="false" customHeight="false" outlineLevel="0" collapsed="false">
      <c r="C649" s="335"/>
    </row>
    <row r="650" customFormat="false" ht="12.8" hidden="false" customHeight="false" outlineLevel="0" collapsed="false">
      <c r="C650" s="335"/>
    </row>
    <row r="651" customFormat="false" ht="12.8" hidden="false" customHeight="false" outlineLevel="0" collapsed="false">
      <c r="C651" s="335"/>
    </row>
    <row r="652" customFormat="false" ht="12.8" hidden="false" customHeight="false" outlineLevel="0" collapsed="false">
      <c r="C652" s="335"/>
    </row>
    <row r="653" customFormat="false" ht="12.8" hidden="false" customHeight="false" outlineLevel="0" collapsed="false">
      <c r="C653" s="335"/>
    </row>
    <row r="654" customFormat="false" ht="12.8" hidden="false" customHeight="false" outlineLevel="0" collapsed="false">
      <c r="C654" s="335"/>
    </row>
    <row r="655" customFormat="false" ht="12.8" hidden="false" customHeight="false" outlineLevel="0" collapsed="false">
      <c r="C655" s="335"/>
    </row>
    <row r="656" customFormat="false" ht="12.8" hidden="false" customHeight="false" outlineLevel="0" collapsed="false">
      <c r="C656" s="335"/>
    </row>
    <row r="657" customFormat="false" ht="12.8" hidden="false" customHeight="false" outlineLevel="0" collapsed="false">
      <c r="C657" s="335"/>
    </row>
    <row r="658" customFormat="false" ht="12.8" hidden="false" customHeight="false" outlineLevel="0" collapsed="false">
      <c r="C658" s="335"/>
    </row>
    <row r="659" customFormat="false" ht="12.8" hidden="false" customHeight="false" outlineLevel="0" collapsed="false">
      <c r="C659" s="335"/>
    </row>
    <row r="660" customFormat="false" ht="12.8" hidden="false" customHeight="false" outlineLevel="0" collapsed="false">
      <c r="C660" s="335"/>
    </row>
    <row r="661" customFormat="false" ht="12.8" hidden="false" customHeight="false" outlineLevel="0" collapsed="false">
      <c r="C661" s="335"/>
    </row>
    <row r="662" customFormat="false" ht="12.8" hidden="false" customHeight="false" outlineLevel="0" collapsed="false">
      <c r="C662" s="335"/>
    </row>
    <row r="663" customFormat="false" ht="12.8" hidden="false" customHeight="false" outlineLevel="0" collapsed="false">
      <c r="C663" s="335"/>
    </row>
    <row r="664" customFormat="false" ht="12.8" hidden="false" customHeight="false" outlineLevel="0" collapsed="false">
      <c r="C664" s="335"/>
    </row>
    <row r="665" customFormat="false" ht="12.8" hidden="false" customHeight="false" outlineLevel="0" collapsed="false">
      <c r="C665" s="335"/>
    </row>
    <row r="666" customFormat="false" ht="12.8" hidden="false" customHeight="false" outlineLevel="0" collapsed="false">
      <c r="C666" s="335"/>
    </row>
    <row r="667" customFormat="false" ht="12.8" hidden="false" customHeight="false" outlineLevel="0" collapsed="false">
      <c r="C667" s="335"/>
    </row>
    <row r="668" customFormat="false" ht="12.8" hidden="false" customHeight="false" outlineLevel="0" collapsed="false">
      <c r="C668" s="335"/>
    </row>
    <row r="669" customFormat="false" ht="12.8" hidden="false" customHeight="false" outlineLevel="0" collapsed="false">
      <c r="C669" s="335"/>
    </row>
    <row r="670" customFormat="false" ht="12.8" hidden="false" customHeight="false" outlineLevel="0" collapsed="false">
      <c r="C670" s="335"/>
    </row>
    <row r="671" customFormat="false" ht="12.8" hidden="false" customHeight="false" outlineLevel="0" collapsed="false">
      <c r="C671" s="335"/>
    </row>
    <row r="672" customFormat="false" ht="12.8" hidden="false" customHeight="false" outlineLevel="0" collapsed="false">
      <c r="C672" s="335"/>
    </row>
    <row r="673" customFormat="false" ht="12.8" hidden="false" customHeight="false" outlineLevel="0" collapsed="false">
      <c r="C673" s="335"/>
    </row>
    <row r="674" customFormat="false" ht="12.8" hidden="false" customHeight="false" outlineLevel="0" collapsed="false">
      <c r="C674" s="335"/>
    </row>
    <row r="675" customFormat="false" ht="12.8" hidden="false" customHeight="false" outlineLevel="0" collapsed="false">
      <c r="C675" s="335"/>
    </row>
    <row r="676" customFormat="false" ht="12.8" hidden="false" customHeight="false" outlineLevel="0" collapsed="false">
      <c r="C676" s="335"/>
    </row>
    <row r="677" customFormat="false" ht="12.8" hidden="false" customHeight="false" outlineLevel="0" collapsed="false">
      <c r="C677" s="335"/>
    </row>
    <row r="678" customFormat="false" ht="12.8" hidden="false" customHeight="false" outlineLevel="0" collapsed="false">
      <c r="C678" s="335"/>
    </row>
    <row r="679" customFormat="false" ht="12.8" hidden="false" customHeight="false" outlineLevel="0" collapsed="false">
      <c r="C679" s="335"/>
    </row>
    <row r="680" customFormat="false" ht="12.8" hidden="false" customHeight="false" outlineLevel="0" collapsed="false">
      <c r="C680" s="335"/>
    </row>
    <row r="681" customFormat="false" ht="12.8" hidden="false" customHeight="false" outlineLevel="0" collapsed="false">
      <c r="C681" s="335"/>
    </row>
    <row r="682" customFormat="false" ht="12.8" hidden="false" customHeight="false" outlineLevel="0" collapsed="false">
      <c r="C682" s="335"/>
    </row>
    <row r="683" customFormat="false" ht="12.8" hidden="false" customHeight="false" outlineLevel="0" collapsed="false">
      <c r="C683" s="335"/>
    </row>
    <row r="684" customFormat="false" ht="12.8" hidden="false" customHeight="false" outlineLevel="0" collapsed="false">
      <c r="C684" s="335"/>
    </row>
    <row r="685" customFormat="false" ht="12.8" hidden="false" customHeight="false" outlineLevel="0" collapsed="false">
      <c r="C685" s="335"/>
    </row>
    <row r="686" customFormat="false" ht="12.8" hidden="false" customHeight="false" outlineLevel="0" collapsed="false">
      <c r="C686" s="335"/>
    </row>
    <row r="687" customFormat="false" ht="12.8" hidden="false" customHeight="false" outlineLevel="0" collapsed="false">
      <c r="C687" s="335"/>
    </row>
    <row r="688" customFormat="false" ht="12.8" hidden="false" customHeight="false" outlineLevel="0" collapsed="false">
      <c r="C688" s="335"/>
    </row>
    <row r="689" customFormat="false" ht="12.8" hidden="false" customHeight="false" outlineLevel="0" collapsed="false">
      <c r="C689" s="335"/>
    </row>
    <row r="690" customFormat="false" ht="12.8" hidden="false" customHeight="false" outlineLevel="0" collapsed="false">
      <c r="C690" s="335"/>
    </row>
    <row r="691" customFormat="false" ht="12.8" hidden="false" customHeight="false" outlineLevel="0" collapsed="false">
      <c r="C691" s="335"/>
    </row>
    <row r="692" customFormat="false" ht="12.8" hidden="false" customHeight="false" outlineLevel="0" collapsed="false">
      <c r="C692" s="335"/>
    </row>
    <row r="693" customFormat="false" ht="12.8" hidden="false" customHeight="false" outlineLevel="0" collapsed="false">
      <c r="C693" s="335"/>
    </row>
    <row r="694" customFormat="false" ht="12.8" hidden="false" customHeight="false" outlineLevel="0" collapsed="false">
      <c r="C694" s="335"/>
    </row>
    <row r="695" customFormat="false" ht="12.8" hidden="false" customHeight="false" outlineLevel="0" collapsed="false">
      <c r="C695" s="335"/>
    </row>
    <row r="696" customFormat="false" ht="12.8" hidden="false" customHeight="false" outlineLevel="0" collapsed="false">
      <c r="C696" s="335"/>
    </row>
    <row r="697" customFormat="false" ht="12.8" hidden="false" customHeight="false" outlineLevel="0" collapsed="false">
      <c r="C697" s="335"/>
    </row>
    <row r="698" customFormat="false" ht="12.8" hidden="false" customHeight="false" outlineLevel="0" collapsed="false">
      <c r="C698" s="335"/>
    </row>
    <row r="699" customFormat="false" ht="12.8" hidden="false" customHeight="false" outlineLevel="0" collapsed="false">
      <c r="C699" s="335"/>
    </row>
    <row r="700" customFormat="false" ht="12.8" hidden="false" customHeight="false" outlineLevel="0" collapsed="false">
      <c r="C700" s="335"/>
    </row>
    <row r="701" customFormat="false" ht="12.8" hidden="false" customHeight="false" outlineLevel="0" collapsed="false">
      <c r="C701" s="335"/>
    </row>
    <row r="702" customFormat="false" ht="12.8" hidden="false" customHeight="false" outlineLevel="0" collapsed="false">
      <c r="C702" s="335"/>
    </row>
    <row r="703" customFormat="false" ht="12.8" hidden="false" customHeight="false" outlineLevel="0" collapsed="false">
      <c r="C703" s="335"/>
    </row>
    <row r="704" customFormat="false" ht="12.8" hidden="false" customHeight="false" outlineLevel="0" collapsed="false">
      <c r="C704" s="335"/>
    </row>
    <row r="705" customFormat="false" ht="12.8" hidden="false" customHeight="false" outlineLevel="0" collapsed="false">
      <c r="C705" s="335"/>
    </row>
    <row r="706" customFormat="false" ht="12.8" hidden="false" customHeight="false" outlineLevel="0" collapsed="false">
      <c r="C706" s="335"/>
    </row>
    <row r="707" customFormat="false" ht="12.8" hidden="false" customHeight="false" outlineLevel="0" collapsed="false">
      <c r="C707" s="335"/>
    </row>
    <row r="708" customFormat="false" ht="12.8" hidden="false" customHeight="false" outlineLevel="0" collapsed="false">
      <c r="C708" s="335"/>
    </row>
    <row r="709" customFormat="false" ht="12.8" hidden="false" customHeight="false" outlineLevel="0" collapsed="false">
      <c r="C709" s="335"/>
    </row>
    <row r="710" customFormat="false" ht="12.8" hidden="false" customHeight="false" outlineLevel="0" collapsed="false">
      <c r="C710" s="335"/>
    </row>
    <row r="711" customFormat="false" ht="12.8" hidden="false" customHeight="false" outlineLevel="0" collapsed="false">
      <c r="C711" s="335"/>
    </row>
    <row r="712" customFormat="false" ht="12.8" hidden="false" customHeight="false" outlineLevel="0" collapsed="false">
      <c r="C712" s="335"/>
    </row>
    <row r="713" customFormat="false" ht="12.8" hidden="false" customHeight="false" outlineLevel="0" collapsed="false">
      <c r="C713" s="335"/>
    </row>
    <row r="714" customFormat="false" ht="12.8" hidden="false" customHeight="false" outlineLevel="0" collapsed="false">
      <c r="C714" s="335"/>
    </row>
    <row r="715" customFormat="false" ht="12.8" hidden="false" customHeight="false" outlineLevel="0" collapsed="false">
      <c r="C715" s="335"/>
    </row>
    <row r="716" customFormat="false" ht="12.8" hidden="false" customHeight="false" outlineLevel="0" collapsed="false">
      <c r="C716" s="335"/>
    </row>
    <row r="717" customFormat="false" ht="12.8" hidden="false" customHeight="false" outlineLevel="0" collapsed="false">
      <c r="C717" s="335"/>
    </row>
    <row r="718" customFormat="false" ht="12.8" hidden="false" customHeight="false" outlineLevel="0" collapsed="false">
      <c r="C718" s="335"/>
    </row>
    <row r="719" customFormat="false" ht="12.8" hidden="false" customHeight="false" outlineLevel="0" collapsed="false">
      <c r="C719" s="335"/>
    </row>
    <row r="720" customFormat="false" ht="12.8" hidden="false" customHeight="false" outlineLevel="0" collapsed="false">
      <c r="C720" s="335"/>
    </row>
    <row r="721" customFormat="false" ht="12.8" hidden="false" customHeight="false" outlineLevel="0" collapsed="false">
      <c r="C721" s="335"/>
    </row>
    <row r="722" customFormat="false" ht="12.8" hidden="false" customHeight="false" outlineLevel="0" collapsed="false">
      <c r="C722" s="335"/>
    </row>
    <row r="723" customFormat="false" ht="12.8" hidden="false" customHeight="false" outlineLevel="0" collapsed="false">
      <c r="C723" s="335"/>
    </row>
    <row r="724" customFormat="false" ht="12.8" hidden="false" customHeight="false" outlineLevel="0" collapsed="false">
      <c r="C724" s="335"/>
    </row>
    <row r="725" customFormat="false" ht="12.8" hidden="false" customHeight="false" outlineLevel="0" collapsed="false">
      <c r="C725" s="335"/>
    </row>
    <row r="726" customFormat="false" ht="12.8" hidden="false" customHeight="false" outlineLevel="0" collapsed="false">
      <c r="C726" s="335"/>
    </row>
    <row r="727" customFormat="false" ht="12.8" hidden="false" customHeight="false" outlineLevel="0" collapsed="false">
      <c r="C727" s="335"/>
    </row>
    <row r="728" customFormat="false" ht="12.8" hidden="false" customHeight="false" outlineLevel="0" collapsed="false">
      <c r="C728" s="335"/>
    </row>
    <row r="729" customFormat="false" ht="12.8" hidden="false" customHeight="false" outlineLevel="0" collapsed="false">
      <c r="C729" s="335"/>
    </row>
    <row r="730" customFormat="false" ht="12.8" hidden="false" customHeight="false" outlineLevel="0" collapsed="false">
      <c r="C730" s="335"/>
    </row>
    <row r="731" customFormat="false" ht="12.8" hidden="false" customHeight="false" outlineLevel="0" collapsed="false">
      <c r="C731" s="335"/>
    </row>
    <row r="732" customFormat="false" ht="12.8" hidden="false" customHeight="false" outlineLevel="0" collapsed="false">
      <c r="C732" s="335"/>
    </row>
    <row r="733" customFormat="false" ht="12.8" hidden="false" customHeight="false" outlineLevel="0" collapsed="false">
      <c r="C733" s="335"/>
    </row>
    <row r="734" customFormat="false" ht="12.8" hidden="false" customHeight="false" outlineLevel="0" collapsed="false">
      <c r="C734" s="335"/>
    </row>
    <row r="735" customFormat="false" ht="12.8" hidden="false" customHeight="false" outlineLevel="0" collapsed="false">
      <c r="C735" s="335"/>
    </row>
    <row r="736" customFormat="false" ht="12.8" hidden="false" customHeight="false" outlineLevel="0" collapsed="false">
      <c r="C736" s="335"/>
    </row>
    <row r="737" customFormat="false" ht="12.8" hidden="false" customHeight="false" outlineLevel="0" collapsed="false">
      <c r="C737" s="335"/>
    </row>
    <row r="738" customFormat="false" ht="12.8" hidden="false" customHeight="false" outlineLevel="0" collapsed="false">
      <c r="C738" s="335"/>
    </row>
    <row r="739" customFormat="false" ht="12.8" hidden="false" customHeight="false" outlineLevel="0" collapsed="false">
      <c r="C739" s="335"/>
    </row>
    <row r="740" customFormat="false" ht="12.8" hidden="false" customHeight="false" outlineLevel="0" collapsed="false">
      <c r="C740" s="335"/>
    </row>
    <row r="741" customFormat="false" ht="12.8" hidden="false" customHeight="false" outlineLevel="0" collapsed="false">
      <c r="C741" s="335"/>
    </row>
    <row r="742" customFormat="false" ht="12.8" hidden="false" customHeight="false" outlineLevel="0" collapsed="false">
      <c r="C742" s="335"/>
    </row>
    <row r="743" customFormat="false" ht="12.8" hidden="false" customHeight="false" outlineLevel="0" collapsed="false">
      <c r="C743" s="335"/>
    </row>
    <row r="744" customFormat="false" ht="12.8" hidden="false" customHeight="false" outlineLevel="0" collapsed="false">
      <c r="C744" s="335"/>
    </row>
    <row r="745" customFormat="false" ht="12.8" hidden="false" customHeight="false" outlineLevel="0" collapsed="false">
      <c r="C745" s="335"/>
    </row>
    <row r="746" customFormat="false" ht="12.8" hidden="false" customHeight="false" outlineLevel="0" collapsed="false">
      <c r="C746" s="335"/>
    </row>
    <row r="747" customFormat="false" ht="12.8" hidden="false" customHeight="false" outlineLevel="0" collapsed="false">
      <c r="C747" s="335"/>
    </row>
    <row r="748" customFormat="false" ht="12.8" hidden="false" customHeight="false" outlineLevel="0" collapsed="false">
      <c r="C748" s="335"/>
    </row>
    <row r="749" customFormat="false" ht="12.8" hidden="false" customHeight="false" outlineLevel="0" collapsed="false">
      <c r="C749" s="335"/>
    </row>
    <row r="750" customFormat="false" ht="12.8" hidden="false" customHeight="false" outlineLevel="0" collapsed="false">
      <c r="C750" s="335"/>
    </row>
    <row r="751" customFormat="false" ht="12.8" hidden="false" customHeight="false" outlineLevel="0" collapsed="false">
      <c r="C751" s="335"/>
    </row>
    <row r="752" customFormat="false" ht="12.8" hidden="false" customHeight="false" outlineLevel="0" collapsed="false">
      <c r="C752" s="335"/>
    </row>
    <row r="753" customFormat="false" ht="12.8" hidden="false" customHeight="false" outlineLevel="0" collapsed="false">
      <c r="C753" s="335"/>
    </row>
    <row r="754" customFormat="false" ht="12.8" hidden="false" customHeight="false" outlineLevel="0" collapsed="false">
      <c r="C754" s="335"/>
    </row>
    <row r="755" customFormat="false" ht="12.8" hidden="false" customHeight="false" outlineLevel="0" collapsed="false">
      <c r="C755" s="335"/>
    </row>
    <row r="756" customFormat="false" ht="12.8" hidden="false" customHeight="false" outlineLevel="0" collapsed="false">
      <c r="C756" s="335"/>
    </row>
    <row r="757" customFormat="false" ht="12.8" hidden="false" customHeight="false" outlineLevel="0" collapsed="false">
      <c r="C757" s="335"/>
    </row>
    <row r="758" customFormat="false" ht="12.8" hidden="false" customHeight="false" outlineLevel="0" collapsed="false">
      <c r="C758" s="335"/>
    </row>
    <row r="759" customFormat="false" ht="12.8" hidden="false" customHeight="false" outlineLevel="0" collapsed="false">
      <c r="C759" s="335"/>
    </row>
    <row r="760" customFormat="false" ht="12.8" hidden="false" customHeight="false" outlineLevel="0" collapsed="false">
      <c r="C760" s="335"/>
    </row>
    <row r="761" customFormat="false" ht="12.8" hidden="false" customHeight="false" outlineLevel="0" collapsed="false">
      <c r="C761" s="335"/>
    </row>
    <row r="762" customFormat="false" ht="12.8" hidden="false" customHeight="false" outlineLevel="0" collapsed="false">
      <c r="C762" s="335"/>
    </row>
    <row r="763" customFormat="false" ht="12.8" hidden="false" customHeight="false" outlineLevel="0" collapsed="false">
      <c r="C763" s="335"/>
    </row>
    <row r="764" customFormat="false" ht="12.8" hidden="false" customHeight="false" outlineLevel="0" collapsed="false">
      <c r="C764" s="335"/>
    </row>
    <row r="765" customFormat="false" ht="12.8" hidden="false" customHeight="false" outlineLevel="0" collapsed="false">
      <c r="C765" s="335"/>
    </row>
    <row r="766" customFormat="false" ht="12.8" hidden="false" customHeight="false" outlineLevel="0" collapsed="false">
      <c r="C766" s="335"/>
    </row>
    <row r="767" customFormat="false" ht="12.8" hidden="false" customHeight="false" outlineLevel="0" collapsed="false">
      <c r="C767" s="335"/>
    </row>
    <row r="768" customFormat="false" ht="12.8" hidden="false" customHeight="false" outlineLevel="0" collapsed="false">
      <c r="C768" s="335"/>
    </row>
    <row r="769" customFormat="false" ht="12.8" hidden="false" customHeight="false" outlineLevel="0" collapsed="false">
      <c r="C769" s="335"/>
    </row>
    <row r="770" customFormat="false" ht="12.8" hidden="false" customHeight="false" outlineLevel="0" collapsed="false">
      <c r="C770" s="335"/>
    </row>
    <row r="771" customFormat="false" ht="12.8" hidden="false" customHeight="false" outlineLevel="0" collapsed="false">
      <c r="C771" s="335"/>
    </row>
    <row r="772" customFormat="false" ht="12.8" hidden="false" customHeight="false" outlineLevel="0" collapsed="false">
      <c r="C772" s="335"/>
    </row>
    <row r="773" customFormat="false" ht="12.8" hidden="false" customHeight="false" outlineLevel="0" collapsed="false">
      <c r="C773" s="335"/>
    </row>
    <row r="774" customFormat="false" ht="12.8" hidden="false" customHeight="false" outlineLevel="0" collapsed="false">
      <c r="C774" s="335"/>
    </row>
    <row r="775" customFormat="false" ht="12.8" hidden="false" customHeight="false" outlineLevel="0" collapsed="false">
      <c r="C775" s="335"/>
    </row>
    <row r="776" customFormat="false" ht="12.8" hidden="false" customHeight="false" outlineLevel="0" collapsed="false">
      <c r="C776" s="335"/>
    </row>
    <row r="777" customFormat="false" ht="12.8" hidden="false" customHeight="false" outlineLevel="0" collapsed="false">
      <c r="C777" s="335"/>
    </row>
    <row r="778" customFormat="false" ht="12.8" hidden="false" customHeight="false" outlineLevel="0" collapsed="false">
      <c r="C778" s="335"/>
    </row>
    <row r="779" customFormat="false" ht="12.8" hidden="false" customHeight="false" outlineLevel="0" collapsed="false">
      <c r="C779" s="335"/>
    </row>
    <row r="780" customFormat="false" ht="12.8" hidden="false" customHeight="false" outlineLevel="0" collapsed="false">
      <c r="C780" s="335"/>
    </row>
    <row r="781" customFormat="false" ht="12.8" hidden="false" customHeight="false" outlineLevel="0" collapsed="false">
      <c r="C781" s="335"/>
    </row>
    <row r="782" customFormat="false" ht="12.8" hidden="false" customHeight="false" outlineLevel="0" collapsed="false">
      <c r="C782" s="335"/>
    </row>
    <row r="783" customFormat="false" ht="12.8" hidden="false" customHeight="false" outlineLevel="0" collapsed="false">
      <c r="C783" s="335"/>
    </row>
    <row r="784" customFormat="false" ht="12.8" hidden="false" customHeight="false" outlineLevel="0" collapsed="false">
      <c r="C784" s="335"/>
    </row>
    <row r="785" customFormat="false" ht="12.8" hidden="false" customHeight="false" outlineLevel="0" collapsed="false">
      <c r="C785" s="335"/>
    </row>
    <row r="786" customFormat="false" ht="12.8" hidden="false" customHeight="false" outlineLevel="0" collapsed="false">
      <c r="C786" s="335"/>
    </row>
    <row r="787" customFormat="false" ht="12.8" hidden="false" customHeight="false" outlineLevel="0" collapsed="false">
      <c r="C787" s="335"/>
    </row>
    <row r="788" customFormat="false" ht="12.8" hidden="false" customHeight="false" outlineLevel="0" collapsed="false">
      <c r="C788" s="335"/>
    </row>
    <row r="789" customFormat="false" ht="12.8" hidden="false" customHeight="false" outlineLevel="0" collapsed="false">
      <c r="C789" s="335"/>
    </row>
    <row r="790" customFormat="false" ht="12.8" hidden="false" customHeight="false" outlineLevel="0" collapsed="false">
      <c r="C790" s="335"/>
    </row>
    <row r="791" customFormat="false" ht="12.8" hidden="false" customHeight="false" outlineLevel="0" collapsed="false">
      <c r="C791" s="335"/>
    </row>
    <row r="792" customFormat="false" ht="12.8" hidden="false" customHeight="false" outlineLevel="0" collapsed="false">
      <c r="C792" s="335"/>
    </row>
    <row r="793" customFormat="false" ht="12.8" hidden="false" customHeight="false" outlineLevel="0" collapsed="false">
      <c r="C793" s="335"/>
    </row>
    <row r="794" customFormat="false" ht="12.8" hidden="false" customHeight="false" outlineLevel="0" collapsed="false">
      <c r="C794" s="335"/>
    </row>
    <row r="795" customFormat="false" ht="12.8" hidden="false" customHeight="false" outlineLevel="0" collapsed="false">
      <c r="C795" s="335"/>
    </row>
    <row r="796" customFormat="false" ht="12.8" hidden="false" customHeight="false" outlineLevel="0" collapsed="false">
      <c r="C796" s="335"/>
    </row>
    <row r="797" customFormat="false" ht="12.8" hidden="false" customHeight="false" outlineLevel="0" collapsed="false">
      <c r="C797" s="335"/>
    </row>
    <row r="798" customFormat="false" ht="12.8" hidden="false" customHeight="false" outlineLevel="0" collapsed="false">
      <c r="C798" s="335"/>
    </row>
    <row r="799" customFormat="false" ht="12.8" hidden="false" customHeight="false" outlineLevel="0" collapsed="false">
      <c r="C799" s="335"/>
    </row>
    <row r="800" customFormat="false" ht="12.8" hidden="false" customHeight="false" outlineLevel="0" collapsed="false">
      <c r="C800" s="335"/>
    </row>
    <row r="801" customFormat="false" ht="12.8" hidden="false" customHeight="false" outlineLevel="0" collapsed="false">
      <c r="C801" s="335"/>
    </row>
    <row r="802" customFormat="false" ht="12.8" hidden="false" customHeight="false" outlineLevel="0" collapsed="false">
      <c r="C802" s="335"/>
    </row>
    <row r="803" customFormat="false" ht="12.8" hidden="false" customHeight="false" outlineLevel="0" collapsed="false">
      <c r="C803" s="335"/>
    </row>
    <row r="804" customFormat="false" ht="12.8" hidden="false" customHeight="false" outlineLevel="0" collapsed="false">
      <c r="C804" s="335"/>
    </row>
    <row r="805" customFormat="false" ht="12.8" hidden="false" customHeight="false" outlineLevel="0" collapsed="false">
      <c r="C805" s="335"/>
    </row>
    <row r="806" customFormat="false" ht="12.8" hidden="false" customHeight="false" outlineLevel="0" collapsed="false">
      <c r="C806" s="335"/>
    </row>
    <row r="807" customFormat="false" ht="12.8" hidden="false" customHeight="false" outlineLevel="0" collapsed="false">
      <c r="C807" s="335"/>
    </row>
    <row r="808" customFormat="false" ht="12.8" hidden="false" customHeight="false" outlineLevel="0" collapsed="false">
      <c r="C808" s="335"/>
    </row>
    <row r="809" customFormat="false" ht="12.8" hidden="false" customHeight="false" outlineLevel="0" collapsed="false">
      <c r="C809" s="335"/>
    </row>
    <row r="810" customFormat="false" ht="12.8" hidden="false" customHeight="false" outlineLevel="0" collapsed="false">
      <c r="C810" s="335"/>
    </row>
    <row r="811" customFormat="false" ht="12.8" hidden="false" customHeight="false" outlineLevel="0" collapsed="false">
      <c r="C811" s="335"/>
    </row>
    <row r="812" customFormat="false" ht="12.8" hidden="false" customHeight="false" outlineLevel="0" collapsed="false">
      <c r="C812" s="335"/>
    </row>
    <row r="813" customFormat="false" ht="12.8" hidden="false" customHeight="false" outlineLevel="0" collapsed="false">
      <c r="C813" s="335"/>
    </row>
    <row r="814" customFormat="false" ht="12.8" hidden="false" customHeight="false" outlineLevel="0" collapsed="false">
      <c r="C814" s="335"/>
    </row>
    <row r="815" customFormat="false" ht="12.8" hidden="false" customHeight="false" outlineLevel="0" collapsed="false">
      <c r="C815" s="335"/>
    </row>
    <row r="816" customFormat="false" ht="12.8" hidden="false" customHeight="false" outlineLevel="0" collapsed="false">
      <c r="C816" s="335"/>
    </row>
    <row r="817" customFormat="false" ht="12.8" hidden="false" customHeight="false" outlineLevel="0" collapsed="false">
      <c r="C817" s="335"/>
    </row>
    <row r="818" customFormat="false" ht="12.8" hidden="false" customHeight="false" outlineLevel="0" collapsed="false">
      <c r="C818" s="335"/>
    </row>
    <row r="819" customFormat="false" ht="12.8" hidden="false" customHeight="false" outlineLevel="0" collapsed="false">
      <c r="C819" s="335"/>
    </row>
    <row r="820" customFormat="false" ht="12.8" hidden="false" customHeight="false" outlineLevel="0" collapsed="false">
      <c r="C820" s="335"/>
    </row>
    <row r="821" customFormat="false" ht="12.8" hidden="false" customHeight="false" outlineLevel="0" collapsed="false">
      <c r="C821" s="335"/>
    </row>
    <row r="822" customFormat="false" ht="12.8" hidden="false" customHeight="false" outlineLevel="0" collapsed="false">
      <c r="C822" s="335"/>
    </row>
    <row r="823" customFormat="false" ht="12.8" hidden="false" customHeight="false" outlineLevel="0" collapsed="false">
      <c r="C823" s="335"/>
    </row>
    <row r="824" customFormat="false" ht="12.8" hidden="false" customHeight="false" outlineLevel="0" collapsed="false">
      <c r="C824" s="335"/>
    </row>
    <row r="825" customFormat="false" ht="12.8" hidden="false" customHeight="false" outlineLevel="0" collapsed="false">
      <c r="C825" s="335"/>
    </row>
    <row r="826" customFormat="false" ht="12.8" hidden="false" customHeight="false" outlineLevel="0" collapsed="false">
      <c r="C826" s="335"/>
    </row>
    <row r="827" customFormat="false" ht="12.8" hidden="false" customHeight="false" outlineLevel="0" collapsed="false">
      <c r="C827" s="335"/>
    </row>
    <row r="828" customFormat="false" ht="12.8" hidden="false" customHeight="false" outlineLevel="0" collapsed="false">
      <c r="C828" s="335"/>
    </row>
    <row r="829" customFormat="false" ht="12.8" hidden="false" customHeight="false" outlineLevel="0" collapsed="false">
      <c r="C829" s="335"/>
    </row>
    <row r="830" customFormat="false" ht="12.8" hidden="false" customHeight="false" outlineLevel="0" collapsed="false">
      <c r="C830" s="335"/>
    </row>
    <row r="831" customFormat="false" ht="12.8" hidden="false" customHeight="false" outlineLevel="0" collapsed="false">
      <c r="C831" s="335"/>
    </row>
    <row r="832" customFormat="false" ht="12.8" hidden="false" customHeight="false" outlineLevel="0" collapsed="false">
      <c r="C832" s="335"/>
    </row>
    <row r="833" customFormat="false" ht="12.8" hidden="false" customHeight="false" outlineLevel="0" collapsed="false">
      <c r="C833" s="335"/>
    </row>
    <row r="834" customFormat="false" ht="12.8" hidden="false" customHeight="false" outlineLevel="0" collapsed="false">
      <c r="C834" s="335"/>
    </row>
    <row r="835" customFormat="false" ht="12.8" hidden="false" customHeight="false" outlineLevel="0" collapsed="false">
      <c r="C835" s="335"/>
    </row>
    <row r="836" customFormat="false" ht="12.8" hidden="false" customHeight="false" outlineLevel="0" collapsed="false">
      <c r="C836" s="335"/>
    </row>
    <row r="837" customFormat="false" ht="12.8" hidden="false" customHeight="false" outlineLevel="0" collapsed="false">
      <c r="C837" s="335"/>
    </row>
    <row r="838" customFormat="false" ht="12.8" hidden="false" customHeight="false" outlineLevel="0" collapsed="false">
      <c r="C838" s="335"/>
    </row>
    <row r="839" customFormat="false" ht="12.8" hidden="false" customHeight="false" outlineLevel="0" collapsed="false">
      <c r="C839" s="335"/>
    </row>
    <row r="840" customFormat="false" ht="12.8" hidden="false" customHeight="false" outlineLevel="0" collapsed="false">
      <c r="C840" s="335"/>
    </row>
    <row r="841" customFormat="false" ht="12.8" hidden="false" customHeight="false" outlineLevel="0" collapsed="false">
      <c r="C841" s="335"/>
    </row>
    <row r="842" customFormat="false" ht="12.8" hidden="false" customHeight="false" outlineLevel="0" collapsed="false">
      <c r="C842" s="335"/>
    </row>
    <row r="843" customFormat="false" ht="12.8" hidden="false" customHeight="false" outlineLevel="0" collapsed="false">
      <c r="C843" s="335"/>
    </row>
    <row r="844" customFormat="false" ht="12.8" hidden="false" customHeight="false" outlineLevel="0" collapsed="false">
      <c r="C844" s="335"/>
    </row>
    <row r="845" customFormat="false" ht="12.8" hidden="false" customHeight="false" outlineLevel="0" collapsed="false">
      <c r="C845" s="335"/>
    </row>
    <row r="846" customFormat="false" ht="12.8" hidden="false" customHeight="false" outlineLevel="0" collapsed="false">
      <c r="C846" s="335"/>
    </row>
    <row r="847" customFormat="false" ht="12.8" hidden="false" customHeight="false" outlineLevel="0" collapsed="false">
      <c r="C847" s="335"/>
    </row>
    <row r="848" customFormat="false" ht="12.8" hidden="false" customHeight="false" outlineLevel="0" collapsed="false">
      <c r="C848" s="335"/>
    </row>
    <row r="849" customFormat="false" ht="12.8" hidden="false" customHeight="false" outlineLevel="0" collapsed="false">
      <c r="C849" s="335"/>
    </row>
    <row r="850" customFormat="false" ht="12.8" hidden="false" customHeight="false" outlineLevel="0" collapsed="false">
      <c r="C850" s="335"/>
    </row>
    <row r="851" customFormat="false" ht="12.8" hidden="false" customHeight="false" outlineLevel="0" collapsed="false">
      <c r="C851" s="335"/>
    </row>
    <row r="852" customFormat="false" ht="12.8" hidden="false" customHeight="false" outlineLevel="0" collapsed="false">
      <c r="C852" s="335"/>
    </row>
    <row r="853" customFormat="false" ht="12.8" hidden="false" customHeight="false" outlineLevel="0" collapsed="false">
      <c r="C853" s="335"/>
    </row>
    <row r="854" customFormat="false" ht="12.8" hidden="false" customHeight="false" outlineLevel="0" collapsed="false">
      <c r="C854" s="335"/>
    </row>
    <row r="855" customFormat="false" ht="12.8" hidden="false" customHeight="false" outlineLevel="0" collapsed="false">
      <c r="C855" s="335"/>
    </row>
    <row r="856" customFormat="false" ht="12.8" hidden="false" customHeight="false" outlineLevel="0" collapsed="false">
      <c r="C856" s="335"/>
    </row>
    <row r="857" customFormat="false" ht="12.8" hidden="false" customHeight="false" outlineLevel="0" collapsed="false">
      <c r="C857" s="335"/>
    </row>
    <row r="858" customFormat="false" ht="12.8" hidden="false" customHeight="false" outlineLevel="0" collapsed="false">
      <c r="C858" s="335"/>
    </row>
    <row r="859" customFormat="false" ht="12.8" hidden="false" customHeight="false" outlineLevel="0" collapsed="false">
      <c r="C859" s="335"/>
    </row>
    <row r="860" customFormat="false" ht="12.8" hidden="false" customHeight="false" outlineLevel="0" collapsed="false">
      <c r="C860" s="335"/>
    </row>
    <row r="861" customFormat="false" ht="12.8" hidden="false" customHeight="false" outlineLevel="0" collapsed="false">
      <c r="C861" s="335"/>
    </row>
    <row r="862" customFormat="false" ht="12.8" hidden="false" customHeight="false" outlineLevel="0" collapsed="false">
      <c r="C862" s="335"/>
    </row>
    <row r="863" customFormat="false" ht="12.8" hidden="false" customHeight="false" outlineLevel="0" collapsed="false">
      <c r="C863" s="335"/>
    </row>
    <row r="864" customFormat="false" ht="12.8" hidden="false" customHeight="false" outlineLevel="0" collapsed="false">
      <c r="C864" s="335"/>
    </row>
    <row r="865" customFormat="false" ht="12.8" hidden="false" customHeight="false" outlineLevel="0" collapsed="false">
      <c r="C865" s="335"/>
    </row>
    <row r="866" customFormat="false" ht="12.8" hidden="false" customHeight="false" outlineLevel="0" collapsed="false">
      <c r="C866" s="335"/>
    </row>
    <row r="867" customFormat="false" ht="12.8" hidden="false" customHeight="false" outlineLevel="0" collapsed="false">
      <c r="C867" s="335"/>
    </row>
    <row r="868" customFormat="false" ht="12.8" hidden="false" customHeight="false" outlineLevel="0" collapsed="false">
      <c r="C868" s="335"/>
    </row>
    <row r="869" customFormat="false" ht="12.8" hidden="false" customHeight="false" outlineLevel="0" collapsed="false">
      <c r="C869" s="335"/>
    </row>
    <row r="870" customFormat="false" ht="12.8" hidden="false" customHeight="false" outlineLevel="0" collapsed="false">
      <c r="C870" s="335"/>
    </row>
    <row r="871" customFormat="false" ht="12.8" hidden="false" customHeight="false" outlineLevel="0" collapsed="false">
      <c r="C871" s="335"/>
    </row>
    <row r="872" customFormat="false" ht="12.8" hidden="false" customHeight="false" outlineLevel="0" collapsed="false">
      <c r="C872" s="335"/>
    </row>
    <row r="873" customFormat="false" ht="12.8" hidden="false" customHeight="false" outlineLevel="0" collapsed="false">
      <c r="C873" s="335"/>
    </row>
    <row r="874" customFormat="false" ht="12.8" hidden="false" customHeight="false" outlineLevel="0" collapsed="false">
      <c r="C874" s="335"/>
    </row>
    <row r="875" customFormat="false" ht="12.8" hidden="false" customHeight="false" outlineLevel="0" collapsed="false">
      <c r="C875" s="335"/>
    </row>
    <row r="876" customFormat="false" ht="12.8" hidden="false" customHeight="false" outlineLevel="0" collapsed="false">
      <c r="C876" s="335"/>
    </row>
    <row r="877" customFormat="false" ht="12.8" hidden="false" customHeight="false" outlineLevel="0" collapsed="false">
      <c r="C877" s="335"/>
    </row>
    <row r="878" customFormat="false" ht="12.8" hidden="false" customHeight="false" outlineLevel="0" collapsed="false">
      <c r="C878" s="335"/>
    </row>
    <row r="879" customFormat="false" ht="12.8" hidden="false" customHeight="false" outlineLevel="0" collapsed="false">
      <c r="C879" s="335"/>
    </row>
    <row r="880" customFormat="false" ht="12.8" hidden="false" customHeight="false" outlineLevel="0" collapsed="false">
      <c r="C880" s="335"/>
    </row>
    <row r="881" customFormat="false" ht="12.8" hidden="false" customHeight="false" outlineLevel="0" collapsed="false">
      <c r="C881" s="335"/>
    </row>
    <row r="882" customFormat="false" ht="12.8" hidden="false" customHeight="false" outlineLevel="0" collapsed="false">
      <c r="C882" s="335"/>
    </row>
    <row r="883" customFormat="false" ht="12.8" hidden="false" customHeight="false" outlineLevel="0" collapsed="false">
      <c r="C883" s="335"/>
    </row>
    <row r="884" customFormat="false" ht="12.8" hidden="false" customHeight="false" outlineLevel="0" collapsed="false">
      <c r="C884" s="335"/>
    </row>
    <row r="885" customFormat="false" ht="12.8" hidden="false" customHeight="false" outlineLevel="0" collapsed="false">
      <c r="C885" s="335"/>
    </row>
    <row r="886" customFormat="false" ht="12.8" hidden="false" customHeight="false" outlineLevel="0" collapsed="false">
      <c r="C886" s="335"/>
    </row>
    <row r="887" customFormat="false" ht="12.8" hidden="false" customHeight="false" outlineLevel="0" collapsed="false">
      <c r="C887" s="335"/>
    </row>
    <row r="888" customFormat="false" ht="12.8" hidden="false" customHeight="false" outlineLevel="0" collapsed="false">
      <c r="C888" s="335"/>
    </row>
    <row r="889" customFormat="false" ht="12.8" hidden="false" customHeight="false" outlineLevel="0" collapsed="false">
      <c r="C889" s="335"/>
    </row>
    <row r="890" customFormat="false" ht="12.8" hidden="false" customHeight="false" outlineLevel="0" collapsed="false">
      <c r="C890" s="335"/>
    </row>
    <row r="891" customFormat="false" ht="12.8" hidden="false" customHeight="false" outlineLevel="0" collapsed="false">
      <c r="C891" s="335"/>
    </row>
    <row r="892" customFormat="false" ht="12.8" hidden="false" customHeight="false" outlineLevel="0" collapsed="false">
      <c r="C892" s="335"/>
    </row>
    <row r="893" customFormat="false" ht="12.8" hidden="false" customHeight="false" outlineLevel="0" collapsed="false">
      <c r="C893" s="335"/>
    </row>
    <row r="894" customFormat="false" ht="12.8" hidden="false" customHeight="false" outlineLevel="0" collapsed="false">
      <c r="C894" s="335"/>
    </row>
    <row r="895" customFormat="false" ht="12.8" hidden="false" customHeight="false" outlineLevel="0" collapsed="false">
      <c r="C895" s="335"/>
    </row>
    <row r="896" customFormat="false" ht="12.8" hidden="false" customHeight="false" outlineLevel="0" collapsed="false">
      <c r="C896" s="335"/>
    </row>
    <row r="897" customFormat="false" ht="12.8" hidden="false" customHeight="false" outlineLevel="0" collapsed="false">
      <c r="C897" s="335"/>
    </row>
    <row r="898" customFormat="false" ht="12.8" hidden="false" customHeight="false" outlineLevel="0" collapsed="false">
      <c r="C898" s="335"/>
    </row>
    <row r="899" customFormat="false" ht="12.8" hidden="false" customHeight="false" outlineLevel="0" collapsed="false">
      <c r="C899" s="335"/>
    </row>
    <row r="900" customFormat="false" ht="12.8" hidden="false" customHeight="false" outlineLevel="0" collapsed="false">
      <c r="C900" s="335"/>
    </row>
    <row r="901" customFormat="false" ht="12.8" hidden="false" customHeight="false" outlineLevel="0" collapsed="false">
      <c r="C901" s="335"/>
    </row>
    <row r="902" customFormat="false" ht="12.8" hidden="false" customHeight="false" outlineLevel="0" collapsed="false">
      <c r="C902" s="335"/>
    </row>
    <row r="903" customFormat="false" ht="12.8" hidden="false" customHeight="false" outlineLevel="0" collapsed="false">
      <c r="C903" s="335"/>
    </row>
    <row r="904" customFormat="false" ht="12.8" hidden="false" customHeight="false" outlineLevel="0" collapsed="false">
      <c r="C904" s="335"/>
    </row>
    <row r="905" customFormat="false" ht="12.8" hidden="false" customHeight="false" outlineLevel="0" collapsed="false">
      <c r="C905" s="335"/>
    </row>
    <row r="906" customFormat="false" ht="12.8" hidden="false" customHeight="false" outlineLevel="0" collapsed="false">
      <c r="C906" s="335"/>
    </row>
    <row r="907" customFormat="false" ht="12.8" hidden="false" customHeight="false" outlineLevel="0" collapsed="false">
      <c r="C907" s="335"/>
    </row>
    <row r="908" customFormat="false" ht="12.8" hidden="false" customHeight="false" outlineLevel="0" collapsed="false">
      <c r="C908" s="335"/>
    </row>
    <row r="909" customFormat="false" ht="12.8" hidden="false" customHeight="false" outlineLevel="0" collapsed="false">
      <c r="C909" s="335"/>
    </row>
    <row r="910" customFormat="false" ht="12.8" hidden="false" customHeight="false" outlineLevel="0" collapsed="false">
      <c r="C910" s="335"/>
    </row>
    <row r="911" customFormat="false" ht="12.8" hidden="false" customHeight="false" outlineLevel="0" collapsed="false">
      <c r="C911" s="335"/>
    </row>
    <row r="912" customFormat="false" ht="12.8" hidden="false" customHeight="false" outlineLevel="0" collapsed="false">
      <c r="C912" s="335"/>
    </row>
    <row r="913" customFormat="false" ht="12.8" hidden="false" customHeight="false" outlineLevel="0" collapsed="false">
      <c r="C913" s="335"/>
    </row>
    <row r="914" customFormat="false" ht="12.8" hidden="false" customHeight="false" outlineLevel="0" collapsed="false">
      <c r="C914" s="335"/>
    </row>
    <row r="915" customFormat="false" ht="12.8" hidden="false" customHeight="false" outlineLevel="0" collapsed="false">
      <c r="C915" s="335"/>
    </row>
    <row r="916" customFormat="false" ht="12.8" hidden="false" customHeight="false" outlineLevel="0" collapsed="false">
      <c r="C916" s="335"/>
    </row>
    <row r="917" customFormat="false" ht="12.8" hidden="false" customHeight="false" outlineLevel="0" collapsed="false">
      <c r="C917" s="335"/>
    </row>
    <row r="918" customFormat="false" ht="12.8" hidden="false" customHeight="false" outlineLevel="0" collapsed="false">
      <c r="C918" s="335"/>
    </row>
    <row r="919" customFormat="false" ht="12.8" hidden="false" customHeight="false" outlineLevel="0" collapsed="false">
      <c r="C919" s="335"/>
    </row>
    <row r="920" customFormat="false" ht="12.8" hidden="false" customHeight="false" outlineLevel="0" collapsed="false">
      <c r="C920" s="335"/>
    </row>
    <row r="921" customFormat="false" ht="12.8" hidden="false" customHeight="false" outlineLevel="0" collapsed="false">
      <c r="C921" s="335"/>
    </row>
    <row r="922" customFormat="false" ht="12.8" hidden="false" customHeight="false" outlineLevel="0" collapsed="false">
      <c r="C922" s="335"/>
    </row>
    <row r="923" customFormat="false" ht="12.8" hidden="false" customHeight="false" outlineLevel="0" collapsed="false">
      <c r="C923" s="335"/>
    </row>
    <row r="924" customFormat="false" ht="12.8" hidden="false" customHeight="false" outlineLevel="0" collapsed="false">
      <c r="C924" s="335"/>
    </row>
    <row r="925" customFormat="false" ht="12.8" hidden="false" customHeight="false" outlineLevel="0" collapsed="false">
      <c r="C925" s="335"/>
    </row>
    <row r="926" customFormat="false" ht="12.8" hidden="false" customHeight="false" outlineLevel="0" collapsed="false">
      <c r="C926" s="335"/>
    </row>
    <row r="927" customFormat="false" ht="12.8" hidden="false" customHeight="false" outlineLevel="0" collapsed="false">
      <c r="C927" s="335"/>
    </row>
    <row r="928" customFormat="false" ht="12.8" hidden="false" customHeight="false" outlineLevel="0" collapsed="false">
      <c r="C928" s="335"/>
    </row>
    <row r="929" customFormat="false" ht="12.8" hidden="false" customHeight="false" outlineLevel="0" collapsed="false">
      <c r="C929" s="335"/>
    </row>
    <row r="930" customFormat="false" ht="12.8" hidden="false" customHeight="false" outlineLevel="0" collapsed="false">
      <c r="C930" s="335"/>
    </row>
    <row r="931" customFormat="false" ht="12.8" hidden="false" customHeight="false" outlineLevel="0" collapsed="false">
      <c r="C931" s="335"/>
    </row>
    <row r="932" customFormat="false" ht="12.8" hidden="false" customHeight="false" outlineLevel="0" collapsed="false">
      <c r="C932" s="335"/>
    </row>
    <row r="933" customFormat="false" ht="12.8" hidden="false" customHeight="false" outlineLevel="0" collapsed="false">
      <c r="C933" s="335"/>
    </row>
    <row r="934" customFormat="false" ht="12.8" hidden="false" customHeight="false" outlineLevel="0" collapsed="false">
      <c r="C934" s="335"/>
    </row>
    <row r="935" customFormat="false" ht="12.8" hidden="false" customHeight="false" outlineLevel="0" collapsed="false">
      <c r="C935" s="335"/>
    </row>
    <row r="936" customFormat="false" ht="12.8" hidden="false" customHeight="false" outlineLevel="0" collapsed="false">
      <c r="C936" s="335"/>
    </row>
    <row r="937" customFormat="false" ht="12.8" hidden="false" customHeight="false" outlineLevel="0" collapsed="false">
      <c r="C937" s="335"/>
    </row>
    <row r="938" customFormat="false" ht="12.8" hidden="false" customHeight="false" outlineLevel="0" collapsed="false">
      <c r="C938" s="335"/>
    </row>
    <row r="939" customFormat="false" ht="12.8" hidden="false" customHeight="false" outlineLevel="0" collapsed="false">
      <c r="C939" s="335"/>
    </row>
    <row r="940" customFormat="false" ht="12.8" hidden="false" customHeight="false" outlineLevel="0" collapsed="false">
      <c r="C940" s="335"/>
    </row>
    <row r="941" customFormat="false" ht="12.8" hidden="false" customHeight="false" outlineLevel="0" collapsed="false">
      <c r="C941" s="335"/>
    </row>
    <row r="942" customFormat="false" ht="12.8" hidden="false" customHeight="false" outlineLevel="0" collapsed="false">
      <c r="C942" s="335"/>
    </row>
    <row r="943" customFormat="false" ht="12.8" hidden="false" customHeight="false" outlineLevel="0" collapsed="false">
      <c r="C943" s="335"/>
    </row>
    <row r="944" customFormat="false" ht="12.8" hidden="false" customHeight="false" outlineLevel="0" collapsed="false">
      <c r="C944" s="335"/>
    </row>
    <row r="945" customFormat="false" ht="12.8" hidden="false" customHeight="false" outlineLevel="0" collapsed="false">
      <c r="C945" s="335"/>
    </row>
    <row r="946" customFormat="false" ht="12.8" hidden="false" customHeight="false" outlineLevel="0" collapsed="false">
      <c r="C946" s="335"/>
    </row>
    <row r="947" customFormat="false" ht="12.8" hidden="false" customHeight="false" outlineLevel="0" collapsed="false">
      <c r="C947" s="335"/>
    </row>
    <row r="948" customFormat="false" ht="12.8" hidden="false" customHeight="false" outlineLevel="0" collapsed="false">
      <c r="C948" s="335"/>
    </row>
    <row r="949" customFormat="false" ht="12.8" hidden="false" customHeight="false" outlineLevel="0" collapsed="false">
      <c r="C949" s="335"/>
    </row>
    <row r="950" customFormat="false" ht="12.8" hidden="false" customHeight="false" outlineLevel="0" collapsed="false">
      <c r="C950" s="335"/>
    </row>
    <row r="951" customFormat="false" ht="12.8" hidden="false" customHeight="false" outlineLevel="0" collapsed="false">
      <c r="C951" s="335"/>
    </row>
    <row r="952" customFormat="false" ht="12.8" hidden="false" customHeight="false" outlineLevel="0" collapsed="false">
      <c r="C952" s="335"/>
    </row>
    <row r="953" customFormat="false" ht="12.8" hidden="false" customHeight="false" outlineLevel="0" collapsed="false">
      <c r="C953" s="335"/>
    </row>
    <row r="954" customFormat="false" ht="12.8" hidden="false" customHeight="false" outlineLevel="0" collapsed="false">
      <c r="C954" s="335"/>
    </row>
    <row r="955" customFormat="false" ht="12.8" hidden="false" customHeight="false" outlineLevel="0" collapsed="false">
      <c r="C955" s="335"/>
    </row>
    <row r="956" customFormat="false" ht="12.8" hidden="false" customHeight="false" outlineLevel="0" collapsed="false">
      <c r="C956" s="335"/>
    </row>
    <row r="957" customFormat="false" ht="12.8" hidden="false" customHeight="false" outlineLevel="0" collapsed="false">
      <c r="C957" s="335"/>
    </row>
    <row r="958" customFormat="false" ht="12.8" hidden="false" customHeight="false" outlineLevel="0" collapsed="false">
      <c r="C958" s="335"/>
    </row>
    <row r="959" customFormat="false" ht="12.8" hidden="false" customHeight="false" outlineLevel="0" collapsed="false">
      <c r="C959" s="335"/>
    </row>
    <row r="960" customFormat="false" ht="12.8" hidden="false" customHeight="false" outlineLevel="0" collapsed="false">
      <c r="C960" s="335"/>
    </row>
    <row r="961" customFormat="false" ht="12.8" hidden="false" customHeight="false" outlineLevel="0" collapsed="false">
      <c r="C961" s="335"/>
    </row>
    <row r="962" customFormat="false" ht="12.8" hidden="false" customHeight="false" outlineLevel="0" collapsed="false">
      <c r="C962" s="335"/>
    </row>
    <row r="963" customFormat="false" ht="12.8" hidden="false" customHeight="false" outlineLevel="0" collapsed="false">
      <c r="C963" s="335"/>
    </row>
    <row r="964" customFormat="false" ht="12.8" hidden="false" customHeight="false" outlineLevel="0" collapsed="false">
      <c r="C964" s="335"/>
    </row>
    <row r="965" customFormat="false" ht="12.8" hidden="false" customHeight="false" outlineLevel="0" collapsed="false">
      <c r="C965" s="335"/>
    </row>
    <row r="966" customFormat="false" ht="12.8" hidden="false" customHeight="false" outlineLevel="0" collapsed="false">
      <c r="C966" s="335"/>
    </row>
    <row r="967" customFormat="false" ht="12.8" hidden="false" customHeight="false" outlineLevel="0" collapsed="false">
      <c r="C967" s="335"/>
    </row>
    <row r="968" customFormat="false" ht="12.8" hidden="false" customHeight="false" outlineLevel="0" collapsed="false">
      <c r="C968" s="335"/>
    </row>
    <row r="969" customFormat="false" ht="12.8" hidden="false" customHeight="false" outlineLevel="0" collapsed="false">
      <c r="C969" s="335"/>
    </row>
    <row r="970" customFormat="false" ht="12.8" hidden="false" customHeight="false" outlineLevel="0" collapsed="false">
      <c r="C970" s="335"/>
    </row>
    <row r="971" customFormat="false" ht="12.8" hidden="false" customHeight="false" outlineLevel="0" collapsed="false">
      <c r="C971" s="335"/>
    </row>
    <row r="972" customFormat="false" ht="12.8" hidden="false" customHeight="false" outlineLevel="0" collapsed="false">
      <c r="C972" s="335"/>
    </row>
    <row r="973" customFormat="false" ht="12.8" hidden="false" customHeight="false" outlineLevel="0" collapsed="false">
      <c r="C973" s="335"/>
    </row>
    <row r="974" customFormat="false" ht="12.8" hidden="false" customHeight="false" outlineLevel="0" collapsed="false">
      <c r="C974" s="335"/>
    </row>
    <row r="975" customFormat="false" ht="12.8" hidden="false" customHeight="false" outlineLevel="0" collapsed="false">
      <c r="C975" s="335"/>
    </row>
    <row r="976" customFormat="false" ht="12.8" hidden="false" customHeight="false" outlineLevel="0" collapsed="false">
      <c r="C976" s="335"/>
    </row>
    <row r="977" customFormat="false" ht="12.8" hidden="false" customHeight="false" outlineLevel="0" collapsed="false">
      <c r="C977" s="335"/>
    </row>
    <row r="978" customFormat="false" ht="12.8" hidden="false" customHeight="false" outlineLevel="0" collapsed="false">
      <c r="C978" s="335"/>
    </row>
    <row r="979" customFormat="false" ht="12.8" hidden="false" customHeight="false" outlineLevel="0" collapsed="false">
      <c r="C979" s="335"/>
    </row>
    <row r="980" customFormat="false" ht="12.8" hidden="false" customHeight="false" outlineLevel="0" collapsed="false">
      <c r="C980" s="335"/>
    </row>
    <row r="981" customFormat="false" ht="12.8" hidden="false" customHeight="false" outlineLevel="0" collapsed="false">
      <c r="C981" s="335"/>
    </row>
    <row r="982" customFormat="false" ht="12.8" hidden="false" customHeight="false" outlineLevel="0" collapsed="false">
      <c r="C982" s="335"/>
    </row>
    <row r="983" customFormat="false" ht="12.8" hidden="false" customHeight="false" outlineLevel="0" collapsed="false">
      <c r="C983" s="335"/>
    </row>
    <row r="984" customFormat="false" ht="12.8" hidden="false" customHeight="false" outlineLevel="0" collapsed="false">
      <c r="C984" s="335"/>
    </row>
    <row r="985" customFormat="false" ht="12.8" hidden="false" customHeight="false" outlineLevel="0" collapsed="false">
      <c r="C985" s="335"/>
    </row>
    <row r="986" customFormat="false" ht="12.8" hidden="false" customHeight="false" outlineLevel="0" collapsed="false">
      <c r="C986" s="335"/>
    </row>
    <row r="987" customFormat="false" ht="12.8" hidden="false" customHeight="false" outlineLevel="0" collapsed="false">
      <c r="C987" s="335"/>
    </row>
    <row r="988" customFormat="false" ht="12.8" hidden="false" customHeight="false" outlineLevel="0" collapsed="false">
      <c r="C988" s="335"/>
    </row>
    <row r="989" customFormat="false" ht="12.8" hidden="false" customHeight="false" outlineLevel="0" collapsed="false">
      <c r="C989" s="335"/>
    </row>
    <row r="990" customFormat="false" ht="12.8" hidden="false" customHeight="false" outlineLevel="0" collapsed="false">
      <c r="C990" s="335"/>
    </row>
    <row r="991" customFormat="false" ht="12.8" hidden="false" customHeight="false" outlineLevel="0" collapsed="false">
      <c r="C991" s="335"/>
    </row>
    <row r="992" customFormat="false" ht="12.8" hidden="false" customHeight="false" outlineLevel="0" collapsed="false">
      <c r="C992" s="335"/>
    </row>
    <row r="993" customFormat="false" ht="12.8" hidden="false" customHeight="false" outlineLevel="0" collapsed="false">
      <c r="C993" s="335"/>
    </row>
    <row r="994" customFormat="false" ht="12.8" hidden="false" customHeight="false" outlineLevel="0" collapsed="false">
      <c r="C994" s="335"/>
    </row>
    <row r="995" customFormat="false" ht="12.8" hidden="false" customHeight="false" outlineLevel="0" collapsed="false">
      <c r="C995" s="335"/>
    </row>
    <row r="996" customFormat="false" ht="12.8" hidden="false" customHeight="false" outlineLevel="0" collapsed="false">
      <c r="C996" s="335"/>
    </row>
    <row r="997" customFormat="false" ht="12.8" hidden="false" customHeight="false" outlineLevel="0" collapsed="false">
      <c r="C997" s="335"/>
    </row>
    <row r="998" customFormat="false" ht="12.8" hidden="false" customHeight="false" outlineLevel="0" collapsed="false">
      <c r="C998" s="335"/>
    </row>
    <row r="999" customFormat="false" ht="12.8" hidden="false" customHeight="false" outlineLevel="0" collapsed="false">
      <c r="C999" s="335"/>
    </row>
    <row r="1000" customFormat="false" ht="12.8" hidden="false" customHeight="false" outlineLevel="0" collapsed="false">
      <c r="C1000" s="335"/>
    </row>
    <row r="1001" customFormat="false" ht="12.8" hidden="false" customHeight="false" outlineLevel="0" collapsed="false">
      <c r="C1001" s="335"/>
    </row>
    <row r="1002" customFormat="false" ht="12.8" hidden="false" customHeight="false" outlineLevel="0" collapsed="false">
      <c r="C1002" s="335"/>
    </row>
    <row r="1003" customFormat="false" ht="12.8" hidden="false" customHeight="false" outlineLevel="0" collapsed="false">
      <c r="C1003" s="335"/>
    </row>
    <row r="1004" customFormat="false" ht="12.8" hidden="false" customHeight="false" outlineLevel="0" collapsed="false">
      <c r="C1004" s="335"/>
    </row>
    <row r="1005" customFormat="false" ht="12.8" hidden="false" customHeight="false" outlineLevel="0" collapsed="false">
      <c r="C1005" s="335"/>
    </row>
    <row r="1006" customFormat="false" ht="12.8" hidden="false" customHeight="false" outlineLevel="0" collapsed="false">
      <c r="C1006" s="335"/>
    </row>
    <row r="1007" customFormat="false" ht="12.8" hidden="false" customHeight="false" outlineLevel="0" collapsed="false">
      <c r="C1007" s="335"/>
    </row>
    <row r="1008" customFormat="false" ht="12.8" hidden="false" customHeight="false" outlineLevel="0" collapsed="false">
      <c r="C1008" s="335"/>
    </row>
    <row r="1009" customFormat="false" ht="12.8" hidden="false" customHeight="false" outlineLevel="0" collapsed="false">
      <c r="C1009" s="335"/>
    </row>
    <row r="1010" customFormat="false" ht="12.8" hidden="false" customHeight="false" outlineLevel="0" collapsed="false">
      <c r="C1010" s="335"/>
    </row>
    <row r="1011" customFormat="false" ht="12.8" hidden="false" customHeight="false" outlineLevel="0" collapsed="false">
      <c r="C1011" s="335"/>
    </row>
    <row r="1012" customFormat="false" ht="12.8" hidden="false" customHeight="false" outlineLevel="0" collapsed="false">
      <c r="C1012" s="335"/>
    </row>
    <row r="1013" customFormat="false" ht="12.8" hidden="false" customHeight="false" outlineLevel="0" collapsed="false">
      <c r="C1013" s="335"/>
    </row>
    <row r="1014" customFormat="false" ht="12.8" hidden="false" customHeight="false" outlineLevel="0" collapsed="false">
      <c r="C1014" s="335"/>
    </row>
    <row r="1015" customFormat="false" ht="12.8" hidden="false" customHeight="false" outlineLevel="0" collapsed="false">
      <c r="C1015" s="335"/>
    </row>
    <row r="1016" customFormat="false" ht="12.8" hidden="false" customHeight="false" outlineLevel="0" collapsed="false">
      <c r="C1016" s="335"/>
    </row>
    <row r="1017" customFormat="false" ht="12.8" hidden="false" customHeight="false" outlineLevel="0" collapsed="false">
      <c r="C1017" s="335"/>
    </row>
    <row r="1018" customFormat="false" ht="12.8" hidden="false" customHeight="false" outlineLevel="0" collapsed="false">
      <c r="C1018" s="335"/>
    </row>
    <row r="1019" customFormat="false" ht="12.8" hidden="false" customHeight="false" outlineLevel="0" collapsed="false">
      <c r="C1019" s="335"/>
    </row>
    <row r="1020" customFormat="false" ht="12.8" hidden="false" customHeight="false" outlineLevel="0" collapsed="false">
      <c r="C1020" s="335"/>
    </row>
    <row r="1021" customFormat="false" ht="12.8" hidden="false" customHeight="false" outlineLevel="0" collapsed="false">
      <c r="C1021" s="335"/>
    </row>
    <row r="1022" customFormat="false" ht="12.8" hidden="false" customHeight="false" outlineLevel="0" collapsed="false">
      <c r="C1022" s="335"/>
    </row>
    <row r="1023" customFormat="false" ht="12.8" hidden="false" customHeight="false" outlineLevel="0" collapsed="false">
      <c r="C1023" s="335"/>
    </row>
    <row r="1024" customFormat="false" ht="12.8" hidden="false" customHeight="false" outlineLevel="0" collapsed="false">
      <c r="C1024" s="335"/>
    </row>
    <row r="1025" customFormat="false" ht="12.8" hidden="false" customHeight="false" outlineLevel="0" collapsed="false">
      <c r="C1025" s="335"/>
    </row>
    <row r="1026" customFormat="false" ht="12.8" hidden="false" customHeight="false" outlineLevel="0" collapsed="false">
      <c r="C1026" s="335"/>
    </row>
    <row r="1027" customFormat="false" ht="12.8" hidden="false" customHeight="false" outlineLevel="0" collapsed="false">
      <c r="C1027" s="335"/>
    </row>
    <row r="1028" customFormat="false" ht="12.8" hidden="false" customHeight="false" outlineLevel="0" collapsed="false">
      <c r="C1028" s="335"/>
    </row>
    <row r="1029" customFormat="false" ht="12.8" hidden="false" customHeight="false" outlineLevel="0" collapsed="false">
      <c r="C1029" s="335"/>
    </row>
    <row r="1030" customFormat="false" ht="12.8" hidden="false" customHeight="false" outlineLevel="0" collapsed="false">
      <c r="C1030" s="335"/>
    </row>
    <row r="1031" customFormat="false" ht="12.8" hidden="false" customHeight="false" outlineLevel="0" collapsed="false">
      <c r="C1031" s="335"/>
    </row>
    <row r="1032" customFormat="false" ht="12.8" hidden="false" customHeight="false" outlineLevel="0" collapsed="false">
      <c r="C1032" s="335"/>
    </row>
    <row r="1033" customFormat="false" ht="12.8" hidden="false" customHeight="false" outlineLevel="0" collapsed="false">
      <c r="C1033" s="335"/>
    </row>
    <row r="1034" customFormat="false" ht="12.8" hidden="false" customHeight="false" outlineLevel="0" collapsed="false">
      <c r="C1034" s="335"/>
    </row>
    <row r="1035" customFormat="false" ht="12.8" hidden="false" customHeight="false" outlineLevel="0" collapsed="false">
      <c r="C1035" s="335"/>
    </row>
    <row r="1036" customFormat="false" ht="12.8" hidden="false" customHeight="false" outlineLevel="0" collapsed="false">
      <c r="C1036" s="335"/>
    </row>
    <row r="1037" customFormat="false" ht="12.8" hidden="false" customHeight="false" outlineLevel="0" collapsed="false">
      <c r="C1037" s="335"/>
    </row>
    <row r="1038" customFormat="false" ht="12.8" hidden="false" customHeight="false" outlineLevel="0" collapsed="false">
      <c r="C1038" s="335"/>
    </row>
    <row r="1039" customFormat="false" ht="12.8" hidden="false" customHeight="false" outlineLevel="0" collapsed="false">
      <c r="C1039" s="335"/>
    </row>
    <row r="1040" customFormat="false" ht="12.8" hidden="false" customHeight="false" outlineLevel="0" collapsed="false">
      <c r="C1040" s="335"/>
    </row>
    <row r="1041" customFormat="false" ht="12.8" hidden="false" customHeight="false" outlineLevel="0" collapsed="false">
      <c r="C1041" s="335"/>
    </row>
    <row r="1042" customFormat="false" ht="12.8" hidden="false" customHeight="false" outlineLevel="0" collapsed="false">
      <c r="C1042" s="335"/>
    </row>
    <row r="1043" customFormat="false" ht="12.8" hidden="false" customHeight="false" outlineLevel="0" collapsed="false">
      <c r="C1043" s="335"/>
    </row>
    <row r="1044" customFormat="false" ht="12.8" hidden="false" customHeight="false" outlineLevel="0" collapsed="false">
      <c r="C1044" s="335"/>
    </row>
    <row r="1045" customFormat="false" ht="12.8" hidden="false" customHeight="false" outlineLevel="0" collapsed="false">
      <c r="C1045" s="335"/>
    </row>
    <row r="1046" customFormat="false" ht="12.8" hidden="false" customHeight="false" outlineLevel="0" collapsed="false">
      <c r="C1046" s="335"/>
    </row>
    <row r="1047" customFormat="false" ht="12.8" hidden="false" customHeight="false" outlineLevel="0" collapsed="false">
      <c r="C1047" s="335"/>
    </row>
    <row r="1048" customFormat="false" ht="12.8" hidden="false" customHeight="false" outlineLevel="0" collapsed="false">
      <c r="C1048" s="335"/>
    </row>
    <row r="1049" customFormat="false" ht="12.8" hidden="false" customHeight="false" outlineLevel="0" collapsed="false">
      <c r="C1049" s="335"/>
    </row>
    <row r="1050" customFormat="false" ht="12.8" hidden="false" customHeight="false" outlineLevel="0" collapsed="false">
      <c r="C1050" s="335"/>
    </row>
    <row r="1051" customFormat="false" ht="12.8" hidden="false" customHeight="false" outlineLevel="0" collapsed="false">
      <c r="C1051" s="335"/>
    </row>
    <row r="1052" customFormat="false" ht="12.8" hidden="false" customHeight="false" outlineLevel="0" collapsed="false">
      <c r="C1052" s="335"/>
    </row>
    <row r="1053" customFormat="false" ht="12.8" hidden="false" customHeight="false" outlineLevel="0" collapsed="false">
      <c r="C1053" s="335"/>
    </row>
    <row r="1054" customFormat="false" ht="12.8" hidden="false" customHeight="false" outlineLevel="0" collapsed="false">
      <c r="C1054" s="335"/>
    </row>
    <row r="1055" customFormat="false" ht="12.8" hidden="false" customHeight="false" outlineLevel="0" collapsed="false">
      <c r="C1055" s="335"/>
    </row>
    <row r="1056" customFormat="false" ht="12.8" hidden="false" customHeight="false" outlineLevel="0" collapsed="false">
      <c r="C1056" s="335"/>
    </row>
    <row r="1057" customFormat="false" ht="12.8" hidden="false" customHeight="false" outlineLevel="0" collapsed="false">
      <c r="C1057" s="335"/>
    </row>
    <row r="1058" customFormat="false" ht="12.8" hidden="false" customHeight="false" outlineLevel="0" collapsed="false">
      <c r="C1058" s="335"/>
    </row>
    <row r="1059" customFormat="false" ht="12.8" hidden="false" customHeight="false" outlineLevel="0" collapsed="false">
      <c r="C1059" s="335"/>
    </row>
    <row r="1060" customFormat="false" ht="12.8" hidden="false" customHeight="false" outlineLevel="0" collapsed="false">
      <c r="C1060" s="335"/>
    </row>
    <row r="1061" customFormat="false" ht="12.8" hidden="false" customHeight="false" outlineLevel="0" collapsed="false">
      <c r="C1061" s="335"/>
    </row>
    <row r="1062" customFormat="false" ht="12.8" hidden="false" customHeight="false" outlineLevel="0" collapsed="false">
      <c r="C1062" s="335"/>
    </row>
    <row r="1063" customFormat="false" ht="12.8" hidden="false" customHeight="false" outlineLevel="0" collapsed="false">
      <c r="C1063" s="335"/>
    </row>
    <row r="1064" customFormat="false" ht="12.8" hidden="false" customHeight="false" outlineLevel="0" collapsed="false">
      <c r="C1064" s="335"/>
    </row>
    <row r="1065" customFormat="false" ht="12.8" hidden="false" customHeight="false" outlineLevel="0" collapsed="false">
      <c r="C1065" s="335"/>
    </row>
    <row r="1066" customFormat="false" ht="12.8" hidden="false" customHeight="false" outlineLevel="0" collapsed="false">
      <c r="C1066" s="335"/>
    </row>
    <row r="1067" customFormat="false" ht="12.8" hidden="false" customHeight="false" outlineLevel="0" collapsed="false">
      <c r="C1067" s="335"/>
    </row>
    <row r="1068" customFormat="false" ht="12.8" hidden="false" customHeight="false" outlineLevel="0" collapsed="false">
      <c r="C1068" s="335"/>
    </row>
    <row r="1069" customFormat="false" ht="12.8" hidden="false" customHeight="false" outlineLevel="0" collapsed="false">
      <c r="C1069" s="335"/>
    </row>
    <row r="1070" customFormat="false" ht="12.8" hidden="false" customHeight="false" outlineLevel="0" collapsed="false">
      <c r="C1070" s="335"/>
    </row>
    <row r="1071" customFormat="false" ht="12.8" hidden="false" customHeight="false" outlineLevel="0" collapsed="false">
      <c r="C1071" s="335"/>
    </row>
    <row r="1072" customFormat="false" ht="12.8" hidden="false" customHeight="false" outlineLevel="0" collapsed="false">
      <c r="C1072" s="335"/>
    </row>
    <row r="1073" customFormat="false" ht="12.8" hidden="false" customHeight="false" outlineLevel="0" collapsed="false">
      <c r="C1073" s="335"/>
    </row>
    <row r="1074" customFormat="false" ht="12.8" hidden="false" customHeight="false" outlineLevel="0" collapsed="false">
      <c r="C1074" s="335"/>
    </row>
    <row r="1075" customFormat="false" ht="12.8" hidden="false" customHeight="false" outlineLevel="0" collapsed="false">
      <c r="C1075" s="335"/>
    </row>
    <row r="1076" customFormat="false" ht="12.8" hidden="false" customHeight="false" outlineLevel="0" collapsed="false">
      <c r="C1076" s="335"/>
    </row>
    <row r="1077" customFormat="false" ht="12.8" hidden="false" customHeight="false" outlineLevel="0" collapsed="false">
      <c r="C1077" s="335"/>
    </row>
    <row r="1078" customFormat="false" ht="12.8" hidden="false" customHeight="false" outlineLevel="0" collapsed="false">
      <c r="C1078" s="335"/>
    </row>
    <row r="1079" customFormat="false" ht="12.8" hidden="false" customHeight="false" outlineLevel="0" collapsed="false">
      <c r="C1079" s="335"/>
    </row>
    <row r="1080" customFormat="false" ht="12.8" hidden="false" customHeight="false" outlineLevel="0" collapsed="false">
      <c r="C1080" s="335"/>
    </row>
    <row r="1081" customFormat="false" ht="12.8" hidden="false" customHeight="false" outlineLevel="0" collapsed="false">
      <c r="C1081" s="335"/>
    </row>
    <row r="1082" customFormat="false" ht="12.8" hidden="false" customHeight="false" outlineLevel="0" collapsed="false">
      <c r="C1082" s="335"/>
    </row>
    <row r="1083" customFormat="false" ht="12.8" hidden="false" customHeight="false" outlineLevel="0" collapsed="false">
      <c r="C1083" s="335"/>
    </row>
    <row r="1084" customFormat="false" ht="12.8" hidden="false" customHeight="false" outlineLevel="0" collapsed="false">
      <c r="C1084" s="335"/>
    </row>
    <row r="1085" customFormat="false" ht="12.8" hidden="false" customHeight="false" outlineLevel="0" collapsed="false">
      <c r="C1085" s="335"/>
    </row>
    <row r="1086" customFormat="false" ht="12.8" hidden="false" customHeight="false" outlineLevel="0" collapsed="false">
      <c r="C1086" s="335"/>
    </row>
    <row r="1087" customFormat="false" ht="12.8" hidden="false" customHeight="false" outlineLevel="0" collapsed="false">
      <c r="C1087" s="335"/>
    </row>
    <row r="1088" customFormat="false" ht="12.8" hidden="false" customHeight="false" outlineLevel="0" collapsed="false">
      <c r="C1088" s="335"/>
    </row>
    <row r="1089" customFormat="false" ht="12.8" hidden="false" customHeight="false" outlineLevel="0" collapsed="false">
      <c r="C1089" s="335"/>
    </row>
    <row r="1090" customFormat="false" ht="12.8" hidden="false" customHeight="false" outlineLevel="0" collapsed="false">
      <c r="C1090" s="335"/>
    </row>
    <row r="1091" customFormat="false" ht="12.8" hidden="false" customHeight="false" outlineLevel="0" collapsed="false">
      <c r="C1091" s="335"/>
    </row>
    <row r="1092" customFormat="false" ht="12.8" hidden="false" customHeight="false" outlineLevel="0" collapsed="false">
      <c r="C1092" s="335"/>
    </row>
    <row r="1093" customFormat="false" ht="12.8" hidden="false" customHeight="false" outlineLevel="0" collapsed="false">
      <c r="C1093" s="335"/>
    </row>
    <row r="1094" customFormat="false" ht="12.8" hidden="false" customHeight="false" outlineLevel="0" collapsed="false">
      <c r="C1094" s="335"/>
    </row>
    <row r="1095" customFormat="false" ht="12.8" hidden="false" customHeight="false" outlineLevel="0" collapsed="false">
      <c r="C1095" s="335"/>
    </row>
    <row r="1096" customFormat="false" ht="12.8" hidden="false" customHeight="false" outlineLevel="0" collapsed="false">
      <c r="C1096" s="335"/>
    </row>
    <row r="1097" customFormat="false" ht="12.8" hidden="false" customHeight="false" outlineLevel="0" collapsed="false">
      <c r="C1097" s="335"/>
    </row>
    <row r="1098" customFormat="false" ht="12.8" hidden="false" customHeight="false" outlineLevel="0" collapsed="false">
      <c r="C1098" s="335"/>
    </row>
    <row r="1099" customFormat="false" ht="12.8" hidden="false" customHeight="false" outlineLevel="0" collapsed="false">
      <c r="C1099" s="335"/>
    </row>
    <row r="1100" customFormat="false" ht="12.8" hidden="false" customHeight="false" outlineLevel="0" collapsed="false">
      <c r="C1100" s="335"/>
    </row>
    <row r="1101" customFormat="false" ht="12.8" hidden="false" customHeight="false" outlineLevel="0" collapsed="false">
      <c r="C1101" s="335"/>
    </row>
    <row r="1102" customFormat="false" ht="12.8" hidden="false" customHeight="false" outlineLevel="0" collapsed="false">
      <c r="C1102" s="335"/>
    </row>
    <row r="1103" customFormat="false" ht="12.8" hidden="false" customHeight="false" outlineLevel="0" collapsed="false">
      <c r="C1103" s="335"/>
    </row>
    <row r="1104" customFormat="false" ht="12.8" hidden="false" customHeight="false" outlineLevel="0" collapsed="false">
      <c r="C1104" s="335"/>
    </row>
    <row r="1105" customFormat="false" ht="12.8" hidden="false" customHeight="false" outlineLevel="0" collapsed="false">
      <c r="C1105" s="335"/>
    </row>
    <row r="1106" customFormat="false" ht="12.8" hidden="false" customHeight="false" outlineLevel="0" collapsed="false">
      <c r="C1106" s="335"/>
    </row>
    <row r="1107" customFormat="false" ht="12.8" hidden="false" customHeight="false" outlineLevel="0" collapsed="false">
      <c r="C1107" s="335"/>
    </row>
    <row r="1108" customFormat="false" ht="12.8" hidden="false" customHeight="false" outlineLevel="0" collapsed="false">
      <c r="C1108" s="335"/>
    </row>
    <row r="1109" customFormat="false" ht="12.8" hidden="false" customHeight="false" outlineLevel="0" collapsed="false">
      <c r="C1109" s="335"/>
    </row>
    <row r="1110" customFormat="false" ht="12.8" hidden="false" customHeight="false" outlineLevel="0" collapsed="false">
      <c r="C1110" s="335"/>
    </row>
    <row r="1111" customFormat="false" ht="12.8" hidden="false" customHeight="false" outlineLevel="0" collapsed="false">
      <c r="C1111" s="335"/>
    </row>
    <row r="1112" customFormat="false" ht="12.8" hidden="false" customHeight="false" outlineLevel="0" collapsed="false">
      <c r="C1112" s="335"/>
    </row>
    <row r="1113" customFormat="false" ht="12.8" hidden="false" customHeight="false" outlineLevel="0" collapsed="false">
      <c r="C1113" s="335"/>
    </row>
    <row r="1114" customFormat="false" ht="12.8" hidden="false" customHeight="false" outlineLevel="0" collapsed="false">
      <c r="C1114" s="335"/>
    </row>
    <row r="1115" customFormat="false" ht="12.8" hidden="false" customHeight="false" outlineLevel="0" collapsed="false">
      <c r="C1115" s="335"/>
    </row>
    <row r="1116" customFormat="false" ht="12.8" hidden="false" customHeight="false" outlineLevel="0" collapsed="false">
      <c r="C1116" s="335"/>
    </row>
    <row r="1117" customFormat="false" ht="12.8" hidden="false" customHeight="false" outlineLevel="0" collapsed="false">
      <c r="C1117" s="335"/>
    </row>
    <row r="1118" customFormat="false" ht="12.8" hidden="false" customHeight="false" outlineLevel="0" collapsed="false">
      <c r="C1118" s="335"/>
    </row>
    <row r="1119" customFormat="false" ht="12.8" hidden="false" customHeight="false" outlineLevel="0" collapsed="false">
      <c r="C1119" s="335"/>
    </row>
    <row r="1120" customFormat="false" ht="12.8" hidden="false" customHeight="false" outlineLevel="0" collapsed="false">
      <c r="C1120" s="335"/>
    </row>
    <row r="1121" customFormat="false" ht="12.8" hidden="false" customHeight="false" outlineLevel="0" collapsed="false">
      <c r="C1121" s="335"/>
    </row>
    <row r="1122" customFormat="false" ht="12.8" hidden="false" customHeight="false" outlineLevel="0" collapsed="false">
      <c r="C1122" s="335"/>
    </row>
    <row r="1123" customFormat="false" ht="12.8" hidden="false" customHeight="false" outlineLevel="0" collapsed="false">
      <c r="C1123" s="335"/>
    </row>
    <row r="1124" customFormat="false" ht="12.8" hidden="false" customHeight="false" outlineLevel="0" collapsed="false">
      <c r="C1124" s="335"/>
    </row>
    <row r="1125" customFormat="false" ht="12.8" hidden="false" customHeight="false" outlineLevel="0" collapsed="false">
      <c r="C1125" s="335"/>
    </row>
    <row r="1126" customFormat="false" ht="12.8" hidden="false" customHeight="false" outlineLevel="0" collapsed="false">
      <c r="C1126" s="335"/>
    </row>
    <row r="1127" customFormat="false" ht="12.8" hidden="false" customHeight="false" outlineLevel="0" collapsed="false">
      <c r="C1127" s="335"/>
    </row>
    <row r="1128" customFormat="false" ht="12.8" hidden="false" customHeight="false" outlineLevel="0" collapsed="false">
      <c r="C1128" s="335"/>
    </row>
    <row r="1129" customFormat="false" ht="12.8" hidden="false" customHeight="false" outlineLevel="0" collapsed="false">
      <c r="C1129" s="335"/>
    </row>
    <row r="1130" customFormat="false" ht="12.8" hidden="false" customHeight="false" outlineLevel="0" collapsed="false">
      <c r="C1130" s="335"/>
    </row>
    <row r="1131" customFormat="false" ht="12.8" hidden="false" customHeight="false" outlineLevel="0" collapsed="false">
      <c r="C1131" s="335"/>
    </row>
    <row r="1132" customFormat="false" ht="12.8" hidden="false" customHeight="false" outlineLevel="0" collapsed="false">
      <c r="C1132" s="335"/>
    </row>
    <row r="1133" customFormat="false" ht="12.8" hidden="false" customHeight="false" outlineLevel="0" collapsed="false">
      <c r="C1133" s="335"/>
    </row>
    <row r="1134" customFormat="false" ht="12.8" hidden="false" customHeight="false" outlineLevel="0" collapsed="false">
      <c r="C1134" s="335"/>
    </row>
    <row r="1135" customFormat="false" ht="12.8" hidden="false" customHeight="false" outlineLevel="0" collapsed="false">
      <c r="C1135" s="335"/>
    </row>
    <row r="1136" customFormat="false" ht="12.8" hidden="false" customHeight="false" outlineLevel="0" collapsed="false">
      <c r="C1136" s="335"/>
    </row>
    <row r="1137" customFormat="false" ht="12.8" hidden="false" customHeight="false" outlineLevel="0" collapsed="false">
      <c r="C1137" s="335"/>
    </row>
    <row r="1138" customFormat="false" ht="12.8" hidden="false" customHeight="false" outlineLevel="0" collapsed="false">
      <c r="C1138" s="335"/>
    </row>
    <row r="1139" customFormat="false" ht="12.8" hidden="false" customHeight="false" outlineLevel="0" collapsed="false">
      <c r="C1139" s="335"/>
    </row>
    <row r="1140" customFormat="false" ht="12.8" hidden="false" customHeight="false" outlineLevel="0" collapsed="false">
      <c r="C1140" s="335"/>
    </row>
    <row r="1141" customFormat="false" ht="12.8" hidden="false" customHeight="false" outlineLevel="0" collapsed="false">
      <c r="C1141" s="335"/>
    </row>
    <row r="1142" customFormat="false" ht="12.8" hidden="false" customHeight="false" outlineLevel="0" collapsed="false">
      <c r="C1142" s="335"/>
    </row>
    <row r="1143" customFormat="false" ht="12.8" hidden="false" customHeight="false" outlineLevel="0" collapsed="false">
      <c r="C1143" s="335"/>
    </row>
    <row r="1144" customFormat="false" ht="12.8" hidden="false" customHeight="false" outlineLevel="0" collapsed="false">
      <c r="C1144" s="335"/>
    </row>
    <row r="1145" customFormat="false" ht="12.8" hidden="false" customHeight="false" outlineLevel="0" collapsed="false">
      <c r="C1145" s="335"/>
    </row>
    <row r="1146" customFormat="false" ht="12.8" hidden="false" customHeight="false" outlineLevel="0" collapsed="false">
      <c r="C1146" s="335"/>
    </row>
    <row r="1147" customFormat="false" ht="12.8" hidden="false" customHeight="false" outlineLevel="0" collapsed="false">
      <c r="C1147" s="335"/>
    </row>
    <row r="1148" customFormat="false" ht="12.8" hidden="false" customHeight="false" outlineLevel="0" collapsed="false">
      <c r="C1148" s="335"/>
    </row>
    <row r="1149" customFormat="false" ht="12.8" hidden="false" customHeight="false" outlineLevel="0" collapsed="false">
      <c r="C1149" s="335"/>
    </row>
    <row r="1150" customFormat="false" ht="12.8" hidden="false" customHeight="false" outlineLevel="0" collapsed="false">
      <c r="C1150" s="335"/>
    </row>
    <row r="1151" customFormat="false" ht="12.8" hidden="false" customHeight="false" outlineLevel="0" collapsed="false">
      <c r="C1151" s="335"/>
    </row>
    <row r="1152" customFormat="false" ht="12.8" hidden="false" customHeight="false" outlineLevel="0" collapsed="false">
      <c r="C1152" s="335"/>
    </row>
    <row r="1153" customFormat="false" ht="12.8" hidden="false" customHeight="false" outlineLevel="0" collapsed="false">
      <c r="C1153" s="335"/>
    </row>
    <row r="1154" customFormat="false" ht="12.8" hidden="false" customHeight="false" outlineLevel="0" collapsed="false">
      <c r="C1154" s="335"/>
    </row>
    <row r="1155" customFormat="false" ht="12.8" hidden="false" customHeight="false" outlineLevel="0" collapsed="false">
      <c r="C1155" s="335"/>
    </row>
    <row r="1156" customFormat="false" ht="12.8" hidden="false" customHeight="false" outlineLevel="0" collapsed="false">
      <c r="C1156" s="335"/>
    </row>
    <row r="1157" customFormat="false" ht="12.8" hidden="false" customHeight="false" outlineLevel="0" collapsed="false">
      <c r="C1157" s="335"/>
    </row>
    <row r="1158" customFormat="false" ht="12.8" hidden="false" customHeight="false" outlineLevel="0" collapsed="false">
      <c r="C1158" s="335"/>
    </row>
    <row r="1159" customFormat="false" ht="12.8" hidden="false" customHeight="false" outlineLevel="0" collapsed="false">
      <c r="C1159" s="335"/>
    </row>
    <row r="1160" customFormat="false" ht="12.8" hidden="false" customHeight="false" outlineLevel="0" collapsed="false">
      <c r="C1160" s="335"/>
    </row>
    <row r="1161" customFormat="false" ht="12.8" hidden="false" customHeight="false" outlineLevel="0" collapsed="false">
      <c r="C1161" s="335"/>
    </row>
    <row r="1162" customFormat="false" ht="12.8" hidden="false" customHeight="false" outlineLevel="0" collapsed="false">
      <c r="C1162" s="335"/>
    </row>
    <row r="1163" customFormat="false" ht="12.8" hidden="false" customHeight="false" outlineLevel="0" collapsed="false">
      <c r="C1163" s="335"/>
    </row>
    <row r="1164" customFormat="false" ht="12.8" hidden="false" customHeight="false" outlineLevel="0" collapsed="false">
      <c r="C1164" s="335"/>
    </row>
    <row r="1165" customFormat="false" ht="12.8" hidden="false" customHeight="false" outlineLevel="0" collapsed="false">
      <c r="C1165" s="335"/>
    </row>
    <row r="1166" customFormat="false" ht="12.8" hidden="false" customHeight="false" outlineLevel="0" collapsed="false">
      <c r="C1166" s="335"/>
    </row>
    <row r="1167" customFormat="false" ht="12.8" hidden="false" customHeight="false" outlineLevel="0" collapsed="false">
      <c r="C1167" s="335"/>
    </row>
    <row r="1168" customFormat="false" ht="12.8" hidden="false" customHeight="false" outlineLevel="0" collapsed="false">
      <c r="C1168" s="335"/>
    </row>
    <row r="1169" customFormat="false" ht="12.8" hidden="false" customHeight="false" outlineLevel="0" collapsed="false">
      <c r="C1169" s="335"/>
    </row>
    <row r="1170" customFormat="false" ht="12.8" hidden="false" customHeight="false" outlineLevel="0" collapsed="false">
      <c r="C1170" s="335"/>
    </row>
    <row r="1171" customFormat="false" ht="12.8" hidden="false" customHeight="false" outlineLevel="0" collapsed="false">
      <c r="C1171" s="335"/>
    </row>
    <row r="1172" customFormat="false" ht="12.8" hidden="false" customHeight="false" outlineLevel="0" collapsed="false">
      <c r="C1172" s="335"/>
    </row>
    <row r="1173" customFormat="false" ht="12.8" hidden="false" customHeight="false" outlineLevel="0" collapsed="false">
      <c r="C1173" s="335"/>
    </row>
    <row r="1174" customFormat="false" ht="12.8" hidden="false" customHeight="false" outlineLevel="0" collapsed="false">
      <c r="C1174" s="335"/>
    </row>
    <row r="1175" customFormat="false" ht="12.8" hidden="false" customHeight="false" outlineLevel="0" collapsed="false">
      <c r="C1175" s="335"/>
    </row>
    <row r="1176" customFormat="false" ht="12.8" hidden="false" customHeight="false" outlineLevel="0" collapsed="false">
      <c r="C1176" s="335"/>
    </row>
    <row r="1177" customFormat="false" ht="12.8" hidden="false" customHeight="false" outlineLevel="0" collapsed="false">
      <c r="C1177" s="335"/>
    </row>
    <row r="1178" customFormat="false" ht="12.8" hidden="false" customHeight="false" outlineLevel="0" collapsed="false">
      <c r="C1178" s="335"/>
    </row>
    <row r="1179" customFormat="false" ht="12.8" hidden="false" customHeight="false" outlineLevel="0" collapsed="false">
      <c r="C1179" s="335"/>
    </row>
    <row r="1180" customFormat="false" ht="12.8" hidden="false" customHeight="false" outlineLevel="0" collapsed="false">
      <c r="C1180" s="335"/>
    </row>
    <row r="1181" customFormat="false" ht="12.8" hidden="false" customHeight="false" outlineLevel="0" collapsed="false">
      <c r="C1181" s="335"/>
    </row>
    <row r="1182" customFormat="false" ht="12.8" hidden="false" customHeight="false" outlineLevel="0" collapsed="false">
      <c r="C1182" s="335"/>
    </row>
    <row r="1183" customFormat="false" ht="12.8" hidden="false" customHeight="false" outlineLevel="0" collapsed="false">
      <c r="C1183" s="335"/>
    </row>
    <row r="1184" customFormat="false" ht="12.8" hidden="false" customHeight="false" outlineLevel="0" collapsed="false">
      <c r="C1184" s="335"/>
    </row>
    <row r="1185" customFormat="false" ht="12.8" hidden="false" customHeight="false" outlineLevel="0" collapsed="false">
      <c r="C1185" s="335"/>
    </row>
    <row r="1186" customFormat="false" ht="12.8" hidden="false" customHeight="false" outlineLevel="0" collapsed="false">
      <c r="C1186" s="335"/>
    </row>
    <row r="1187" customFormat="false" ht="12.8" hidden="false" customHeight="false" outlineLevel="0" collapsed="false">
      <c r="C1187" s="335"/>
    </row>
    <row r="1188" customFormat="false" ht="12.8" hidden="false" customHeight="false" outlineLevel="0" collapsed="false">
      <c r="C1188" s="335"/>
    </row>
    <row r="1189" customFormat="false" ht="12.8" hidden="false" customHeight="false" outlineLevel="0" collapsed="false">
      <c r="C1189" s="335"/>
    </row>
    <row r="1190" customFormat="false" ht="12.8" hidden="false" customHeight="false" outlineLevel="0" collapsed="false">
      <c r="C1190" s="335"/>
    </row>
    <row r="1191" customFormat="false" ht="12.8" hidden="false" customHeight="false" outlineLevel="0" collapsed="false">
      <c r="C1191" s="335"/>
    </row>
    <row r="1192" customFormat="false" ht="12.8" hidden="false" customHeight="false" outlineLevel="0" collapsed="false">
      <c r="C1192" s="335"/>
    </row>
    <row r="1193" customFormat="false" ht="12.8" hidden="false" customHeight="false" outlineLevel="0" collapsed="false">
      <c r="C1193" s="335"/>
    </row>
    <row r="1194" customFormat="false" ht="12.8" hidden="false" customHeight="false" outlineLevel="0" collapsed="false">
      <c r="C1194" s="335"/>
    </row>
    <row r="1195" customFormat="false" ht="12.8" hidden="false" customHeight="false" outlineLevel="0" collapsed="false">
      <c r="C1195" s="335"/>
    </row>
    <row r="1196" customFormat="false" ht="12.8" hidden="false" customHeight="false" outlineLevel="0" collapsed="false">
      <c r="C1196" s="335"/>
    </row>
    <row r="1197" customFormat="false" ht="12.8" hidden="false" customHeight="false" outlineLevel="0" collapsed="false">
      <c r="C1197" s="335"/>
    </row>
    <row r="1198" customFormat="false" ht="12.8" hidden="false" customHeight="false" outlineLevel="0" collapsed="false">
      <c r="C1198" s="335"/>
    </row>
    <row r="1199" customFormat="false" ht="12.8" hidden="false" customHeight="false" outlineLevel="0" collapsed="false">
      <c r="C1199" s="335"/>
    </row>
    <row r="1200" customFormat="false" ht="12.8" hidden="false" customHeight="false" outlineLevel="0" collapsed="false">
      <c r="C1200" s="335"/>
    </row>
    <row r="1201" customFormat="false" ht="12.8" hidden="false" customHeight="false" outlineLevel="0" collapsed="false">
      <c r="C1201" s="335"/>
    </row>
    <row r="1202" customFormat="false" ht="12.8" hidden="false" customHeight="false" outlineLevel="0" collapsed="false">
      <c r="C1202" s="335"/>
    </row>
    <row r="1203" customFormat="false" ht="12.8" hidden="false" customHeight="false" outlineLevel="0" collapsed="false">
      <c r="C1203" s="335"/>
    </row>
    <row r="1204" customFormat="false" ht="12.8" hidden="false" customHeight="false" outlineLevel="0" collapsed="false">
      <c r="C1204" s="335"/>
    </row>
    <row r="1205" customFormat="false" ht="12.8" hidden="false" customHeight="false" outlineLevel="0" collapsed="false">
      <c r="C1205" s="335"/>
    </row>
    <row r="1206" customFormat="false" ht="12.8" hidden="false" customHeight="false" outlineLevel="0" collapsed="false">
      <c r="C1206" s="335"/>
    </row>
    <row r="1207" customFormat="false" ht="12.8" hidden="false" customHeight="false" outlineLevel="0" collapsed="false">
      <c r="C1207" s="335"/>
    </row>
    <row r="1208" customFormat="false" ht="12.8" hidden="false" customHeight="false" outlineLevel="0" collapsed="false">
      <c r="C1208" s="335"/>
    </row>
    <row r="1209" customFormat="false" ht="12.8" hidden="false" customHeight="false" outlineLevel="0" collapsed="false">
      <c r="C1209" s="335"/>
    </row>
    <row r="1210" customFormat="false" ht="12.8" hidden="false" customHeight="false" outlineLevel="0" collapsed="false">
      <c r="C1210" s="335"/>
    </row>
    <row r="1211" customFormat="false" ht="12.8" hidden="false" customHeight="false" outlineLevel="0" collapsed="false">
      <c r="C1211" s="335"/>
    </row>
    <row r="1212" customFormat="false" ht="12.8" hidden="false" customHeight="false" outlineLevel="0" collapsed="false">
      <c r="C1212" s="335"/>
    </row>
    <row r="1213" customFormat="false" ht="12.8" hidden="false" customHeight="false" outlineLevel="0" collapsed="false">
      <c r="C1213" s="335"/>
    </row>
    <row r="1214" customFormat="false" ht="12.8" hidden="false" customHeight="false" outlineLevel="0" collapsed="false">
      <c r="C1214" s="335"/>
    </row>
    <row r="1215" customFormat="false" ht="12.8" hidden="false" customHeight="false" outlineLevel="0" collapsed="false">
      <c r="C1215" s="335"/>
    </row>
    <row r="1216" customFormat="false" ht="12.8" hidden="false" customHeight="false" outlineLevel="0" collapsed="false">
      <c r="C1216" s="335"/>
    </row>
    <row r="1217" customFormat="false" ht="12.8" hidden="false" customHeight="false" outlineLevel="0" collapsed="false">
      <c r="C1217" s="335"/>
    </row>
    <row r="1218" customFormat="false" ht="12.8" hidden="false" customHeight="false" outlineLevel="0" collapsed="false">
      <c r="C1218" s="335"/>
    </row>
    <row r="1219" customFormat="false" ht="12.8" hidden="false" customHeight="false" outlineLevel="0" collapsed="false">
      <c r="C1219" s="335"/>
    </row>
    <row r="1220" customFormat="false" ht="12.8" hidden="false" customHeight="false" outlineLevel="0" collapsed="false">
      <c r="C1220" s="335"/>
    </row>
    <row r="1221" customFormat="false" ht="12.8" hidden="false" customHeight="false" outlineLevel="0" collapsed="false">
      <c r="C1221" s="335"/>
    </row>
    <row r="1222" customFormat="false" ht="12.8" hidden="false" customHeight="false" outlineLevel="0" collapsed="false">
      <c r="C1222" s="335"/>
    </row>
    <row r="1223" customFormat="false" ht="12.8" hidden="false" customHeight="false" outlineLevel="0" collapsed="false">
      <c r="C1223" s="335"/>
    </row>
    <row r="1224" customFormat="false" ht="12.8" hidden="false" customHeight="false" outlineLevel="0" collapsed="false">
      <c r="C1224" s="335"/>
    </row>
    <row r="1225" customFormat="false" ht="12.8" hidden="false" customHeight="false" outlineLevel="0" collapsed="false">
      <c r="C1225" s="335"/>
    </row>
    <row r="1226" customFormat="false" ht="12.8" hidden="false" customHeight="false" outlineLevel="0" collapsed="false">
      <c r="C1226" s="335"/>
    </row>
    <row r="1227" customFormat="false" ht="12.8" hidden="false" customHeight="false" outlineLevel="0" collapsed="false">
      <c r="C1227" s="335"/>
    </row>
    <row r="1228" customFormat="false" ht="12.8" hidden="false" customHeight="false" outlineLevel="0" collapsed="false">
      <c r="C1228" s="335"/>
    </row>
    <row r="1229" customFormat="false" ht="12.8" hidden="false" customHeight="false" outlineLevel="0" collapsed="false">
      <c r="C1229" s="335"/>
    </row>
    <row r="1230" customFormat="false" ht="12.8" hidden="false" customHeight="false" outlineLevel="0" collapsed="false">
      <c r="C1230" s="335"/>
    </row>
    <row r="1231" customFormat="false" ht="12.8" hidden="false" customHeight="false" outlineLevel="0" collapsed="false">
      <c r="C1231" s="335"/>
    </row>
    <row r="1232" customFormat="false" ht="12.8" hidden="false" customHeight="false" outlineLevel="0" collapsed="false">
      <c r="C1232" s="335"/>
    </row>
    <row r="1233" customFormat="false" ht="12.8" hidden="false" customHeight="false" outlineLevel="0" collapsed="false">
      <c r="C1233" s="335"/>
    </row>
    <row r="1234" customFormat="false" ht="12.8" hidden="false" customHeight="false" outlineLevel="0" collapsed="false">
      <c r="C1234" s="335"/>
    </row>
    <row r="1235" customFormat="false" ht="12.8" hidden="false" customHeight="false" outlineLevel="0" collapsed="false">
      <c r="C1235" s="335"/>
    </row>
    <row r="1236" customFormat="false" ht="12.8" hidden="false" customHeight="false" outlineLevel="0" collapsed="false">
      <c r="C1236" s="335"/>
    </row>
    <row r="1237" customFormat="false" ht="12.8" hidden="false" customHeight="false" outlineLevel="0" collapsed="false">
      <c r="C1237" s="335"/>
    </row>
    <row r="1238" customFormat="false" ht="12.8" hidden="false" customHeight="false" outlineLevel="0" collapsed="false">
      <c r="C1238" s="335"/>
    </row>
    <row r="1239" customFormat="false" ht="12.8" hidden="false" customHeight="false" outlineLevel="0" collapsed="false">
      <c r="C1239" s="335"/>
    </row>
    <row r="1240" customFormat="false" ht="12.8" hidden="false" customHeight="false" outlineLevel="0" collapsed="false">
      <c r="C1240" s="335"/>
    </row>
    <row r="1241" customFormat="false" ht="12.8" hidden="false" customHeight="false" outlineLevel="0" collapsed="false">
      <c r="C1241" s="335"/>
    </row>
    <row r="1242" customFormat="false" ht="12.8" hidden="false" customHeight="false" outlineLevel="0" collapsed="false">
      <c r="C1242" s="335"/>
    </row>
    <row r="1243" customFormat="false" ht="12.8" hidden="false" customHeight="false" outlineLevel="0" collapsed="false">
      <c r="C1243" s="335"/>
    </row>
    <row r="1244" customFormat="false" ht="12.8" hidden="false" customHeight="false" outlineLevel="0" collapsed="false">
      <c r="C1244" s="335"/>
    </row>
    <row r="1245" customFormat="false" ht="12.8" hidden="false" customHeight="false" outlineLevel="0" collapsed="false">
      <c r="C1245" s="335"/>
    </row>
    <row r="1246" customFormat="false" ht="12.8" hidden="false" customHeight="false" outlineLevel="0" collapsed="false">
      <c r="C1246" s="335"/>
    </row>
    <row r="1247" customFormat="false" ht="12.8" hidden="false" customHeight="false" outlineLevel="0" collapsed="false">
      <c r="C1247" s="335"/>
    </row>
    <row r="1248" customFormat="false" ht="12.8" hidden="false" customHeight="false" outlineLevel="0" collapsed="false">
      <c r="C1248" s="335"/>
    </row>
    <row r="1249" customFormat="false" ht="12.8" hidden="false" customHeight="false" outlineLevel="0" collapsed="false">
      <c r="C1249" s="335"/>
    </row>
    <row r="1250" customFormat="false" ht="12.8" hidden="false" customHeight="false" outlineLevel="0" collapsed="false">
      <c r="C1250" s="335"/>
    </row>
    <row r="1251" customFormat="false" ht="12.8" hidden="false" customHeight="false" outlineLevel="0" collapsed="false">
      <c r="C1251" s="335"/>
    </row>
    <row r="1252" customFormat="false" ht="12.8" hidden="false" customHeight="false" outlineLevel="0" collapsed="false">
      <c r="C1252" s="335"/>
    </row>
    <row r="1253" customFormat="false" ht="12.8" hidden="false" customHeight="false" outlineLevel="0" collapsed="false">
      <c r="C1253" s="335"/>
    </row>
    <row r="1254" customFormat="false" ht="12.8" hidden="false" customHeight="false" outlineLevel="0" collapsed="false">
      <c r="C1254" s="335"/>
    </row>
    <row r="1255" customFormat="false" ht="12.8" hidden="false" customHeight="false" outlineLevel="0" collapsed="false">
      <c r="C1255" s="335"/>
    </row>
    <row r="1256" customFormat="false" ht="12.8" hidden="false" customHeight="false" outlineLevel="0" collapsed="false">
      <c r="C1256" s="335"/>
    </row>
    <row r="1257" customFormat="false" ht="12.8" hidden="false" customHeight="false" outlineLevel="0" collapsed="false">
      <c r="C1257" s="335"/>
    </row>
    <row r="1258" customFormat="false" ht="12.8" hidden="false" customHeight="false" outlineLevel="0" collapsed="false">
      <c r="C1258" s="335"/>
    </row>
    <row r="1259" customFormat="false" ht="12.8" hidden="false" customHeight="false" outlineLevel="0" collapsed="false">
      <c r="C1259" s="335"/>
    </row>
    <row r="1260" customFormat="false" ht="12.8" hidden="false" customHeight="false" outlineLevel="0" collapsed="false">
      <c r="C1260" s="335"/>
    </row>
    <row r="1261" customFormat="false" ht="12.8" hidden="false" customHeight="false" outlineLevel="0" collapsed="false">
      <c r="C1261" s="335"/>
    </row>
    <row r="1262" customFormat="false" ht="12.8" hidden="false" customHeight="false" outlineLevel="0" collapsed="false">
      <c r="C1262" s="335"/>
    </row>
    <row r="1263" customFormat="false" ht="12.8" hidden="false" customHeight="false" outlineLevel="0" collapsed="false">
      <c r="C1263" s="335"/>
    </row>
    <row r="1264" customFormat="false" ht="12.8" hidden="false" customHeight="false" outlineLevel="0" collapsed="false">
      <c r="C1264" s="335"/>
    </row>
    <row r="1265" customFormat="false" ht="12.8" hidden="false" customHeight="false" outlineLevel="0" collapsed="false">
      <c r="C1265" s="335"/>
    </row>
    <row r="1266" customFormat="false" ht="12.8" hidden="false" customHeight="false" outlineLevel="0" collapsed="false">
      <c r="C1266" s="335"/>
    </row>
    <row r="1267" customFormat="false" ht="12.8" hidden="false" customHeight="false" outlineLevel="0" collapsed="false">
      <c r="C1267" s="335"/>
    </row>
    <row r="1268" customFormat="false" ht="12.8" hidden="false" customHeight="false" outlineLevel="0" collapsed="false">
      <c r="C1268" s="335"/>
    </row>
    <row r="1269" customFormat="false" ht="12.8" hidden="false" customHeight="false" outlineLevel="0" collapsed="false">
      <c r="C1269" s="335"/>
    </row>
    <row r="1270" customFormat="false" ht="12.8" hidden="false" customHeight="false" outlineLevel="0" collapsed="false">
      <c r="C1270" s="335"/>
    </row>
    <row r="1271" customFormat="false" ht="12.8" hidden="false" customHeight="false" outlineLevel="0" collapsed="false">
      <c r="C1271" s="335"/>
    </row>
    <row r="1272" customFormat="false" ht="12.8" hidden="false" customHeight="false" outlineLevel="0" collapsed="false">
      <c r="C1272" s="335"/>
    </row>
    <row r="1273" customFormat="false" ht="12.8" hidden="false" customHeight="false" outlineLevel="0" collapsed="false">
      <c r="C1273" s="335"/>
    </row>
    <row r="1274" customFormat="false" ht="12.8" hidden="false" customHeight="false" outlineLevel="0" collapsed="false">
      <c r="C1274" s="335"/>
    </row>
    <row r="1275" customFormat="false" ht="12.8" hidden="false" customHeight="false" outlineLevel="0" collapsed="false">
      <c r="C1275" s="335"/>
    </row>
    <row r="1276" customFormat="false" ht="12.8" hidden="false" customHeight="false" outlineLevel="0" collapsed="false">
      <c r="C1276" s="335"/>
    </row>
    <row r="1277" customFormat="false" ht="12.8" hidden="false" customHeight="false" outlineLevel="0" collapsed="false">
      <c r="C1277" s="335"/>
    </row>
    <row r="1278" customFormat="false" ht="12.8" hidden="false" customHeight="false" outlineLevel="0" collapsed="false">
      <c r="C1278" s="335"/>
    </row>
    <row r="1279" customFormat="false" ht="12.8" hidden="false" customHeight="false" outlineLevel="0" collapsed="false">
      <c r="C1279" s="335"/>
    </row>
    <row r="1280" customFormat="false" ht="12.8" hidden="false" customHeight="false" outlineLevel="0" collapsed="false">
      <c r="C1280" s="335"/>
    </row>
    <row r="1281" customFormat="false" ht="12.8" hidden="false" customHeight="false" outlineLevel="0" collapsed="false">
      <c r="C1281" s="335"/>
    </row>
    <row r="1282" customFormat="false" ht="12.8" hidden="false" customHeight="false" outlineLevel="0" collapsed="false">
      <c r="C1282" s="335"/>
    </row>
    <row r="1283" customFormat="false" ht="12.8" hidden="false" customHeight="false" outlineLevel="0" collapsed="false">
      <c r="C1283" s="335"/>
    </row>
    <row r="1284" customFormat="false" ht="12.8" hidden="false" customHeight="false" outlineLevel="0" collapsed="false">
      <c r="C1284" s="335"/>
    </row>
    <row r="1285" customFormat="false" ht="12.8" hidden="false" customHeight="false" outlineLevel="0" collapsed="false">
      <c r="C1285" s="335"/>
    </row>
    <row r="1286" customFormat="false" ht="12.8" hidden="false" customHeight="false" outlineLevel="0" collapsed="false">
      <c r="C1286" s="335"/>
    </row>
    <row r="1287" customFormat="false" ht="12.8" hidden="false" customHeight="false" outlineLevel="0" collapsed="false">
      <c r="C1287" s="335"/>
    </row>
    <row r="1288" customFormat="false" ht="12.8" hidden="false" customHeight="false" outlineLevel="0" collapsed="false">
      <c r="C1288" s="335"/>
    </row>
    <row r="1289" customFormat="false" ht="12.8" hidden="false" customHeight="false" outlineLevel="0" collapsed="false">
      <c r="C1289" s="335"/>
    </row>
    <row r="1290" customFormat="false" ht="12.8" hidden="false" customHeight="false" outlineLevel="0" collapsed="false">
      <c r="C1290" s="335"/>
    </row>
    <row r="1291" customFormat="false" ht="12.8" hidden="false" customHeight="false" outlineLevel="0" collapsed="false">
      <c r="C1291" s="335"/>
    </row>
    <row r="1292" customFormat="false" ht="12.8" hidden="false" customHeight="false" outlineLevel="0" collapsed="false">
      <c r="C1292" s="335"/>
    </row>
    <row r="1293" customFormat="false" ht="12.8" hidden="false" customHeight="false" outlineLevel="0" collapsed="false">
      <c r="C1293" s="335"/>
    </row>
    <row r="1294" customFormat="false" ht="12.8" hidden="false" customHeight="false" outlineLevel="0" collapsed="false">
      <c r="C1294" s="335"/>
    </row>
    <row r="1295" customFormat="false" ht="12.8" hidden="false" customHeight="false" outlineLevel="0" collapsed="false">
      <c r="C1295" s="335"/>
    </row>
    <row r="1296" customFormat="false" ht="12.8" hidden="false" customHeight="false" outlineLevel="0" collapsed="false">
      <c r="C1296" s="335"/>
    </row>
    <row r="1297" customFormat="false" ht="12.8" hidden="false" customHeight="false" outlineLevel="0" collapsed="false">
      <c r="C1297" s="335"/>
    </row>
    <row r="1298" customFormat="false" ht="12.8" hidden="false" customHeight="false" outlineLevel="0" collapsed="false">
      <c r="C1298" s="335"/>
    </row>
    <row r="1299" customFormat="false" ht="12.8" hidden="false" customHeight="false" outlineLevel="0" collapsed="false">
      <c r="C1299" s="335"/>
    </row>
    <row r="1300" customFormat="false" ht="12.8" hidden="false" customHeight="false" outlineLevel="0" collapsed="false">
      <c r="C1300" s="335"/>
    </row>
    <row r="1301" customFormat="false" ht="12.8" hidden="false" customHeight="false" outlineLevel="0" collapsed="false">
      <c r="C1301" s="335"/>
    </row>
    <row r="1302" customFormat="false" ht="12.8" hidden="false" customHeight="false" outlineLevel="0" collapsed="false">
      <c r="C1302" s="335"/>
    </row>
    <row r="1303" customFormat="false" ht="12.8" hidden="false" customHeight="false" outlineLevel="0" collapsed="false">
      <c r="C1303" s="335"/>
    </row>
    <row r="1304" customFormat="false" ht="12.8" hidden="false" customHeight="false" outlineLevel="0" collapsed="false">
      <c r="C1304" s="335"/>
    </row>
    <row r="1305" customFormat="false" ht="12.8" hidden="false" customHeight="false" outlineLevel="0" collapsed="false">
      <c r="C1305" s="335"/>
    </row>
    <row r="1306" customFormat="false" ht="12.8" hidden="false" customHeight="false" outlineLevel="0" collapsed="false">
      <c r="C1306" s="335"/>
    </row>
    <row r="1307" customFormat="false" ht="12.8" hidden="false" customHeight="false" outlineLevel="0" collapsed="false">
      <c r="C1307" s="335"/>
    </row>
    <row r="1308" customFormat="false" ht="12.8" hidden="false" customHeight="false" outlineLevel="0" collapsed="false">
      <c r="C1308" s="335"/>
    </row>
    <row r="1309" customFormat="false" ht="12.8" hidden="false" customHeight="false" outlineLevel="0" collapsed="false">
      <c r="C1309" s="335"/>
    </row>
    <row r="1310" customFormat="false" ht="12.8" hidden="false" customHeight="false" outlineLevel="0" collapsed="false">
      <c r="C1310" s="335"/>
    </row>
    <row r="1311" customFormat="false" ht="12.8" hidden="false" customHeight="false" outlineLevel="0" collapsed="false">
      <c r="C1311" s="335"/>
    </row>
    <row r="1312" customFormat="false" ht="12.8" hidden="false" customHeight="false" outlineLevel="0" collapsed="false">
      <c r="C1312" s="335"/>
    </row>
    <row r="1313" customFormat="false" ht="12.8" hidden="false" customHeight="false" outlineLevel="0" collapsed="false">
      <c r="C1313" s="335"/>
    </row>
    <row r="1314" customFormat="false" ht="12.8" hidden="false" customHeight="false" outlineLevel="0" collapsed="false">
      <c r="C1314" s="335"/>
    </row>
    <row r="1315" customFormat="false" ht="12.8" hidden="false" customHeight="false" outlineLevel="0" collapsed="false">
      <c r="C1315" s="335"/>
    </row>
    <row r="1316" customFormat="false" ht="12.8" hidden="false" customHeight="false" outlineLevel="0" collapsed="false">
      <c r="C1316" s="335"/>
    </row>
    <row r="1317" customFormat="false" ht="12.8" hidden="false" customHeight="false" outlineLevel="0" collapsed="false">
      <c r="C1317" s="335"/>
    </row>
    <row r="1318" customFormat="false" ht="12.8" hidden="false" customHeight="false" outlineLevel="0" collapsed="false">
      <c r="C1318" s="335"/>
    </row>
    <row r="1319" customFormat="false" ht="12.8" hidden="false" customHeight="false" outlineLevel="0" collapsed="false">
      <c r="C1319" s="335"/>
    </row>
    <row r="1320" customFormat="false" ht="12.8" hidden="false" customHeight="false" outlineLevel="0" collapsed="false">
      <c r="C1320" s="335"/>
    </row>
    <row r="1321" customFormat="false" ht="12.8" hidden="false" customHeight="false" outlineLevel="0" collapsed="false">
      <c r="C1321" s="335"/>
    </row>
    <row r="1322" customFormat="false" ht="12.8" hidden="false" customHeight="false" outlineLevel="0" collapsed="false">
      <c r="C1322" s="335"/>
    </row>
    <row r="1323" customFormat="false" ht="12.8" hidden="false" customHeight="false" outlineLevel="0" collapsed="false">
      <c r="C1323" s="335"/>
    </row>
    <row r="1324" customFormat="false" ht="12.8" hidden="false" customHeight="false" outlineLevel="0" collapsed="false">
      <c r="C1324" s="335"/>
    </row>
    <row r="1325" customFormat="false" ht="12.8" hidden="false" customHeight="false" outlineLevel="0" collapsed="false">
      <c r="C1325" s="335"/>
    </row>
    <row r="1326" customFormat="false" ht="12.8" hidden="false" customHeight="false" outlineLevel="0" collapsed="false">
      <c r="C1326" s="335"/>
    </row>
    <row r="1327" customFormat="false" ht="12.8" hidden="false" customHeight="false" outlineLevel="0" collapsed="false">
      <c r="C1327" s="335"/>
    </row>
    <row r="1328" customFormat="false" ht="12.8" hidden="false" customHeight="false" outlineLevel="0" collapsed="false">
      <c r="C1328" s="335"/>
    </row>
    <row r="1329" customFormat="false" ht="12.8" hidden="false" customHeight="false" outlineLevel="0" collapsed="false">
      <c r="C1329" s="335"/>
    </row>
    <row r="1330" customFormat="false" ht="12.8" hidden="false" customHeight="false" outlineLevel="0" collapsed="false">
      <c r="C1330" s="335"/>
    </row>
    <row r="1331" customFormat="false" ht="12.8" hidden="false" customHeight="false" outlineLevel="0" collapsed="false">
      <c r="C1331" s="335"/>
    </row>
    <row r="1332" customFormat="false" ht="12.8" hidden="false" customHeight="false" outlineLevel="0" collapsed="false">
      <c r="C1332" s="335"/>
    </row>
    <row r="1333" customFormat="false" ht="12.8" hidden="false" customHeight="false" outlineLevel="0" collapsed="false">
      <c r="C1333" s="335"/>
    </row>
    <row r="1334" customFormat="false" ht="12.8" hidden="false" customHeight="false" outlineLevel="0" collapsed="false">
      <c r="C1334" s="335"/>
    </row>
    <row r="1335" customFormat="false" ht="12.8" hidden="false" customHeight="false" outlineLevel="0" collapsed="false">
      <c r="C1335" s="335"/>
    </row>
    <row r="1336" customFormat="false" ht="12.8" hidden="false" customHeight="false" outlineLevel="0" collapsed="false">
      <c r="C1336" s="335"/>
    </row>
    <row r="1337" customFormat="false" ht="12.8" hidden="false" customHeight="false" outlineLevel="0" collapsed="false">
      <c r="C1337" s="335"/>
    </row>
    <row r="1338" customFormat="false" ht="12.8" hidden="false" customHeight="false" outlineLevel="0" collapsed="false">
      <c r="C1338" s="335"/>
    </row>
    <row r="1339" customFormat="false" ht="12.8" hidden="false" customHeight="false" outlineLevel="0" collapsed="false">
      <c r="C1339" s="335"/>
    </row>
    <row r="1340" customFormat="false" ht="12.8" hidden="false" customHeight="false" outlineLevel="0" collapsed="false">
      <c r="C1340" s="335"/>
    </row>
    <row r="1341" customFormat="false" ht="12.8" hidden="false" customHeight="false" outlineLevel="0" collapsed="false">
      <c r="C1341" s="335"/>
    </row>
    <row r="1342" customFormat="false" ht="12.8" hidden="false" customHeight="false" outlineLevel="0" collapsed="false">
      <c r="C1342" s="335"/>
    </row>
    <row r="1343" customFormat="false" ht="12.8" hidden="false" customHeight="false" outlineLevel="0" collapsed="false">
      <c r="C1343" s="335"/>
    </row>
    <row r="1344" customFormat="false" ht="12.8" hidden="false" customHeight="false" outlineLevel="0" collapsed="false">
      <c r="C1344" s="335"/>
    </row>
    <row r="1345" customFormat="false" ht="12.8" hidden="false" customHeight="false" outlineLevel="0" collapsed="false">
      <c r="C1345" s="335"/>
    </row>
    <row r="1346" customFormat="false" ht="12.8" hidden="false" customHeight="false" outlineLevel="0" collapsed="false">
      <c r="C1346" s="335"/>
    </row>
    <row r="1347" customFormat="false" ht="12.8" hidden="false" customHeight="false" outlineLevel="0" collapsed="false">
      <c r="C1347" s="335"/>
    </row>
    <row r="1348" customFormat="false" ht="12.8" hidden="false" customHeight="false" outlineLevel="0" collapsed="false">
      <c r="C1348" s="335"/>
    </row>
    <row r="1349" customFormat="false" ht="12.8" hidden="false" customHeight="false" outlineLevel="0" collapsed="false">
      <c r="C1349" s="335"/>
    </row>
    <row r="1350" customFormat="false" ht="12.8" hidden="false" customHeight="false" outlineLevel="0" collapsed="false">
      <c r="C1350" s="335"/>
    </row>
    <row r="1351" customFormat="false" ht="12.8" hidden="false" customHeight="false" outlineLevel="0" collapsed="false">
      <c r="C1351" s="335"/>
    </row>
    <row r="1352" customFormat="false" ht="12.8" hidden="false" customHeight="false" outlineLevel="0" collapsed="false">
      <c r="C1352" s="335"/>
    </row>
    <row r="1353" customFormat="false" ht="12.8" hidden="false" customHeight="false" outlineLevel="0" collapsed="false">
      <c r="C1353" s="335"/>
    </row>
    <row r="1354" customFormat="false" ht="12.8" hidden="false" customHeight="false" outlineLevel="0" collapsed="false">
      <c r="C1354" s="335"/>
    </row>
    <row r="1355" customFormat="false" ht="12.8" hidden="false" customHeight="false" outlineLevel="0" collapsed="false">
      <c r="C1355" s="335"/>
    </row>
    <row r="1356" customFormat="false" ht="12.8" hidden="false" customHeight="false" outlineLevel="0" collapsed="false">
      <c r="C1356" s="335"/>
    </row>
    <row r="1357" customFormat="false" ht="12.8" hidden="false" customHeight="false" outlineLevel="0" collapsed="false">
      <c r="C1357" s="335"/>
    </row>
    <row r="1358" customFormat="false" ht="12.8" hidden="false" customHeight="false" outlineLevel="0" collapsed="false">
      <c r="C1358" s="335"/>
    </row>
    <row r="1359" customFormat="false" ht="12.8" hidden="false" customHeight="false" outlineLevel="0" collapsed="false">
      <c r="C1359" s="335"/>
    </row>
    <row r="1360" customFormat="false" ht="12.8" hidden="false" customHeight="false" outlineLevel="0" collapsed="false">
      <c r="C1360" s="335"/>
    </row>
    <row r="1361" customFormat="false" ht="12.8" hidden="false" customHeight="false" outlineLevel="0" collapsed="false">
      <c r="C1361" s="335"/>
    </row>
    <row r="1362" customFormat="false" ht="12.8" hidden="false" customHeight="false" outlineLevel="0" collapsed="false">
      <c r="C1362" s="335"/>
    </row>
    <row r="1363" customFormat="false" ht="12.8" hidden="false" customHeight="false" outlineLevel="0" collapsed="false">
      <c r="C1363" s="335"/>
    </row>
    <row r="1364" customFormat="false" ht="12.8" hidden="false" customHeight="false" outlineLevel="0" collapsed="false">
      <c r="C1364" s="335"/>
    </row>
    <row r="1365" customFormat="false" ht="12.8" hidden="false" customHeight="false" outlineLevel="0" collapsed="false">
      <c r="C1365" s="335"/>
    </row>
    <row r="1366" customFormat="false" ht="12.8" hidden="false" customHeight="false" outlineLevel="0" collapsed="false">
      <c r="C1366" s="335"/>
    </row>
    <row r="1367" customFormat="false" ht="12.8" hidden="false" customHeight="false" outlineLevel="0" collapsed="false">
      <c r="C1367" s="335"/>
    </row>
    <row r="1368" customFormat="false" ht="12.8" hidden="false" customHeight="false" outlineLevel="0" collapsed="false">
      <c r="C1368" s="335"/>
    </row>
    <row r="1369" customFormat="false" ht="12.8" hidden="false" customHeight="false" outlineLevel="0" collapsed="false">
      <c r="C1369" s="335"/>
    </row>
    <row r="1370" customFormat="false" ht="12.8" hidden="false" customHeight="false" outlineLevel="0" collapsed="false">
      <c r="C1370" s="335"/>
    </row>
    <row r="1371" customFormat="false" ht="12.8" hidden="false" customHeight="false" outlineLevel="0" collapsed="false">
      <c r="C1371" s="335"/>
    </row>
    <row r="1372" customFormat="false" ht="12.8" hidden="false" customHeight="false" outlineLevel="0" collapsed="false">
      <c r="C1372" s="335"/>
    </row>
    <row r="1373" customFormat="false" ht="12.8" hidden="false" customHeight="false" outlineLevel="0" collapsed="false">
      <c r="C1373" s="335"/>
    </row>
    <row r="1374" customFormat="false" ht="12.8" hidden="false" customHeight="false" outlineLevel="0" collapsed="false">
      <c r="C1374" s="335"/>
    </row>
    <row r="1375" customFormat="false" ht="12.8" hidden="false" customHeight="false" outlineLevel="0" collapsed="false">
      <c r="C1375" s="335"/>
    </row>
    <row r="1376" customFormat="false" ht="12.8" hidden="false" customHeight="false" outlineLevel="0" collapsed="false">
      <c r="C1376" s="335"/>
    </row>
    <row r="1377" customFormat="false" ht="12.8" hidden="false" customHeight="false" outlineLevel="0" collapsed="false">
      <c r="C1377" s="335"/>
    </row>
    <row r="1378" customFormat="false" ht="12.8" hidden="false" customHeight="false" outlineLevel="0" collapsed="false">
      <c r="C1378" s="335"/>
    </row>
    <row r="1379" customFormat="false" ht="12.8" hidden="false" customHeight="false" outlineLevel="0" collapsed="false">
      <c r="C1379" s="335"/>
    </row>
    <row r="1380" customFormat="false" ht="12.8" hidden="false" customHeight="false" outlineLevel="0" collapsed="false">
      <c r="C1380" s="335"/>
    </row>
    <row r="1381" customFormat="false" ht="12.8" hidden="false" customHeight="false" outlineLevel="0" collapsed="false">
      <c r="C1381" s="335"/>
    </row>
    <row r="1382" customFormat="false" ht="12.8" hidden="false" customHeight="false" outlineLevel="0" collapsed="false">
      <c r="C1382" s="335"/>
    </row>
    <row r="1383" customFormat="false" ht="12.8" hidden="false" customHeight="false" outlineLevel="0" collapsed="false">
      <c r="C1383" s="335"/>
    </row>
    <row r="1384" customFormat="false" ht="12.8" hidden="false" customHeight="false" outlineLevel="0" collapsed="false">
      <c r="C1384" s="335"/>
    </row>
    <row r="1385" customFormat="false" ht="12.8" hidden="false" customHeight="false" outlineLevel="0" collapsed="false">
      <c r="C1385" s="335"/>
    </row>
    <row r="1386" customFormat="false" ht="12.8" hidden="false" customHeight="false" outlineLevel="0" collapsed="false">
      <c r="C1386" s="335"/>
    </row>
    <row r="1387" customFormat="false" ht="12.8" hidden="false" customHeight="false" outlineLevel="0" collapsed="false">
      <c r="C1387" s="335"/>
    </row>
    <row r="1388" customFormat="false" ht="12.8" hidden="false" customHeight="false" outlineLevel="0" collapsed="false">
      <c r="C1388" s="335"/>
    </row>
    <row r="1389" customFormat="false" ht="12.8" hidden="false" customHeight="false" outlineLevel="0" collapsed="false">
      <c r="C1389" s="335"/>
    </row>
    <row r="1390" customFormat="false" ht="12.8" hidden="false" customHeight="false" outlineLevel="0" collapsed="false">
      <c r="C1390" s="335"/>
    </row>
    <row r="1391" customFormat="false" ht="12.8" hidden="false" customHeight="false" outlineLevel="0" collapsed="false">
      <c r="C1391" s="335"/>
    </row>
    <row r="1392" customFormat="false" ht="12.8" hidden="false" customHeight="false" outlineLevel="0" collapsed="false">
      <c r="C1392" s="335"/>
    </row>
    <row r="1393" customFormat="false" ht="12.8" hidden="false" customHeight="false" outlineLevel="0" collapsed="false">
      <c r="C1393" s="335"/>
    </row>
    <row r="1394" customFormat="false" ht="12.8" hidden="false" customHeight="false" outlineLevel="0" collapsed="false">
      <c r="C1394" s="335"/>
    </row>
    <row r="1395" customFormat="false" ht="12.8" hidden="false" customHeight="false" outlineLevel="0" collapsed="false">
      <c r="C1395" s="335"/>
    </row>
    <row r="1396" customFormat="false" ht="12.8" hidden="false" customHeight="false" outlineLevel="0" collapsed="false">
      <c r="C1396" s="335"/>
    </row>
    <row r="1397" customFormat="false" ht="12.8" hidden="false" customHeight="false" outlineLevel="0" collapsed="false">
      <c r="C1397" s="335"/>
    </row>
    <row r="1398" customFormat="false" ht="12.8" hidden="false" customHeight="false" outlineLevel="0" collapsed="false">
      <c r="C1398" s="335"/>
    </row>
    <row r="1399" customFormat="false" ht="12.8" hidden="false" customHeight="false" outlineLevel="0" collapsed="false">
      <c r="C1399" s="335"/>
    </row>
    <row r="1400" customFormat="false" ht="12.8" hidden="false" customHeight="false" outlineLevel="0" collapsed="false">
      <c r="C1400" s="335"/>
    </row>
    <row r="1401" customFormat="false" ht="12.8" hidden="false" customHeight="false" outlineLevel="0" collapsed="false">
      <c r="C1401" s="335"/>
    </row>
    <row r="1402" customFormat="false" ht="12.8" hidden="false" customHeight="false" outlineLevel="0" collapsed="false">
      <c r="C1402" s="335"/>
    </row>
    <row r="1403" customFormat="false" ht="12.8" hidden="false" customHeight="false" outlineLevel="0" collapsed="false">
      <c r="C1403" s="335"/>
    </row>
    <row r="1404" customFormat="false" ht="12.8" hidden="false" customHeight="false" outlineLevel="0" collapsed="false">
      <c r="C1404" s="335"/>
    </row>
    <row r="1405" customFormat="false" ht="12.8" hidden="false" customHeight="false" outlineLevel="0" collapsed="false">
      <c r="C1405" s="335"/>
    </row>
    <row r="1406" customFormat="false" ht="12.8" hidden="false" customHeight="false" outlineLevel="0" collapsed="false">
      <c r="C1406" s="335"/>
    </row>
    <row r="1407" customFormat="false" ht="12.8" hidden="false" customHeight="false" outlineLevel="0" collapsed="false">
      <c r="C1407" s="335"/>
    </row>
    <row r="1408" customFormat="false" ht="12.8" hidden="false" customHeight="false" outlineLevel="0" collapsed="false">
      <c r="C1408" s="335"/>
    </row>
    <row r="1409" customFormat="false" ht="12.8" hidden="false" customHeight="false" outlineLevel="0" collapsed="false">
      <c r="C1409" s="335"/>
    </row>
    <row r="1410" customFormat="false" ht="12.8" hidden="false" customHeight="false" outlineLevel="0" collapsed="false">
      <c r="C1410" s="335"/>
    </row>
    <row r="1411" customFormat="false" ht="12.8" hidden="false" customHeight="false" outlineLevel="0" collapsed="false">
      <c r="C1411" s="335"/>
    </row>
    <row r="1412" customFormat="false" ht="12.8" hidden="false" customHeight="false" outlineLevel="0" collapsed="false">
      <c r="C1412" s="335"/>
    </row>
    <row r="1413" customFormat="false" ht="12.8" hidden="false" customHeight="false" outlineLevel="0" collapsed="false">
      <c r="C1413" s="335"/>
    </row>
    <row r="1414" customFormat="false" ht="12.8" hidden="false" customHeight="false" outlineLevel="0" collapsed="false">
      <c r="C1414" s="335"/>
    </row>
    <row r="1415" customFormat="false" ht="12.8" hidden="false" customHeight="false" outlineLevel="0" collapsed="false">
      <c r="C1415" s="335"/>
    </row>
    <row r="1416" customFormat="false" ht="12.8" hidden="false" customHeight="false" outlineLevel="0" collapsed="false">
      <c r="C1416" s="335"/>
    </row>
    <row r="1417" customFormat="false" ht="12.8" hidden="false" customHeight="false" outlineLevel="0" collapsed="false">
      <c r="C1417" s="335"/>
    </row>
    <row r="1418" customFormat="false" ht="12.8" hidden="false" customHeight="false" outlineLevel="0" collapsed="false">
      <c r="C1418" s="335"/>
    </row>
    <row r="1419" customFormat="false" ht="12.8" hidden="false" customHeight="false" outlineLevel="0" collapsed="false">
      <c r="C1419" s="335"/>
    </row>
    <row r="1420" customFormat="false" ht="12.8" hidden="false" customHeight="false" outlineLevel="0" collapsed="false">
      <c r="C1420" s="335"/>
    </row>
    <row r="1421" customFormat="false" ht="12.8" hidden="false" customHeight="false" outlineLevel="0" collapsed="false">
      <c r="C1421" s="335"/>
    </row>
    <row r="1422" customFormat="false" ht="12.8" hidden="false" customHeight="false" outlineLevel="0" collapsed="false">
      <c r="C1422" s="335"/>
    </row>
    <row r="1423" customFormat="false" ht="12.8" hidden="false" customHeight="false" outlineLevel="0" collapsed="false">
      <c r="C1423" s="335"/>
    </row>
    <row r="1424" customFormat="false" ht="12.8" hidden="false" customHeight="false" outlineLevel="0" collapsed="false">
      <c r="C1424" s="335"/>
    </row>
    <row r="1425" customFormat="false" ht="12.8" hidden="false" customHeight="false" outlineLevel="0" collapsed="false">
      <c r="C1425" s="335"/>
    </row>
    <row r="1426" customFormat="false" ht="12.8" hidden="false" customHeight="false" outlineLevel="0" collapsed="false">
      <c r="C1426" s="335"/>
    </row>
    <row r="1427" customFormat="false" ht="12.8" hidden="false" customHeight="false" outlineLevel="0" collapsed="false">
      <c r="C1427" s="335"/>
    </row>
    <row r="1428" customFormat="false" ht="12.8" hidden="false" customHeight="false" outlineLevel="0" collapsed="false">
      <c r="C1428" s="335"/>
    </row>
    <row r="1429" customFormat="false" ht="12.8" hidden="false" customHeight="false" outlineLevel="0" collapsed="false">
      <c r="C1429" s="335"/>
    </row>
    <row r="1430" customFormat="false" ht="12.8" hidden="false" customHeight="false" outlineLevel="0" collapsed="false">
      <c r="C1430" s="335"/>
    </row>
    <row r="1431" customFormat="false" ht="12.8" hidden="false" customHeight="false" outlineLevel="0" collapsed="false">
      <c r="C1431" s="335"/>
    </row>
    <row r="1432" customFormat="false" ht="12.8" hidden="false" customHeight="false" outlineLevel="0" collapsed="false">
      <c r="C1432" s="335"/>
    </row>
    <row r="1433" customFormat="false" ht="12.8" hidden="false" customHeight="false" outlineLevel="0" collapsed="false">
      <c r="C1433" s="335"/>
    </row>
    <row r="1434" customFormat="false" ht="12.8" hidden="false" customHeight="false" outlineLevel="0" collapsed="false">
      <c r="C1434" s="335"/>
    </row>
    <row r="1435" customFormat="false" ht="12.8" hidden="false" customHeight="false" outlineLevel="0" collapsed="false">
      <c r="C1435" s="335"/>
    </row>
    <row r="1436" customFormat="false" ht="12.8" hidden="false" customHeight="false" outlineLevel="0" collapsed="false">
      <c r="C1436" s="335"/>
    </row>
    <row r="1437" customFormat="false" ht="12.8" hidden="false" customHeight="false" outlineLevel="0" collapsed="false">
      <c r="C1437" s="335"/>
    </row>
    <row r="1438" customFormat="false" ht="12.8" hidden="false" customHeight="false" outlineLevel="0" collapsed="false">
      <c r="C1438" s="335"/>
    </row>
    <row r="1439" customFormat="false" ht="12.8" hidden="false" customHeight="false" outlineLevel="0" collapsed="false">
      <c r="C1439" s="335"/>
    </row>
    <row r="1440" customFormat="false" ht="12.8" hidden="false" customHeight="false" outlineLevel="0" collapsed="false">
      <c r="C1440" s="335"/>
    </row>
    <row r="1441" customFormat="false" ht="12.8" hidden="false" customHeight="false" outlineLevel="0" collapsed="false">
      <c r="C1441" s="335"/>
    </row>
    <row r="1442" customFormat="false" ht="12.8" hidden="false" customHeight="false" outlineLevel="0" collapsed="false">
      <c r="C1442" s="335"/>
    </row>
    <row r="1443" customFormat="false" ht="12.8" hidden="false" customHeight="false" outlineLevel="0" collapsed="false">
      <c r="C1443" s="335"/>
    </row>
    <row r="1444" customFormat="false" ht="12.8" hidden="false" customHeight="false" outlineLevel="0" collapsed="false">
      <c r="C1444" s="335"/>
    </row>
    <row r="1445" customFormat="false" ht="12.8" hidden="false" customHeight="false" outlineLevel="0" collapsed="false">
      <c r="C1445" s="335"/>
    </row>
    <row r="1446" customFormat="false" ht="12.8" hidden="false" customHeight="false" outlineLevel="0" collapsed="false">
      <c r="C1446" s="335"/>
    </row>
    <row r="1447" customFormat="false" ht="12.8" hidden="false" customHeight="false" outlineLevel="0" collapsed="false">
      <c r="C1447" s="335"/>
    </row>
    <row r="1448" customFormat="false" ht="12.8" hidden="false" customHeight="false" outlineLevel="0" collapsed="false">
      <c r="C1448" s="335"/>
    </row>
    <row r="1449" customFormat="false" ht="12.8" hidden="false" customHeight="false" outlineLevel="0" collapsed="false">
      <c r="C1449" s="335"/>
    </row>
    <row r="1450" customFormat="false" ht="12.8" hidden="false" customHeight="false" outlineLevel="0" collapsed="false">
      <c r="C1450" s="335"/>
    </row>
    <row r="1451" customFormat="false" ht="12.8" hidden="false" customHeight="false" outlineLevel="0" collapsed="false">
      <c r="C1451" s="335"/>
    </row>
    <row r="1452" customFormat="false" ht="12.8" hidden="false" customHeight="false" outlineLevel="0" collapsed="false">
      <c r="C1452" s="335"/>
    </row>
    <row r="1453" customFormat="false" ht="12.8" hidden="false" customHeight="false" outlineLevel="0" collapsed="false">
      <c r="C1453" s="335"/>
    </row>
    <row r="1454" customFormat="false" ht="12.8" hidden="false" customHeight="false" outlineLevel="0" collapsed="false">
      <c r="C1454" s="335"/>
    </row>
    <row r="1455" customFormat="false" ht="12.8" hidden="false" customHeight="false" outlineLevel="0" collapsed="false">
      <c r="C1455" s="335"/>
    </row>
    <row r="1456" customFormat="false" ht="12.8" hidden="false" customHeight="false" outlineLevel="0" collapsed="false">
      <c r="C1456" s="335"/>
    </row>
  </sheetData>
  <autoFilter ref="E:E"/>
  <mergeCells count="1">
    <mergeCell ref="F4:J4"/>
  </mergeCells>
  <conditionalFormatting sqref="G479:G481 G180:G351 G7:G176 G353:G432 G435:G439 G441:G446 G450:G47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6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502" activeCellId="0" sqref="I50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115" width="61.45"/>
    <col collapsed="false" customWidth="true" hidden="false" outlineLevel="0" max="3" min="3" style="0" width="14.23"/>
    <col collapsed="false" customWidth="true" hidden="false" outlineLevel="0" max="4" min="4" style="590" width="11.52"/>
    <col collapsed="false" customWidth="true" hidden="false" outlineLevel="0" max="5" min="5" style="744" width="16.53"/>
  </cols>
  <sheetData>
    <row r="1" customFormat="false" ht="12.8" hidden="false" customHeight="false" outlineLevel="0" collapsed="false">
      <c r="B1" s="745" t="s">
        <v>0</v>
      </c>
      <c r="C1" s="5" t="s">
        <v>1</v>
      </c>
      <c r="D1" s="746" t="s">
        <v>2</v>
      </c>
    </row>
    <row r="2" customFormat="false" ht="12.8" hidden="false" customHeight="false" outlineLevel="0" collapsed="false">
      <c r="B2" s="115" t="n">
        <f aca="false">'ШАБЛОН РАСЧЁТА'!B2</f>
        <v>85</v>
      </c>
      <c r="C2" s="0" t="n">
        <f aca="false">'ШАБЛОН РАСЧЁТА'!C2</f>
        <v>120</v>
      </c>
      <c r="D2" s="590" t="n">
        <f aca="false">'ШАБЛОН РАСЧЁТА'!D2</f>
        <v>12.54</v>
      </c>
    </row>
    <row r="4" s="625" customFormat="true" ht="24.05" hidden="false" customHeight="false" outlineLevel="0" collapsed="false">
      <c r="B4" s="747" t="s">
        <v>100</v>
      </c>
      <c r="C4" s="625" t="s">
        <v>1158</v>
      </c>
      <c r="D4" s="748" t="s">
        <v>1159</v>
      </c>
      <c r="E4" s="749"/>
    </row>
    <row r="5" customFormat="false" ht="12.8" hidden="false" customHeight="false" outlineLevel="0" collapsed="false">
      <c r="B5" s="750" t="s">
        <v>1160</v>
      </c>
    </row>
    <row r="7" customFormat="false" ht="12.8" hidden="false" customHeight="false" outlineLevel="0" collapsed="false">
      <c r="B7" s="115" t="s">
        <v>1125</v>
      </c>
      <c r="C7" s="0" t="n">
        <v>3.087115</v>
      </c>
      <c r="D7" s="751" t="n">
        <f aca="false">C7*$B$2</f>
        <v>262.404775</v>
      </c>
    </row>
    <row r="8" customFormat="false" ht="12.8" hidden="false" customHeight="false" outlineLevel="0" collapsed="false">
      <c r="B8" s="115" t="s">
        <v>1161</v>
      </c>
      <c r="C8" s="0" t="n">
        <v>3.436465</v>
      </c>
      <c r="D8" s="751" t="n">
        <f aca="false">C8*$B$2</f>
        <v>292.099525</v>
      </c>
    </row>
    <row r="9" customFormat="false" ht="12.8" hidden="false" customHeight="false" outlineLevel="0" collapsed="false">
      <c r="B9" s="115" t="s">
        <v>1162</v>
      </c>
      <c r="C9" s="0" t="n">
        <v>0.716125</v>
      </c>
      <c r="D9" s="751" t="n">
        <f aca="false">C9*$B$2</f>
        <v>60.870625</v>
      </c>
    </row>
    <row r="10" customFormat="false" ht="12.8" hidden="false" customHeight="false" outlineLevel="0" collapsed="false">
      <c r="B10" s="115" t="s">
        <v>1163</v>
      </c>
      <c r="C10" s="0" t="n">
        <v>0.105655</v>
      </c>
      <c r="D10" s="751" t="n">
        <f aca="false">C10*$B$2</f>
        <v>8.980675</v>
      </c>
    </row>
    <row r="11" customFormat="false" ht="12.8" hidden="false" customHeight="false" outlineLevel="0" collapsed="false">
      <c r="B11" s="115" t="n">
        <v>0</v>
      </c>
      <c r="D11" s="751" t="n">
        <f aca="false">C11*$B$2</f>
        <v>0</v>
      </c>
    </row>
    <row r="12" customFormat="false" ht="12.8" hidden="false" customHeight="false" outlineLevel="0" collapsed="false">
      <c r="B12" s="115" t="s">
        <v>1164</v>
      </c>
      <c r="C12" s="0" t="n">
        <v>6.261185</v>
      </c>
      <c r="D12" s="751" t="n">
        <f aca="false">C12*$B$2</f>
        <v>532.200725</v>
      </c>
    </row>
    <row r="13" customFormat="false" ht="12.8" hidden="false" customHeight="false" outlineLevel="0" collapsed="false">
      <c r="B13" s="115" t="s">
        <v>1165</v>
      </c>
      <c r="C13" s="0" t="n">
        <v>7.1111</v>
      </c>
      <c r="D13" s="751" t="n">
        <f aca="false">C13*$B$2</f>
        <v>604.4435</v>
      </c>
    </row>
    <row r="14" customFormat="false" ht="12.8" hidden="false" customHeight="false" outlineLevel="0" collapsed="false">
      <c r="B14" s="115" t="s">
        <v>1166</v>
      </c>
      <c r="C14" s="0" t="n">
        <v>0.53108</v>
      </c>
      <c r="D14" s="751" t="n">
        <f aca="false">C14*$B$2</f>
        <v>45.1418</v>
      </c>
    </row>
    <row r="15" customFormat="false" ht="12.8" hidden="false" customHeight="false" outlineLevel="0" collapsed="false">
      <c r="B15" s="115" t="s">
        <v>1167</v>
      </c>
      <c r="C15" s="0" t="n">
        <v>0.02958</v>
      </c>
      <c r="D15" s="751" t="n">
        <f aca="false">C15*$B$2</f>
        <v>2.5143</v>
      </c>
    </row>
    <row r="16" customFormat="false" ht="12.8" hidden="false" customHeight="false" outlineLevel="0" collapsed="false">
      <c r="B16" s="115" t="s">
        <v>1168</v>
      </c>
      <c r="C16" s="0" t="n">
        <v>5.336385</v>
      </c>
      <c r="D16" s="751" t="n">
        <f aca="false">C16*$B$2</f>
        <v>453.592725</v>
      </c>
    </row>
    <row r="17" customFormat="false" ht="12.8" hidden="false" customHeight="false" outlineLevel="0" collapsed="false">
      <c r="B17" s="115" t="s">
        <v>1052</v>
      </c>
      <c r="C17" s="0" t="n">
        <v>1.35677</v>
      </c>
      <c r="D17" s="751" t="n">
        <f aca="false">C17*$B$2</f>
        <v>115.32545</v>
      </c>
    </row>
    <row r="18" customFormat="false" ht="12.8" hidden="false" customHeight="false" outlineLevel="0" collapsed="false">
      <c r="B18" s="115" t="s">
        <v>1049</v>
      </c>
      <c r="C18" s="0" t="n">
        <v>2.540565</v>
      </c>
      <c r="D18" s="751" t="n">
        <f aca="false">C18*$B$2</f>
        <v>215.948025</v>
      </c>
    </row>
    <row r="19" customFormat="false" ht="12.8" hidden="false" customHeight="false" outlineLevel="0" collapsed="false">
      <c r="B19" s="115" t="s">
        <v>1169</v>
      </c>
      <c r="C19" s="0" t="n">
        <v>1.98118</v>
      </c>
      <c r="D19" s="751" t="n">
        <f aca="false">C19*$B$2</f>
        <v>168.4003</v>
      </c>
    </row>
    <row r="20" customFormat="false" ht="12.8" hidden="false" customHeight="false" outlineLevel="0" collapsed="false">
      <c r="B20" s="115" t="s">
        <v>1020</v>
      </c>
      <c r="C20" s="0" t="n">
        <v>0.48144</v>
      </c>
      <c r="D20" s="751" t="n">
        <f aca="false">C20*$B$2</f>
        <v>40.9224</v>
      </c>
    </row>
    <row r="21" customFormat="false" ht="12.8" hidden="false" customHeight="false" outlineLevel="0" collapsed="false">
      <c r="B21" s="115" t="s">
        <v>1026</v>
      </c>
      <c r="C21" s="0" t="n">
        <v>0.53771</v>
      </c>
      <c r="D21" s="751" t="n">
        <f aca="false">C21*$B$2</f>
        <v>45.70535</v>
      </c>
    </row>
    <row r="22" customFormat="false" ht="12.8" hidden="false" customHeight="false" outlineLevel="0" collapsed="false">
      <c r="B22" s="115" t="s">
        <v>1170</v>
      </c>
      <c r="C22" s="0" t="n">
        <v>0.583525</v>
      </c>
      <c r="D22" s="751" t="n">
        <f aca="false">C22*$B$2</f>
        <v>49.599625</v>
      </c>
    </row>
    <row r="23" customFormat="false" ht="12.8" hidden="false" customHeight="false" outlineLevel="0" collapsed="false">
      <c r="B23" s="115" t="s">
        <v>1171</v>
      </c>
      <c r="C23" s="0" t="n">
        <v>13.231695</v>
      </c>
      <c r="D23" s="751" t="n">
        <f aca="false">C23*$B$2</f>
        <v>1124.694075</v>
      </c>
    </row>
    <row r="24" customFormat="false" ht="12.8" hidden="false" customHeight="false" outlineLevel="0" collapsed="false">
      <c r="B24" s="115" t="s">
        <v>1172</v>
      </c>
      <c r="C24" s="0" t="n">
        <v>15.995045</v>
      </c>
      <c r="D24" s="751" t="n">
        <f aca="false">C24*$B$2</f>
        <v>1359.578825</v>
      </c>
    </row>
    <row r="25" customFormat="false" ht="12.8" hidden="false" customHeight="false" outlineLevel="0" collapsed="false">
      <c r="B25" s="115" t="s">
        <v>1173</v>
      </c>
      <c r="D25" s="751" t="n">
        <f aca="false">C25*$B$2</f>
        <v>0</v>
      </c>
    </row>
    <row r="26" customFormat="false" ht="12.8" hidden="false" customHeight="false" outlineLevel="0" collapsed="false">
      <c r="B26" s="115" t="s">
        <v>1174</v>
      </c>
      <c r="C26" s="0" t="n">
        <v>13.893335</v>
      </c>
      <c r="D26" s="751" t="n">
        <f aca="false">C26*$B$2</f>
        <v>1180.933475</v>
      </c>
    </row>
    <row r="27" customFormat="false" ht="12.8" hidden="false" customHeight="false" outlineLevel="0" collapsed="false">
      <c r="B27" s="115" t="s">
        <v>1175</v>
      </c>
      <c r="C27" s="0" t="n">
        <v>4.492845</v>
      </c>
      <c r="D27" s="751" t="n">
        <f aca="false">C27*$B$2</f>
        <v>381.891825</v>
      </c>
    </row>
    <row r="28" customFormat="false" ht="12.8" hidden="false" customHeight="false" outlineLevel="0" collapsed="false">
      <c r="B28" s="115" t="s">
        <v>1027</v>
      </c>
      <c r="C28" s="0" t="n">
        <v>5.166725</v>
      </c>
      <c r="D28" s="751" t="n">
        <f aca="false">C28*$B$2</f>
        <v>439.171625</v>
      </c>
    </row>
    <row r="29" customFormat="false" ht="12.8" hidden="false" customHeight="false" outlineLevel="0" collapsed="false">
      <c r="B29" s="115" t="s">
        <v>1029</v>
      </c>
      <c r="C29" s="0" t="n">
        <v>4.920735</v>
      </c>
      <c r="D29" s="751" t="n">
        <f aca="false">C29*$B$2</f>
        <v>418.262475</v>
      </c>
    </row>
    <row r="30" customFormat="false" ht="12.8" hidden="false" customHeight="false" outlineLevel="0" collapsed="false">
      <c r="B30" s="115" t="s">
        <v>1050</v>
      </c>
      <c r="C30" s="0" t="n">
        <v>11.93706</v>
      </c>
      <c r="D30" s="751" t="n">
        <f aca="false">C30*$B$2</f>
        <v>1014.6501</v>
      </c>
    </row>
    <row r="31" customFormat="false" ht="12.8" hidden="false" customHeight="false" outlineLevel="0" collapsed="false">
      <c r="B31" s="115" t="s">
        <v>1176</v>
      </c>
      <c r="C31" s="0" t="n">
        <v>11.93706</v>
      </c>
      <c r="D31" s="751" t="n">
        <f aca="false">C31*$B$2</f>
        <v>1014.6501</v>
      </c>
    </row>
    <row r="32" customFormat="false" ht="12.8" hidden="false" customHeight="false" outlineLevel="0" collapsed="false">
      <c r="B32" s="115" t="s">
        <v>1177</v>
      </c>
      <c r="C32" s="0" t="n">
        <v>6.69375</v>
      </c>
      <c r="D32" s="751" t="n">
        <f aca="false">C32*$B$2</f>
        <v>568.96875</v>
      </c>
    </row>
    <row r="33" customFormat="false" ht="12.8" hidden="false" customHeight="false" outlineLevel="0" collapsed="false">
      <c r="B33" s="115" t="s">
        <v>1053</v>
      </c>
      <c r="C33" s="0" t="n">
        <v>7.2896</v>
      </c>
      <c r="D33" s="751" t="n">
        <f aca="false">C33*$B$2</f>
        <v>619.616</v>
      </c>
    </row>
    <row r="34" customFormat="false" ht="12.8" hidden="false" customHeight="false" outlineLevel="0" collapsed="false">
      <c r="B34" s="115" t="s">
        <v>1054</v>
      </c>
      <c r="C34" s="0" t="n">
        <v>11.182855</v>
      </c>
      <c r="D34" s="751" t="n">
        <f aca="false">C34*$B$2</f>
        <v>950.542675</v>
      </c>
    </row>
    <row r="35" customFormat="false" ht="12.8" hidden="false" customHeight="false" outlineLevel="0" collapsed="false">
      <c r="B35" s="115" t="s">
        <v>1122</v>
      </c>
      <c r="C35" s="0" t="n">
        <v>2.66781</v>
      </c>
      <c r="D35" s="751" t="n">
        <f aca="false">C35*$B$2</f>
        <v>226.76385</v>
      </c>
    </row>
    <row r="36" customFormat="false" ht="12.8" hidden="false" customHeight="false" outlineLevel="0" collapsed="false">
      <c r="B36" s="115" t="n">
        <v>0</v>
      </c>
      <c r="D36" s="751" t="n">
        <f aca="false">C36*$B$2</f>
        <v>0</v>
      </c>
    </row>
    <row r="37" customFormat="false" ht="12.8" hidden="false" customHeight="false" outlineLevel="0" collapsed="false">
      <c r="B37" s="115" t="s">
        <v>1178</v>
      </c>
      <c r="D37" s="751" t="n">
        <f aca="false">C37*$B$2</f>
        <v>0</v>
      </c>
    </row>
    <row r="38" customFormat="false" ht="12.8" hidden="false" customHeight="false" outlineLevel="0" collapsed="false">
      <c r="B38" s="115" t="s">
        <v>1179</v>
      </c>
      <c r="C38" s="0" t="n">
        <v>2.420205</v>
      </c>
      <c r="D38" s="751" t="n">
        <f aca="false">C38*$B$2</f>
        <v>205.717425</v>
      </c>
    </row>
    <row r="39" customFormat="false" ht="12.8" hidden="false" customHeight="false" outlineLevel="0" collapsed="false">
      <c r="B39" s="115" t="s">
        <v>1180</v>
      </c>
      <c r="C39" s="0" t="n">
        <v>7.2607</v>
      </c>
      <c r="D39" s="751" t="n">
        <f aca="false">C39*$B$2</f>
        <v>617.1595</v>
      </c>
    </row>
    <row r="40" customFormat="false" ht="12.8" hidden="false" customHeight="false" outlineLevel="0" collapsed="false">
      <c r="B40" s="115" t="s">
        <v>1181</v>
      </c>
      <c r="C40" s="0" t="n">
        <v>27.47659</v>
      </c>
      <c r="D40" s="751" t="n">
        <f aca="false">C40*$B$2</f>
        <v>2335.51015</v>
      </c>
    </row>
    <row r="41" customFormat="false" ht="12.8" hidden="false" customHeight="false" outlineLevel="0" collapsed="false">
      <c r="B41" s="115" t="s">
        <v>1058</v>
      </c>
      <c r="C41" s="0" t="n">
        <v>1.70748</v>
      </c>
      <c r="D41" s="751" t="n">
        <f aca="false">C41*$B$2</f>
        <v>145.1358</v>
      </c>
    </row>
    <row r="42" customFormat="false" ht="12.8" hidden="false" customHeight="false" outlineLevel="0" collapsed="false">
      <c r="B42" s="115" t="s">
        <v>1182</v>
      </c>
      <c r="C42" s="0" t="n">
        <v>8.307475</v>
      </c>
      <c r="D42" s="751" t="n">
        <f aca="false">C42*$B$2</f>
        <v>706.135375</v>
      </c>
    </row>
    <row r="43" customFormat="false" ht="12.8" hidden="false" customHeight="false" outlineLevel="0" collapsed="false">
      <c r="B43" s="115" t="s">
        <v>1183</v>
      </c>
      <c r="C43" s="0" t="n">
        <v>5.919995</v>
      </c>
      <c r="D43" s="751" t="n">
        <f aca="false">C43*$B$2</f>
        <v>503.199575</v>
      </c>
    </row>
    <row r="44" customFormat="false" ht="12.8" hidden="false" customHeight="false" outlineLevel="0" collapsed="false">
      <c r="B44" s="115" t="s">
        <v>1184</v>
      </c>
      <c r="C44" s="0" t="n">
        <v>7.93373</v>
      </c>
      <c r="D44" s="751" t="n">
        <f aca="false">C44*$B$2</f>
        <v>674.36705</v>
      </c>
    </row>
    <row r="45" customFormat="false" ht="12.8" hidden="false" customHeight="false" outlineLevel="0" collapsed="false">
      <c r="B45" s="115" t="s">
        <v>1185</v>
      </c>
      <c r="C45" s="0" t="n">
        <v>8.44271</v>
      </c>
      <c r="D45" s="751" t="n">
        <f aca="false">C45*$B$2</f>
        <v>717.63035</v>
      </c>
    </row>
    <row r="46" customFormat="false" ht="12.8" hidden="false" customHeight="false" outlineLevel="0" collapsed="false">
      <c r="B46" s="115" t="s">
        <v>1186</v>
      </c>
      <c r="C46" s="0" t="n">
        <v>5.08062</v>
      </c>
      <c r="D46" s="751" t="n">
        <f aca="false">C46*$B$2</f>
        <v>431.8527</v>
      </c>
    </row>
    <row r="47" customFormat="false" ht="12.8" hidden="false" customHeight="false" outlineLevel="0" collapsed="false">
      <c r="B47" s="115" t="s">
        <v>1056</v>
      </c>
      <c r="C47" s="0" t="n">
        <v>2.540565</v>
      </c>
      <c r="D47" s="751" t="n">
        <f aca="false">C47*$B$2</f>
        <v>215.948025</v>
      </c>
    </row>
    <row r="48" customFormat="false" ht="12.8" hidden="false" customHeight="false" outlineLevel="0" collapsed="false">
      <c r="B48" s="115" t="s">
        <v>1187</v>
      </c>
      <c r="C48" s="0" t="n">
        <v>3.01427</v>
      </c>
      <c r="D48" s="751" t="n">
        <f aca="false">C48*$B$2</f>
        <v>256.21295</v>
      </c>
    </row>
    <row r="49" customFormat="false" ht="12.8" hidden="false" customHeight="false" outlineLevel="0" collapsed="false">
      <c r="B49" s="115" t="s">
        <v>1188</v>
      </c>
      <c r="C49" s="0" t="n">
        <v>2.26219</v>
      </c>
      <c r="D49" s="751" t="n">
        <f aca="false">C49*$B$2</f>
        <v>192.28615</v>
      </c>
    </row>
    <row r="50" customFormat="false" ht="12.8" hidden="false" customHeight="false" outlineLevel="0" collapsed="false">
      <c r="B50" s="115" t="s">
        <v>1032</v>
      </c>
      <c r="C50" s="0" t="n">
        <v>1.42511</v>
      </c>
      <c r="D50" s="751" t="n">
        <f aca="false">C50*$B$2</f>
        <v>121.13435</v>
      </c>
    </row>
    <row r="51" customFormat="false" ht="12.8" hidden="false" customHeight="false" outlineLevel="0" collapsed="false">
      <c r="B51" s="115" t="s">
        <v>1035</v>
      </c>
      <c r="C51" s="0" t="n">
        <v>1.63897</v>
      </c>
      <c r="D51" s="751" t="n">
        <f aca="false">C51*$B$2</f>
        <v>139.31245</v>
      </c>
    </row>
    <row r="52" customFormat="false" ht="12.8" hidden="false" customHeight="false" outlineLevel="0" collapsed="false">
      <c r="B52" s="115" t="s">
        <v>1189</v>
      </c>
      <c r="C52" s="0" t="n">
        <v>1.436415</v>
      </c>
      <c r="D52" s="751" t="n">
        <f aca="false">C52*$B$2</f>
        <v>122.095275</v>
      </c>
    </row>
    <row r="53" customFormat="false" ht="12.8" hidden="false" customHeight="false" outlineLevel="0" collapsed="false">
      <c r="B53" s="115" t="s">
        <v>1190</v>
      </c>
      <c r="C53" s="0" t="n">
        <v>1.266075</v>
      </c>
      <c r="D53" s="751" t="n">
        <f aca="false">C53*$B$2</f>
        <v>107.616375</v>
      </c>
    </row>
    <row r="54" customFormat="false" ht="12.8" hidden="false" customHeight="false" outlineLevel="0" collapsed="false">
      <c r="B54" s="115" t="s">
        <v>1137</v>
      </c>
      <c r="C54" s="0" t="n">
        <v>8.32711</v>
      </c>
      <c r="D54" s="751" t="n">
        <f aca="false">C54*$B$2</f>
        <v>707.80435</v>
      </c>
    </row>
    <row r="55" customFormat="false" ht="12.8" hidden="false" customHeight="false" outlineLevel="0" collapsed="false">
      <c r="B55" s="115" t="s">
        <v>1036</v>
      </c>
      <c r="C55" s="0" t="n">
        <v>9.39386</v>
      </c>
      <c r="D55" s="751" t="n">
        <f aca="false">C55*$B$2</f>
        <v>798.4781</v>
      </c>
    </row>
    <row r="56" customFormat="false" ht="12.8" hidden="false" customHeight="false" outlineLevel="0" collapsed="false">
      <c r="B56" s="115" t="s">
        <v>1191</v>
      </c>
      <c r="C56" s="0" t="n">
        <v>10.717055</v>
      </c>
      <c r="D56" s="751" t="n">
        <f aca="false">C56*$B$2</f>
        <v>910.949675</v>
      </c>
    </row>
    <row r="57" customFormat="false" ht="12.8" hidden="false" customHeight="false" outlineLevel="0" collapsed="false">
      <c r="B57" s="115" t="s">
        <v>1192</v>
      </c>
      <c r="C57" s="0" t="n">
        <v>11.311205</v>
      </c>
      <c r="D57" s="751" t="n">
        <f aca="false">C57*$B$2</f>
        <v>961.452425</v>
      </c>
    </row>
    <row r="58" customFormat="false" ht="12.8" hidden="false" customHeight="false" outlineLevel="0" collapsed="false">
      <c r="B58" s="115" t="s">
        <v>1193</v>
      </c>
      <c r="C58" s="0" t="n">
        <v>16.649885</v>
      </c>
      <c r="D58" s="751" t="n">
        <f aca="false">C58*$B$2</f>
        <v>1415.240225</v>
      </c>
    </row>
    <row r="59" customFormat="false" ht="12.8" hidden="false" customHeight="false" outlineLevel="0" collapsed="false">
      <c r="B59" s="115" t="s">
        <v>1194</v>
      </c>
      <c r="C59" s="0" t="n">
        <v>16.649885</v>
      </c>
      <c r="D59" s="751" t="n">
        <f aca="false">C59*$B$2</f>
        <v>1415.240225</v>
      </c>
    </row>
    <row r="60" customFormat="false" ht="12.8" hidden="false" customHeight="false" outlineLevel="0" collapsed="false">
      <c r="B60" s="115" t="s">
        <v>1059</v>
      </c>
      <c r="C60" s="0" t="n">
        <v>9.832035</v>
      </c>
      <c r="D60" s="751" t="n">
        <f aca="false">C60*$B$2</f>
        <v>835.722975</v>
      </c>
    </row>
    <row r="61" customFormat="false" ht="12.8" hidden="false" customHeight="false" outlineLevel="0" collapsed="false">
      <c r="B61" s="115" t="s">
        <v>1195</v>
      </c>
      <c r="C61" s="0" t="n">
        <v>9.117015</v>
      </c>
      <c r="D61" s="751" t="n">
        <f aca="false">C61*$B$2</f>
        <v>774.946275</v>
      </c>
    </row>
    <row r="62" customFormat="false" ht="12.8" hidden="false" customHeight="false" outlineLevel="0" collapsed="false">
      <c r="B62" s="115" t="s">
        <v>1060</v>
      </c>
      <c r="C62" s="0" t="n">
        <v>14.24141</v>
      </c>
      <c r="D62" s="751" t="n">
        <f aca="false">C62*$B$2</f>
        <v>1210.51985</v>
      </c>
    </row>
    <row r="63" customFormat="false" ht="12.8" hidden="false" customHeight="false" outlineLevel="0" collapsed="false">
      <c r="B63" s="115" t="s">
        <v>1196</v>
      </c>
      <c r="D63" s="751" t="n">
        <f aca="false">C63*$B$2</f>
        <v>0</v>
      </c>
    </row>
    <row r="64" customFormat="false" ht="12.8" hidden="false" customHeight="false" outlineLevel="0" collapsed="false">
      <c r="B64" s="115" t="s">
        <v>1197</v>
      </c>
      <c r="D64" s="751" t="n">
        <f aca="false">C64*$B$2</f>
        <v>0</v>
      </c>
    </row>
    <row r="65" customFormat="false" ht="12.8" hidden="false" customHeight="false" outlineLevel="0" collapsed="false">
      <c r="B65" s="115" t="s">
        <v>1136</v>
      </c>
      <c r="C65" s="0" t="n">
        <v>7.2896</v>
      </c>
      <c r="D65" s="751" t="n">
        <f aca="false">C65*$B$2</f>
        <v>619.616</v>
      </c>
    </row>
    <row r="66" customFormat="false" ht="12.8" hidden="false" customHeight="false" outlineLevel="0" collapsed="false">
      <c r="B66" s="115" t="s">
        <v>1198</v>
      </c>
      <c r="C66" s="0" t="n">
        <v>9.88839</v>
      </c>
      <c r="D66" s="751" t="n">
        <f aca="false">C66*$B$2</f>
        <v>840.51315</v>
      </c>
    </row>
    <row r="67" customFormat="false" ht="12.8" hidden="false" customHeight="false" outlineLevel="0" collapsed="false">
      <c r="B67" s="115" t="n">
        <v>0</v>
      </c>
      <c r="D67" s="751" t="n">
        <f aca="false">C67*$B$2</f>
        <v>0</v>
      </c>
    </row>
    <row r="68" customFormat="false" ht="12.8" hidden="false" customHeight="false" outlineLevel="0" collapsed="false">
      <c r="B68" s="115" t="s">
        <v>1199</v>
      </c>
      <c r="C68" s="0" t="n">
        <v>0.131155</v>
      </c>
      <c r="D68" s="751" t="n">
        <f aca="false">C68*$B$2</f>
        <v>11.148175</v>
      </c>
    </row>
    <row r="69" customFormat="false" ht="12.8" hidden="false" customHeight="false" outlineLevel="0" collapsed="false">
      <c r="B69" s="115" t="s">
        <v>1200</v>
      </c>
      <c r="C69" s="0" t="n">
        <v>0.255</v>
      </c>
      <c r="D69" s="751" t="n">
        <f aca="false">C69*$B$2</f>
        <v>21.675</v>
      </c>
    </row>
    <row r="70" customFormat="false" ht="12.8" hidden="false" customHeight="false" outlineLevel="0" collapsed="false">
      <c r="B70" s="115" t="s">
        <v>1201</v>
      </c>
      <c r="C70" s="0" t="n">
        <v>0.27183</v>
      </c>
      <c r="D70" s="751" t="n">
        <f aca="false">C70*$B$2</f>
        <v>23.10555</v>
      </c>
    </row>
    <row r="71" customFormat="false" ht="12.8" hidden="false" customHeight="false" outlineLevel="0" collapsed="false">
      <c r="B71" s="115" t="s">
        <v>1202</v>
      </c>
      <c r="C71" s="0" t="n">
        <v>0.424405</v>
      </c>
      <c r="D71" s="751" t="n">
        <f aca="false">C71*$B$2</f>
        <v>36.074425</v>
      </c>
    </row>
    <row r="72" customFormat="false" ht="12.8" hidden="false" customHeight="false" outlineLevel="0" collapsed="false">
      <c r="B72" s="115" t="s">
        <v>1203</v>
      </c>
      <c r="C72" s="0" t="n">
        <v>0.354365</v>
      </c>
      <c r="D72" s="751" t="n">
        <f aca="false">C72*$B$2</f>
        <v>30.121025</v>
      </c>
    </row>
    <row r="73" customFormat="false" ht="12.8" hidden="false" customHeight="false" outlineLevel="0" collapsed="false">
      <c r="B73" s="115" t="s">
        <v>1204</v>
      </c>
      <c r="C73" s="0" t="n">
        <v>0.3603537685</v>
      </c>
      <c r="D73" s="751" t="n">
        <f aca="false">C73*$B$2</f>
        <v>30.6300703225</v>
      </c>
    </row>
    <row r="74" customFormat="false" ht="12.8" hidden="false" customHeight="false" outlineLevel="0" collapsed="false">
      <c r="B74" s="115" t="s">
        <v>1124</v>
      </c>
      <c r="C74" s="0" t="n">
        <v>0.35326</v>
      </c>
      <c r="D74" s="751" t="n">
        <f aca="false">C74*$B$2</f>
        <v>30.0271</v>
      </c>
    </row>
    <row r="75" customFormat="false" ht="12.8" hidden="false" customHeight="false" outlineLevel="0" collapsed="false">
      <c r="B75" s="115" t="s">
        <v>1205</v>
      </c>
      <c r="C75" s="0" t="n">
        <v>0.604945</v>
      </c>
      <c r="D75" s="751" t="n">
        <f aca="false">C75*$B$2</f>
        <v>51.420325</v>
      </c>
    </row>
    <row r="76" customFormat="false" ht="12.8" hidden="false" customHeight="false" outlineLevel="0" collapsed="false">
      <c r="B76" s="115" t="s">
        <v>1206</v>
      </c>
      <c r="C76" s="0" t="n">
        <v>0.30277</v>
      </c>
      <c r="D76" s="751" t="n">
        <f aca="false">C76*$B$2</f>
        <v>25.73545</v>
      </c>
    </row>
    <row r="77" customFormat="false" ht="12.8" hidden="false" customHeight="false" outlineLevel="0" collapsed="false">
      <c r="B77" s="115" t="s">
        <v>1207</v>
      </c>
      <c r="C77" s="0" t="n">
        <v>2.34073</v>
      </c>
      <c r="D77" s="751" t="n">
        <f aca="false">C77*$B$2</f>
        <v>198.96205</v>
      </c>
    </row>
    <row r="78" customFormat="false" ht="12.8" hidden="false" customHeight="false" outlineLevel="0" collapsed="false">
      <c r="B78" s="115" t="s">
        <v>1208</v>
      </c>
      <c r="C78" s="0" t="n">
        <v>2.730965</v>
      </c>
      <c r="D78" s="751" t="n">
        <f aca="false">C78*$B$2</f>
        <v>232.132025</v>
      </c>
    </row>
    <row r="79" customFormat="false" ht="12.8" hidden="false" customHeight="false" outlineLevel="0" collapsed="false">
      <c r="B79" s="115" t="s">
        <v>1209</v>
      </c>
      <c r="C79" s="0" t="n">
        <v>0.42653</v>
      </c>
      <c r="D79" s="751" t="n">
        <f aca="false">C79*$B$2</f>
        <v>36.25505</v>
      </c>
    </row>
    <row r="80" customFormat="false" ht="12.8" hidden="false" customHeight="false" outlineLevel="0" collapsed="false">
      <c r="B80" s="115" t="s">
        <v>1210</v>
      </c>
      <c r="C80" s="0" t="n">
        <v>0.325635</v>
      </c>
      <c r="D80" s="751" t="n">
        <f aca="false">C80*$B$2</f>
        <v>27.678975</v>
      </c>
    </row>
    <row r="81" customFormat="false" ht="12.8" hidden="false" customHeight="false" outlineLevel="0" collapsed="false">
      <c r="B81" s="115" t="s">
        <v>1211</v>
      </c>
      <c r="C81" s="0" t="n">
        <v>0.34714</v>
      </c>
      <c r="D81" s="751" t="n">
        <f aca="false">C81*$B$2</f>
        <v>29.5069</v>
      </c>
    </row>
    <row r="82" customFormat="false" ht="12.8" hidden="false" customHeight="false" outlineLevel="0" collapsed="false">
      <c r="B82" s="115" t="s">
        <v>1212</v>
      </c>
      <c r="C82" s="0" t="n">
        <v>0.341445</v>
      </c>
      <c r="D82" s="751" t="n">
        <f aca="false">C82*$B$2</f>
        <v>29.022825</v>
      </c>
    </row>
    <row r="83" customFormat="false" ht="12.8" hidden="false" customHeight="false" outlineLevel="0" collapsed="false">
      <c r="B83" s="115" t="s">
        <v>1213</v>
      </c>
      <c r="C83" s="0" t="n">
        <v>8.99759</v>
      </c>
      <c r="D83" s="751" t="n">
        <f aca="false">C83*$B$2</f>
        <v>764.79515</v>
      </c>
    </row>
    <row r="84" customFormat="false" ht="12.8" hidden="false" customHeight="false" outlineLevel="0" collapsed="false">
      <c r="B84" s="115" t="s">
        <v>1127</v>
      </c>
      <c r="C84" s="0" t="n">
        <v>1.467865</v>
      </c>
      <c r="D84" s="751" t="n">
        <f aca="false">C84*$B$2</f>
        <v>124.768525</v>
      </c>
    </row>
    <row r="85" customFormat="false" ht="12.8" hidden="false" customHeight="false" outlineLevel="0" collapsed="false">
      <c r="B85" s="115" t="s">
        <v>1126</v>
      </c>
      <c r="C85" s="0" t="n">
        <v>0.04199</v>
      </c>
      <c r="D85" s="751" t="n">
        <f aca="false">C85*$B$2</f>
        <v>3.56915</v>
      </c>
    </row>
    <row r="86" customFormat="false" ht="12.8" hidden="false" customHeight="false" outlineLevel="0" collapsed="false">
      <c r="B86" s="115" t="s">
        <v>1079</v>
      </c>
      <c r="C86" s="0" t="n">
        <v>0.228565</v>
      </c>
      <c r="D86" s="751" t="n">
        <f aca="false">C86*$B$2</f>
        <v>19.428025</v>
      </c>
    </row>
    <row r="87" customFormat="false" ht="12.8" hidden="false" customHeight="false" outlineLevel="0" collapsed="false">
      <c r="B87" s="115" t="s">
        <v>1214</v>
      </c>
      <c r="C87" s="0" t="n">
        <v>0.1207</v>
      </c>
      <c r="D87" s="751" t="n">
        <f aca="false">C87*$B$2</f>
        <v>10.2595</v>
      </c>
    </row>
    <row r="88" customFormat="false" ht="12.8" hidden="false" customHeight="false" outlineLevel="0" collapsed="false">
      <c r="B88" s="115" t="s">
        <v>1023</v>
      </c>
      <c r="C88" s="0" t="n">
        <v>0.251855</v>
      </c>
      <c r="D88" s="751" t="n">
        <f aca="false">C88*$B$2</f>
        <v>21.407675</v>
      </c>
    </row>
    <row r="89" customFormat="false" ht="12.8" hidden="false" customHeight="false" outlineLevel="0" collapsed="false">
      <c r="B89" s="115" t="s">
        <v>1215</v>
      </c>
      <c r="C89" s="0" t="n">
        <v>6.237045</v>
      </c>
      <c r="D89" s="751" t="n">
        <f aca="false">C89*$B$2</f>
        <v>530.148825</v>
      </c>
    </row>
    <row r="90" customFormat="false" ht="12.8" hidden="false" customHeight="false" outlineLevel="0" collapsed="false">
      <c r="B90" s="115" t="s">
        <v>1216</v>
      </c>
      <c r="C90" s="0" t="n">
        <v>4.301255</v>
      </c>
      <c r="D90" s="751" t="n">
        <f aca="false">C90*$B$2</f>
        <v>365.606675</v>
      </c>
    </row>
    <row r="91" customFormat="false" ht="12.8" hidden="false" customHeight="false" outlineLevel="0" collapsed="false">
      <c r="B91" s="115" t="s">
        <v>1217</v>
      </c>
      <c r="C91" s="0" t="n">
        <v>5.7222</v>
      </c>
      <c r="D91" s="751" t="n">
        <f aca="false">C91*$B$2</f>
        <v>486.387</v>
      </c>
    </row>
    <row r="92" customFormat="false" ht="12.8" hidden="false" customHeight="false" outlineLevel="0" collapsed="false">
      <c r="B92" s="115" t="s">
        <v>1218</v>
      </c>
      <c r="C92" s="0" t="n">
        <v>5.04509</v>
      </c>
      <c r="D92" s="751" t="n">
        <f aca="false">C92*$B$2</f>
        <v>428.83265</v>
      </c>
    </row>
    <row r="93" customFormat="false" ht="12.8" hidden="false" customHeight="false" outlineLevel="0" collapsed="false">
      <c r="B93" s="115" t="s">
        <v>1219</v>
      </c>
      <c r="C93" s="0" t="n">
        <v>4.54835</v>
      </c>
      <c r="D93" s="751" t="n">
        <f aca="false">C93*$B$2</f>
        <v>386.60975</v>
      </c>
    </row>
    <row r="94" customFormat="false" ht="12.8" hidden="false" customHeight="false" outlineLevel="0" collapsed="false">
      <c r="B94" s="115" t="s">
        <v>1220</v>
      </c>
      <c r="C94" s="0" t="n">
        <v>1.92695</v>
      </c>
      <c r="D94" s="751" t="n">
        <f aca="false">C94*$B$2</f>
        <v>163.79075</v>
      </c>
    </row>
    <row r="95" customFormat="false" ht="12.8" hidden="false" customHeight="false" outlineLevel="0" collapsed="false">
      <c r="B95" s="115" t="s">
        <v>1221</v>
      </c>
      <c r="C95" s="0" t="n">
        <v>0.01071</v>
      </c>
      <c r="D95" s="751" t="n">
        <f aca="false">C95*$B$2</f>
        <v>0.91035</v>
      </c>
    </row>
    <row r="96" customFormat="false" ht="12.8" hidden="false" customHeight="false" outlineLevel="0" collapsed="false">
      <c r="B96" s="115" t="s">
        <v>1222</v>
      </c>
      <c r="C96" s="0" t="n">
        <v>0.719185</v>
      </c>
      <c r="D96" s="751" t="n">
        <f aca="false">C96*$B$2</f>
        <v>61.130725</v>
      </c>
    </row>
    <row r="97" customFormat="false" ht="12.8" hidden="false" customHeight="false" outlineLevel="0" collapsed="false">
      <c r="B97" s="115" t="s">
        <v>1223</v>
      </c>
      <c r="C97" s="0" t="n">
        <v>1.7094546605</v>
      </c>
      <c r="D97" s="751" t="n">
        <f aca="false">C97*$B$2</f>
        <v>145.3036461425</v>
      </c>
    </row>
    <row r="98" customFormat="false" ht="12.8" hidden="false" customHeight="false" outlineLevel="0" collapsed="false">
      <c r="B98" s="115" t="s">
        <v>1224</v>
      </c>
      <c r="C98" s="0" t="n">
        <v>5.287255</v>
      </c>
      <c r="D98" s="751" t="n">
        <f aca="false">C98*$B$2</f>
        <v>449.416675</v>
      </c>
    </row>
    <row r="99" customFormat="false" ht="12.8" hidden="false" customHeight="false" outlineLevel="0" collapsed="false">
      <c r="B99" s="115" t="s">
        <v>1225</v>
      </c>
      <c r="C99" s="0" t="n">
        <v>10.367365</v>
      </c>
      <c r="D99" s="751" t="n">
        <f aca="false">C99*$B$2</f>
        <v>881.226025</v>
      </c>
    </row>
    <row r="100" customFormat="false" ht="12.8" hidden="false" customHeight="false" outlineLevel="0" collapsed="false">
      <c r="B100" s="115" t="s">
        <v>1128</v>
      </c>
      <c r="C100" s="0" t="n">
        <v>0.5814</v>
      </c>
      <c r="D100" s="751" t="n">
        <f aca="false">C100*$B$2</f>
        <v>49.419</v>
      </c>
    </row>
    <row r="101" customFormat="false" ht="12.8" hidden="false" customHeight="false" outlineLevel="0" collapsed="false">
      <c r="B101" s="115" t="s">
        <v>1131</v>
      </c>
      <c r="C101" s="0" t="n">
        <v>0.6494</v>
      </c>
      <c r="D101" s="751" t="n">
        <f aca="false">C101*$B$2</f>
        <v>55.199</v>
      </c>
    </row>
    <row r="102" customFormat="false" ht="12.8" hidden="false" customHeight="false" outlineLevel="0" collapsed="false">
      <c r="B102" s="115" t="s">
        <v>1226</v>
      </c>
      <c r="C102" s="0" t="n">
        <v>0.5089719845</v>
      </c>
      <c r="D102" s="751" t="n">
        <f aca="false">C102*$B$2</f>
        <v>43.2626186825</v>
      </c>
    </row>
    <row r="103" customFormat="false" ht="12.8" hidden="false" customHeight="false" outlineLevel="0" collapsed="false">
      <c r="D103" s="751" t="n">
        <f aca="false">C103*$B$2</f>
        <v>0</v>
      </c>
    </row>
    <row r="104" customFormat="false" ht="12.8" hidden="false" customHeight="false" outlineLevel="0" collapsed="false">
      <c r="B104" s="750" t="s">
        <v>1227</v>
      </c>
      <c r="D104" s="751" t="n">
        <f aca="false">C104*$B$2</f>
        <v>0</v>
      </c>
    </row>
    <row r="105" customFormat="false" ht="12.8" hidden="false" customHeight="false" outlineLevel="0" collapsed="false">
      <c r="B105" s="115" t="s">
        <v>1228</v>
      </c>
      <c r="C105" s="0" t="n">
        <v>1.059015</v>
      </c>
      <c r="D105" s="751" t="n">
        <f aca="false">C105*$B$2</f>
        <v>90.016275</v>
      </c>
    </row>
    <row r="106" customFormat="false" ht="12.8" hidden="false" customHeight="false" outlineLevel="0" collapsed="false">
      <c r="B106" s="115" t="s">
        <v>1229</v>
      </c>
      <c r="C106" s="0" t="n">
        <v>0.16796</v>
      </c>
      <c r="D106" s="751" t="n">
        <f aca="false">C106*$B$2</f>
        <v>14.2766</v>
      </c>
    </row>
    <row r="107" customFormat="false" ht="12.8" hidden="false" customHeight="false" outlineLevel="0" collapsed="false">
      <c r="B107" s="115" t="s">
        <v>1230</v>
      </c>
      <c r="C107" s="0" t="n">
        <v>0.102595</v>
      </c>
      <c r="D107" s="751" t="n">
        <f aca="false">C107*$B$2</f>
        <v>8.720575</v>
      </c>
    </row>
    <row r="108" customFormat="false" ht="12.8" hidden="false" customHeight="false" outlineLevel="0" collapsed="false">
      <c r="B108" s="115" t="s">
        <v>1231</v>
      </c>
      <c r="C108" s="0" t="n">
        <v>0.61438</v>
      </c>
      <c r="D108" s="751" t="n">
        <f aca="false">C108*$B$2</f>
        <v>52.2223</v>
      </c>
    </row>
    <row r="109" customFormat="false" ht="12.8" hidden="false" customHeight="false" outlineLevel="0" collapsed="false">
      <c r="B109" s="115" t="s">
        <v>1232</v>
      </c>
      <c r="C109" s="0" t="n">
        <v>0.34102</v>
      </c>
      <c r="D109" s="751" t="n">
        <f aca="false">C109*$B$2</f>
        <v>28.9867</v>
      </c>
    </row>
    <row r="110" customFormat="false" ht="12.8" hidden="false" customHeight="false" outlineLevel="0" collapsed="false">
      <c r="B110" s="115" t="s">
        <v>1233</v>
      </c>
      <c r="C110" s="0" t="n">
        <v>0.171955</v>
      </c>
      <c r="D110" s="751" t="n">
        <f aca="false">C110*$B$2</f>
        <v>14.616175</v>
      </c>
    </row>
    <row r="111" customFormat="false" ht="12.8" hidden="false" customHeight="false" outlineLevel="0" collapsed="false">
      <c r="B111" s="115" t="s">
        <v>1234</v>
      </c>
      <c r="C111" s="0" t="n">
        <v>0.12597</v>
      </c>
      <c r="D111" s="751" t="n">
        <f aca="false">C111*$B$2</f>
        <v>10.70745</v>
      </c>
    </row>
    <row r="112" customFormat="false" ht="12.8" hidden="false" customHeight="false" outlineLevel="0" collapsed="false">
      <c r="B112" s="115" t="s">
        <v>1235</v>
      </c>
      <c r="C112" s="0" t="n">
        <v>0.40171</v>
      </c>
      <c r="D112" s="751" t="n">
        <f aca="false">C112*$B$2</f>
        <v>34.14535</v>
      </c>
    </row>
    <row r="113" customFormat="false" ht="12.8" hidden="false" customHeight="false" outlineLevel="0" collapsed="false">
      <c r="B113" s="115" t="s">
        <v>1236</v>
      </c>
      <c r="C113" s="0" t="n">
        <v>0.34102</v>
      </c>
      <c r="D113" s="751" t="n">
        <f aca="false">C113*$B$2</f>
        <v>28.9867</v>
      </c>
    </row>
    <row r="114" customFormat="false" ht="12.8" hidden="false" customHeight="false" outlineLevel="0" collapsed="false">
      <c r="B114" s="115" t="s">
        <v>1237</v>
      </c>
      <c r="C114" s="0" t="n">
        <v>0.079645</v>
      </c>
      <c r="D114" s="751" t="n">
        <f aca="false">C114*$B$2</f>
        <v>6.769825</v>
      </c>
    </row>
    <row r="115" customFormat="false" ht="12.8" hidden="false" customHeight="false" outlineLevel="0" collapsed="false">
      <c r="B115" s="115" t="s">
        <v>1238</v>
      </c>
      <c r="C115" s="0" t="n">
        <v>0.11866</v>
      </c>
      <c r="D115" s="751" t="n">
        <f aca="false">C115*$B$2</f>
        <v>10.0861</v>
      </c>
    </row>
    <row r="116" customFormat="false" ht="12.8" hidden="false" customHeight="false" outlineLevel="0" collapsed="false">
      <c r="B116" s="115" t="s">
        <v>1239</v>
      </c>
      <c r="C116" s="0" t="n">
        <v>0.336685</v>
      </c>
      <c r="D116" s="751" t="n">
        <f aca="false">C116*$B$2</f>
        <v>28.618225</v>
      </c>
    </row>
    <row r="117" customFormat="false" ht="12.8" hidden="false" customHeight="false" outlineLevel="0" collapsed="false">
      <c r="B117" s="115" t="s">
        <v>1080</v>
      </c>
      <c r="C117" s="0" t="n">
        <v>0.193205</v>
      </c>
      <c r="D117" s="751" t="n">
        <f aca="false">C117*$B$2</f>
        <v>16.422425</v>
      </c>
    </row>
    <row r="118" customFormat="false" ht="12.8" hidden="false" customHeight="false" outlineLevel="0" collapsed="false">
      <c r="B118" s="115" t="s">
        <v>1240</v>
      </c>
      <c r="C118" s="0" t="n">
        <v>0.12002</v>
      </c>
      <c r="D118" s="751" t="n">
        <f aca="false">C118*$B$2</f>
        <v>10.2017</v>
      </c>
    </row>
    <row r="119" customFormat="false" ht="12.8" hidden="false" customHeight="false" outlineLevel="0" collapsed="false">
      <c r="B119" s="115" t="s">
        <v>1241</v>
      </c>
      <c r="C119" s="0" t="n">
        <v>0.521135</v>
      </c>
      <c r="D119" s="751" t="n">
        <f aca="false">C119*$B$2</f>
        <v>44.296475</v>
      </c>
    </row>
    <row r="120" customFormat="false" ht="12.8" hidden="false" customHeight="false" outlineLevel="0" collapsed="false">
      <c r="B120" s="115" t="s">
        <v>1242</v>
      </c>
      <c r="C120" s="0" t="n">
        <v>0.79713</v>
      </c>
      <c r="D120" s="751" t="n">
        <f aca="false">C120*$B$2</f>
        <v>67.75605</v>
      </c>
    </row>
    <row r="121" customFormat="false" ht="12.8" hidden="false" customHeight="false" outlineLevel="0" collapsed="false">
      <c r="B121" s="115" t="s">
        <v>1243</v>
      </c>
      <c r="C121" s="0" t="n">
        <v>0.014195</v>
      </c>
      <c r="D121" s="751" t="n">
        <f aca="false">C121*$B$2</f>
        <v>1.206575</v>
      </c>
    </row>
    <row r="122" customFormat="false" ht="12.8" hidden="false" customHeight="false" outlineLevel="0" collapsed="false">
      <c r="B122" s="115" t="s">
        <v>1244</v>
      </c>
      <c r="C122" s="0" t="n">
        <v>0.0459</v>
      </c>
      <c r="D122" s="751" t="n">
        <f aca="false">C122*$B$2</f>
        <v>3.9015</v>
      </c>
    </row>
    <row r="123" customFormat="false" ht="12.8" hidden="false" customHeight="false" outlineLevel="0" collapsed="false">
      <c r="B123" s="115" t="s">
        <v>1245</v>
      </c>
      <c r="C123" s="0" t="n">
        <v>0.034255</v>
      </c>
      <c r="D123" s="751" t="n">
        <f aca="false">C123*$B$2</f>
        <v>2.911675</v>
      </c>
    </row>
    <row r="124" customFormat="false" ht="12.8" hidden="false" customHeight="false" outlineLevel="0" collapsed="false">
      <c r="B124" s="115" t="s">
        <v>1246</v>
      </c>
      <c r="C124" s="0" t="n">
        <v>0.04539</v>
      </c>
      <c r="D124" s="751" t="n">
        <f aca="false">C124*$B$2</f>
        <v>3.85815</v>
      </c>
    </row>
    <row r="125" customFormat="false" ht="12.8" hidden="false" customHeight="false" outlineLevel="0" collapsed="false">
      <c r="B125" s="115" t="s">
        <v>1247</v>
      </c>
      <c r="C125" s="0" t="n">
        <v>5.275865</v>
      </c>
      <c r="D125" s="751" t="n">
        <f aca="false">C125*$B$2</f>
        <v>448.448525</v>
      </c>
    </row>
    <row r="126" customFormat="false" ht="12.8" hidden="false" customHeight="false" outlineLevel="0" collapsed="false">
      <c r="B126" s="115" t="s">
        <v>1248</v>
      </c>
      <c r="C126" s="0" t="n">
        <v>3.440715</v>
      </c>
      <c r="D126" s="751" t="n">
        <f aca="false">C126*$B$2</f>
        <v>292.460775</v>
      </c>
    </row>
    <row r="127" customFormat="false" ht="12.8" hidden="false" customHeight="false" outlineLevel="0" collapsed="false">
      <c r="B127" s="115" t="s">
        <v>1249</v>
      </c>
      <c r="C127" s="0" t="n">
        <v>0.97903</v>
      </c>
      <c r="D127" s="751" t="n">
        <f aca="false">C127*$B$2</f>
        <v>83.21755</v>
      </c>
    </row>
    <row r="128" customFormat="false" ht="12.8" hidden="false" customHeight="false" outlineLevel="0" collapsed="false">
      <c r="B128" s="115" t="s">
        <v>1250</v>
      </c>
      <c r="C128" s="0" t="n">
        <v>0.65569</v>
      </c>
      <c r="D128" s="751" t="n">
        <f aca="false">C128*$B$2</f>
        <v>55.73365</v>
      </c>
    </row>
    <row r="129" customFormat="false" ht="12.8" hidden="false" customHeight="false" outlineLevel="0" collapsed="false">
      <c r="B129" s="115" t="s">
        <v>1251</v>
      </c>
      <c r="C129" s="0" t="n">
        <v>3.95998</v>
      </c>
      <c r="D129" s="751" t="n">
        <f aca="false">C129*$B$2</f>
        <v>336.5983</v>
      </c>
    </row>
    <row r="130" customFormat="false" ht="12.8" hidden="false" customHeight="false" outlineLevel="0" collapsed="false">
      <c r="B130" s="115" t="s">
        <v>1252</v>
      </c>
      <c r="C130" s="0" t="n">
        <v>1.78721</v>
      </c>
      <c r="D130" s="751" t="n">
        <f aca="false">C130*$B$2</f>
        <v>151.91285</v>
      </c>
    </row>
    <row r="131" customFormat="false" ht="12.8" hidden="false" customHeight="false" outlineLevel="0" collapsed="false">
      <c r="B131" s="115" t="s">
        <v>1253</v>
      </c>
      <c r="C131" s="0" t="n">
        <v>3.95998</v>
      </c>
      <c r="D131" s="751" t="n">
        <f aca="false">C131*$B$2</f>
        <v>336.5983</v>
      </c>
    </row>
    <row r="132" customFormat="false" ht="12.8" hidden="false" customHeight="false" outlineLevel="0" collapsed="false">
      <c r="B132" s="115" t="s">
        <v>1079</v>
      </c>
      <c r="C132" s="0" t="n">
        <v>0.228565</v>
      </c>
      <c r="D132" s="751" t="n">
        <f aca="false">C132*$B$2</f>
        <v>19.428025</v>
      </c>
    </row>
    <row r="133" customFormat="false" ht="12.8" hidden="false" customHeight="false" outlineLevel="0" collapsed="false">
      <c r="B133" s="115" t="s">
        <v>1214</v>
      </c>
      <c r="C133" s="0" t="n">
        <v>0.1207</v>
      </c>
      <c r="D133" s="751" t="n">
        <f aca="false">C133*$B$2</f>
        <v>10.2595</v>
      </c>
    </row>
    <row r="134" customFormat="false" ht="12.8" hidden="false" customHeight="false" outlineLevel="0" collapsed="false">
      <c r="B134" s="115" t="s">
        <v>1254</v>
      </c>
      <c r="C134" s="0" t="n">
        <v>0.061455</v>
      </c>
      <c r="D134" s="751" t="n">
        <f aca="false">C134*$B$2</f>
        <v>5.223675</v>
      </c>
    </row>
    <row r="135" customFormat="false" ht="12.8" hidden="false" customHeight="false" outlineLevel="0" collapsed="false">
      <c r="B135" s="115" t="s">
        <v>1255</v>
      </c>
      <c r="C135" s="0" t="n">
        <v>0.034</v>
      </c>
      <c r="D135" s="751" t="n">
        <f aca="false">C135*$B$2</f>
        <v>2.89</v>
      </c>
    </row>
    <row r="136" customFormat="false" ht="12.8" hidden="false" customHeight="false" outlineLevel="0" collapsed="false">
      <c r="B136" s="115" t="s">
        <v>1256</v>
      </c>
      <c r="C136" s="0" t="n">
        <v>0.021335</v>
      </c>
      <c r="D136" s="751" t="n">
        <f aca="false">C136*$B$2</f>
        <v>1.813475</v>
      </c>
    </row>
    <row r="137" customFormat="false" ht="12.8" hidden="false" customHeight="false" outlineLevel="0" collapsed="false">
      <c r="B137" s="115" t="s">
        <v>1257</v>
      </c>
      <c r="C137" s="0" t="n">
        <v>0.04794</v>
      </c>
      <c r="D137" s="751" t="n">
        <f aca="false">C137*$B$2</f>
        <v>4.0749</v>
      </c>
    </row>
    <row r="138" customFormat="false" ht="12.8" hidden="false" customHeight="false" outlineLevel="0" collapsed="false">
      <c r="B138" s="115" t="s">
        <v>1258</v>
      </c>
      <c r="C138" s="0" t="n">
        <v>0.03689</v>
      </c>
      <c r="D138" s="751" t="n">
        <f aca="false">C138*$B$2</f>
        <v>3.13565</v>
      </c>
    </row>
    <row r="139" customFormat="false" ht="12.8" hidden="false" customHeight="false" outlineLevel="0" collapsed="false">
      <c r="B139" s="115" t="s">
        <v>1072</v>
      </c>
      <c r="C139" s="0" t="n">
        <v>0.855355</v>
      </c>
      <c r="D139" s="751" t="n">
        <f aca="false">C139*$B$2</f>
        <v>72.705175</v>
      </c>
    </row>
    <row r="140" customFormat="false" ht="12.8" hidden="false" customHeight="false" outlineLevel="0" collapsed="false">
      <c r="B140" s="115" t="s">
        <v>1259</v>
      </c>
      <c r="C140" s="0" t="n">
        <v>0.83283</v>
      </c>
      <c r="D140" s="751" t="n">
        <f aca="false">C140*$B$2</f>
        <v>70.79055</v>
      </c>
    </row>
    <row r="141" customFormat="false" ht="12.8" hidden="false" customHeight="false" outlineLevel="0" collapsed="false">
      <c r="B141" s="115" t="s">
        <v>1260</v>
      </c>
      <c r="C141" s="0" t="n">
        <v>0.83997</v>
      </c>
      <c r="D141" s="751" t="n">
        <f aca="false">C141*$B$2</f>
        <v>71.39745</v>
      </c>
    </row>
    <row r="142" customFormat="false" ht="12.8" hidden="false" customHeight="false" outlineLevel="0" collapsed="false">
      <c r="B142" s="115" t="s">
        <v>1261</v>
      </c>
      <c r="C142" s="0" t="n">
        <v>0.432905</v>
      </c>
      <c r="D142" s="751" t="n">
        <f aca="false">C142*$B$2</f>
        <v>36.796925</v>
      </c>
    </row>
    <row r="143" customFormat="false" ht="12.8" hidden="false" customHeight="false" outlineLevel="0" collapsed="false">
      <c r="B143" s="115" t="s">
        <v>1262</v>
      </c>
      <c r="C143" s="0" t="n">
        <v>0.625345</v>
      </c>
      <c r="D143" s="751" t="n">
        <f aca="false">C143*$B$2</f>
        <v>53.154325</v>
      </c>
    </row>
    <row r="144" customFormat="false" ht="12.8" hidden="false" customHeight="false" outlineLevel="0" collapsed="false">
      <c r="B144" s="115" t="s">
        <v>1263</v>
      </c>
      <c r="C144" s="0" t="n">
        <v>0.61302</v>
      </c>
      <c r="D144" s="751" t="n">
        <f aca="false">C144*$B$2</f>
        <v>52.1067</v>
      </c>
    </row>
    <row r="145" customFormat="false" ht="12.8" hidden="false" customHeight="false" outlineLevel="0" collapsed="false">
      <c r="B145" s="115" t="s">
        <v>1264</v>
      </c>
      <c r="C145" s="0" t="n">
        <v>1.182605</v>
      </c>
      <c r="D145" s="751" t="n">
        <f aca="false">C145*$B$2</f>
        <v>100.521425</v>
      </c>
    </row>
    <row r="146" customFormat="false" ht="12.8" hidden="false" customHeight="false" outlineLevel="0" collapsed="false">
      <c r="B146" s="115" t="s">
        <v>1265</v>
      </c>
      <c r="C146" s="0" t="n">
        <v>2.60882</v>
      </c>
      <c r="D146" s="751" t="n">
        <f aca="false">C146*$B$2</f>
        <v>221.7497</v>
      </c>
    </row>
    <row r="147" customFormat="false" ht="12.8" hidden="false" customHeight="false" outlineLevel="0" collapsed="false">
      <c r="B147" s="115" t="s">
        <v>1266</v>
      </c>
      <c r="C147" s="0" t="n">
        <v>1.26191</v>
      </c>
      <c r="D147" s="751" t="n">
        <f aca="false">C147*$B$2</f>
        <v>107.26235</v>
      </c>
    </row>
    <row r="148" customFormat="false" ht="12.8" hidden="false" customHeight="false" outlineLevel="0" collapsed="false">
      <c r="B148" s="115" t="s">
        <v>1267</v>
      </c>
      <c r="C148" s="0" t="n">
        <v>2.79327</v>
      </c>
      <c r="D148" s="751" t="n">
        <f aca="false">C148*$B$2</f>
        <v>237.42795</v>
      </c>
    </row>
    <row r="149" customFormat="false" ht="12.8" hidden="false" customHeight="false" outlineLevel="0" collapsed="false">
      <c r="B149" s="115" t="s">
        <v>1268</v>
      </c>
      <c r="C149" s="0" t="n">
        <v>1.457835</v>
      </c>
      <c r="D149" s="751" t="n">
        <f aca="false">C149*$B$2</f>
        <v>123.915975</v>
      </c>
    </row>
    <row r="150" customFormat="false" ht="12.8" hidden="false" customHeight="false" outlineLevel="0" collapsed="false">
      <c r="B150" s="115" t="s">
        <v>1269</v>
      </c>
      <c r="C150" s="0" t="n">
        <v>2.98061</v>
      </c>
      <c r="D150" s="751" t="n">
        <f aca="false">C150*$B$2</f>
        <v>253.35185</v>
      </c>
    </row>
    <row r="151" customFormat="false" ht="12.8" hidden="false" customHeight="false" outlineLevel="0" collapsed="false">
      <c r="B151" s="115" t="s">
        <v>1270</v>
      </c>
      <c r="C151" s="0" t="n">
        <v>1.54819</v>
      </c>
      <c r="D151" s="751" t="n">
        <f aca="false">C151*$B$2</f>
        <v>131.59615</v>
      </c>
    </row>
    <row r="152" customFormat="false" ht="12.8" hidden="false" customHeight="false" outlineLevel="0" collapsed="false">
      <c r="B152" s="115" t="s">
        <v>1271</v>
      </c>
      <c r="C152" s="0" t="n">
        <v>3.16506</v>
      </c>
      <c r="D152" s="751" t="n">
        <f aca="false">C152*$B$2</f>
        <v>269.0301</v>
      </c>
    </row>
    <row r="153" customFormat="false" ht="12.8" hidden="false" customHeight="false" outlineLevel="0" collapsed="false">
      <c r="B153" s="115" t="s">
        <v>1272</v>
      </c>
      <c r="C153" s="0" t="n">
        <v>1.659115</v>
      </c>
      <c r="D153" s="751" t="n">
        <f aca="false">C153*$B$2</f>
        <v>141.024775</v>
      </c>
    </row>
    <row r="154" customFormat="false" ht="12.8" hidden="false" customHeight="false" outlineLevel="0" collapsed="false">
      <c r="B154" s="115" t="s">
        <v>1273</v>
      </c>
      <c r="C154" s="0" t="n">
        <v>1.751595</v>
      </c>
      <c r="D154" s="751" t="n">
        <f aca="false">C154*$B$2</f>
        <v>148.885575</v>
      </c>
    </row>
    <row r="155" customFormat="false" ht="12.8" hidden="false" customHeight="false" outlineLevel="0" collapsed="false">
      <c r="B155" s="115" t="s">
        <v>1274</v>
      </c>
      <c r="C155" s="0" t="n">
        <v>0.946135</v>
      </c>
      <c r="D155" s="751" t="n">
        <f aca="false">C155*$B$2</f>
        <v>80.421475</v>
      </c>
    </row>
    <row r="156" customFormat="false" ht="12.8" hidden="false" customHeight="false" outlineLevel="0" collapsed="false">
      <c r="B156" s="115" t="s">
        <v>1275</v>
      </c>
      <c r="C156" s="0" t="n">
        <v>2.23703</v>
      </c>
      <c r="D156" s="751" t="n">
        <f aca="false">C156*$B$2</f>
        <v>190.14755</v>
      </c>
    </row>
    <row r="157" customFormat="false" ht="12.8" hidden="false" customHeight="false" outlineLevel="0" collapsed="false">
      <c r="B157" s="115" t="s">
        <v>1276</v>
      </c>
      <c r="C157" s="0" t="n">
        <v>1.091995</v>
      </c>
      <c r="D157" s="751" t="n">
        <f aca="false">C157*$B$2</f>
        <v>92.819575</v>
      </c>
    </row>
    <row r="158" customFormat="false" ht="12.8" hidden="false" customHeight="false" outlineLevel="0" collapsed="false">
      <c r="B158" s="115" t="s">
        <v>1277</v>
      </c>
      <c r="C158" s="0" t="n">
        <v>2.422925</v>
      </c>
      <c r="D158" s="751" t="n">
        <f aca="false">C158*$B$2</f>
        <v>205.948625</v>
      </c>
    </row>
    <row r="159" customFormat="false" ht="12.8" hidden="false" customHeight="false" outlineLevel="0" collapsed="false">
      <c r="B159" s="115" t="s">
        <v>1278</v>
      </c>
      <c r="C159" s="0" t="n">
        <v>1.160335</v>
      </c>
      <c r="D159" s="751" t="n">
        <f aca="false">C159*$B$2</f>
        <v>98.628475</v>
      </c>
    </row>
    <row r="160" customFormat="false" ht="12.8" hidden="false" customHeight="false" outlineLevel="0" collapsed="false">
      <c r="B160" s="115" t="s">
        <v>1279</v>
      </c>
      <c r="C160" s="0" t="n">
        <v>0.085425</v>
      </c>
      <c r="D160" s="751" t="n">
        <f aca="false">C160*$B$2</f>
        <v>7.261125</v>
      </c>
    </row>
    <row r="161" customFormat="false" ht="12.8" hidden="false" customHeight="false" outlineLevel="0" collapsed="false">
      <c r="B161" s="115" t="s">
        <v>1280</v>
      </c>
      <c r="C161" s="0" t="n">
        <v>0.35003</v>
      </c>
      <c r="D161" s="751" t="n">
        <f aca="false">C161*$B$2</f>
        <v>29.75255</v>
      </c>
    </row>
    <row r="162" customFormat="false" ht="12.8" hidden="false" customHeight="false" outlineLevel="0" collapsed="false">
      <c r="B162" s="115" t="s">
        <v>1281</v>
      </c>
      <c r="C162" s="0" t="n">
        <v>0.23715</v>
      </c>
      <c r="D162" s="751" t="n">
        <f aca="false">C162*$B$2</f>
        <v>20.15775</v>
      </c>
    </row>
    <row r="163" customFormat="false" ht="12.8" hidden="false" customHeight="false" outlineLevel="0" collapsed="false">
      <c r="B163" s="115" t="s">
        <v>1282</v>
      </c>
      <c r="C163" s="0" t="n">
        <v>0.16898</v>
      </c>
      <c r="D163" s="751" t="n">
        <f aca="false">C163*$B$2</f>
        <v>14.3633</v>
      </c>
    </row>
    <row r="164" customFormat="false" ht="12.8" hidden="false" customHeight="false" outlineLevel="0" collapsed="false">
      <c r="B164" s="115" t="s">
        <v>1283</v>
      </c>
      <c r="C164" s="0" t="n">
        <v>0.187595</v>
      </c>
      <c r="D164" s="751" t="n">
        <f aca="false">C164*$B$2</f>
        <v>15.945575</v>
      </c>
    </row>
    <row r="165" customFormat="false" ht="12.8" hidden="false" customHeight="false" outlineLevel="0" collapsed="false">
      <c r="B165" s="115" t="s">
        <v>1073</v>
      </c>
      <c r="C165" s="0" t="n">
        <v>0.02295</v>
      </c>
      <c r="D165" s="751" t="n">
        <f aca="false">C165*$B$2</f>
        <v>1.95075</v>
      </c>
    </row>
    <row r="166" customFormat="false" ht="12.8" hidden="false" customHeight="false" outlineLevel="0" collapsed="false">
      <c r="B166" s="115" t="n">
        <v>0</v>
      </c>
      <c r="D166" s="751" t="n">
        <f aca="false">C166*$B$2</f>
        <v>0</v>
      </c>
    </row>
    <row r="167" customFormat="false" ht="12.8" hidden="false" customHeight="false" outlineLevel="0" collapsed="false">
      <c r="B167" s="115" t="s">
        <v>1284</v>
      </c>
      <c r="C167" s="0" t="n">
        <v>0.164985</v>
      </c>
      <c r="D167" s="751" t="n">
        <f aca="false">C167*$B$2</f>
        <v>14.023725</v>
      </c>
    </row>
    <row r="168" customFormat="false" ht="12.8" hidden="false" customHeight="false" outlineLevel="0" collapsed="false">
      <c r="B168" s="115" t="s">
        <v>1285</v>
      </c>
      <c r="C168" s="0" t="n">
        <v>0.191335</v>
      </c>
      <c r="D168" s="751" t="n">
        <f aca="false">C168*$B$2</f>
        <v>16.263475</v>
      </c>
    </row>
    <row r="169" customFormat="false" ht="12.8" hidden="false" customHeight="false" outlineLevel="0" collapsed="false">
      <c r="B169" s="115" t="s">
        <v>1286</v>
      </c>
      <c r="C169" s="0" t="n">
        <v>0.130645</v>
      </c>
      <c r="D169" s="751" t="n">
        <f aca="false">C169*$B$2</f>
        <v>11.104825</v>
      </c>
    </row>
    <row r="170" customFormat="false" ht="12.8" hidden="false" customHeight="false" outlineLevel="0" collapsed="false">
      <c r="B170" s="115" t="s">
        <v>1287</v>
      </c>
      <c r="C170" s="0" t="n">
        <v>0.1224</v>
      </c>
      <c r="D170" s="751" t="n">
        <f aca="false">C170*$B$2</f>
        <v>10.404</v>
      </c>
    </row>
    <row r="171" customFormat="false" ht="12.8" hidden="false" customHeight="false" outlineLevel="0" collapsed="false">
      <c r="B171" s="115" t="s">
        <v>1288</v>
      </c>
      <c r="C171" s="0" t="n">
        <v>0.30294</v>
      </c>
      <c r="D171" s="751" t="n">
        <f aca="false">C171*$B$2</f>
        <v>25.7499</v>
      </c>
    </row>
    <row r="172" customFormat="false" ht="12.8" hidden="false" customHeight="false" outlineLevel="0" collapsed="false">
      <c r="B172" s="115" t="s">
        <v>1289</v>
      </c>
      <c r="C172" s="0" t="n">
        <v>0.3485</v>
      </c>
      <c r="D172" s="751" t="n">
        <f aca="false">C172*$B$2</f>
        <v>29.6225</v>
      </c>
    </row>
    <row r="173" customFormat="false" ht="12.8" hidden="false" customHeight="false" outlineLevel="0" collapsed="false">
      <c r="B173" s="115" t="s">
        <v>1290</v>
      </c>
      <c r="C173" s="0" t="n">
        <v>0.45373</v>
      </c>
      <c r="D173" s="751" t="n">
        <f aca="false">C173*$B$2</f>
        <v>38.56705</v>
      </c>
    </row>
    <row r="174" customFormat="false" ht="12.8" hidden="false" customHeight="false" outlineLevel="0" collapsed="false">
      <c r="B174" s="115" t="s">
        <v>1291</v>
      </c>
      <c r="C174" s="0" t="n">
        <v>0.331245</v>
      </c>
      <c r="D174" s="751" t="n">
        <f aca="false">C174*$B$2</f>
        <v>28.155825</v>
      </c>
    </row>
    <row r="175" customFormat="false" ht="12.8" hidden="false" customHeight="false" outlineLevel="0" collapsed="false">
      <c r="B175" s="115" t="s">
        <v>1292</v>
      </c>
      <c r="C175" s="0" t="n">
        <v>0.21046</v>
      </c>
      <c r="D175" s="751" t="n">
        <f aca="false">C175*$B$2</f>
        <v>17.8891</v>
      </c>
    </row>
    <row r="176" customFormat="false" ht="12.8" hidden="false" customHeight="false" outlineLevel="0" collapsed="false">
      <c r="B176" s="115" t="s">
        <v>1293</v>
      </c>
      <c r="C176" s="0" t="n">
        <v>0.60469</v>
      </c>
      <c r="D176" s="751" t="n">
        <f aca="false">C176*$B$2</f>
        <v>51.39865</v>
      </c>
    </row>
    <row r="177" customFormat="false" ht="12.8" hidden="false" customHeight="false" outlineLevel="0" collapsed="false">
      <c r="B177" s="115" t="s">
        <v>1294</v>
      </c>
      <c r="C177" s="0" t="n">
        <v>0.783445</v>
      </c>
      <c r="D177" s="751" t="n">
        <f aca="false">C177*$B$2</f>
        <v>66.592825</v>
      </c>
    </row>
    <row r="178" customFormat="false" ht="12.8" hidden="false" customHeight="false" outlineLevel="0" collapsed="false">
      <c r="B178" s="115" t="s">
        <v>1295</v>
      </c>
      <c r="C178" s="0" t="n">
        <v>0.046835</v>
      </c>
      <c r="D178" s="751" t="n">
        <f aca="false">C178*$B$2</f>
        <v>3.980975</v>
      </c>
    </row>
    <row r="179" customFormat="false" ht="12.8" hidden="false" customHeight="false" outlineLevel="0" collapsed="false">
      <c r="B179" s="115" t="s">
        <v>1296</v>
      </c>
      <c r="C179" s="0" t="n">
        <v>0.05389</v>
      </c>
      <c r="D179" s="751" t="n">
        <f aca="false">C179*$B$2</f>
        <v>4.58065</v>
      </c>
    </row>
    <row r="180" customFormat="false" ht="12.8" hidden="false" customHeight="false" outlineLevel="0" collapsed="false">
      <c r="B180" s="115" t="s">
        <v>1297</v>
      </c>
      <c r="C180" s="0" t="n">
        <v>0.066215</v>
      </c>
      <c r="D180" s="751" t="n">
        <f aca="false">C180*$B$2</f>
        <v>5.628275</v>
      </c>
    </row>
    <row r="181" customFormat="false" ht="12.8" hidden="false" customHeight="false" outlineLevel="0" collapsed="false">
      <c r="B181" s="115" t="s">
        <v>1298</v>
      </c>
      <c r="C181" s="0" t="n">
        <v>0.07633</v>
      </c>
      <c r="D181" s="751" t="n">
        <f aca="false">C181*$B$2</f>
        <v>6.48805</v>
      </c>
    </row>
    <row r="182" customFormat="false" ht="12.8" hidden="false" customHeight="false" outlineLevel="0" collapsed="false">
      <c r="B182" s="115" t="s">
        <v>1299</v>
      </c>
      <c r="C182" s="0" t="n">
        <v>0.203065</v>
      </c>
      <c r="D182" s="751" t="n">
        <f aca="false">C182*$B$2</f>
        <v>17.260525</v>
      </c>
    </row>
    <row r="183" customFormat="false" ht="12.8" hidden="false" customHeight="false" outlineLevel="0" collapsed="false">
      <c r="B183" s="115" t="s">
        <v>1300</v>
      </c>
      <c r="C183" s="0" t="n">
        <v>0.21318</v>
      </c>
      <c r="D183" s="751" t="n">
        <f aca="false">C183*$B$2</f>
        <v>18.1203</v>
      </c>
    </row>
    <row r="184" customFormat="false" ht="12.8" hidden="false" customHeight="false" outlineLevel="0" collapsed="false">
      <c r="B184" s="115" t="s">
        <v>1301</v>
      </c>
      <c r="C184" s="0" t="n">
        <v>1.711475</v>
      </c>
      <c r="D184" s="751" t="n">
        <f aca="false">C184*$B$2</f>
        <v>145.475375</v>
      </c>
    </row>
    <row r="185" customFormat="false" ht="12.8" hidden="false" customHeight="false" outlineLevel="0" collapsed="false">
      <c r="B185" s="115" t="s">
        <v>1302</v>
      </c>
      <c r="C185" s="0" t="n">
        <v>0.1268023455</v>
      </c>
      <c r="D185" s="751" t="n">
        <f aca="false">C185*$B$2</f>
        <v>10.7781993675</v>
      </c>
    </row>
    <row r="186" customFormat="false" ht="12.8" hidden="false" customHeight="false" outlineLevel="0" collapsed="false">
      <c r="B186" s="115" t="s">
        <v>1303</v>
      </c>
      <c r="C186" s="0" t="n">
        <v>1.015665</v>
      </c>
      <c r="D186" s="751" t="n">
        <f aca="false">C186*$B$2</f>
        <v>86.331525</v>
      </c>
    </row>
    <row r="187" customFormat="false" ht="12.8" hidden="false" customHeight="false" outlineLevel="0" collapsed="false">
      <c r="B187" s="115" t="s">
        <v>1304</v>
      </c>
      <c r="C187" s="0" t="n">
        <v>1.774885</v>
      </c>
      <c r="D187" s="751" t="n">
        <f aca="false">C187*$B$2</f>
        <v>150.865225</v>
      </c>
    </row>
    <row r="188" customFormat="false" ht="12.8" hidden="false" customHeight="false" outlineLevel="0" collapsed="false">
      <c r="B188" s="115" t="s">
        <v>1305</v>
      </c>
      <c r="C188" s="0" t="n">
        <v>0.01785</v>
      </c>
      <c r="D188" s="751" t="n">
        <f aca="false">C188*$B$2</f>
        <v>1.51725</v>
      </c>
    </row>
    <row r="189" customFormat="false" ht="12.8" hidden="false" customHeight="false" outlineLevel="0" collapsed="false">
      <c r="B189" s="115" t="n">
        <v>0</v>
      </c>
      <c r="D189" s="751" t="n">
        <f aca="false">C189*$B$2</f>
        <v>0</v>
      </c>
    </row>
    <row r="190" customFormat="false" ht="12.8" hidden="false" customHeight="false" outlineLevel="0" collapsed="false">
      <c r="B190" s="115" t="s">
        <v>1306</v>
      </c>
      <c r="C190" s="0" t="n">
        <v>0.33575</v>
      </c>
      <c r="D190" s="751" t="n">
        <f aca="false">C190*$B$2</f>
        <v>28.53875</v>
      </c>
    </row>
    <row r="191" customFormat="false" ht="12.8" hidden="false" customHeight="false" outlineLevel="0" collapsed="false">
      <c r="B191" s="115" t="s">
        <v>1307</v>
      </c>
      <c r="C191" s="0" t="n">
        <v>0.3621</v>
      </c>
      <c r="D191" s="751" t="n">
        <f aca="false">C191*$B$2</f>
        <v>30.7785</v>
      </c>
    </row>
    <row r="192" customFormat="false" ht="12.8" hidden="false" customHeight="false" outlineLevel="0" collapsed="false">
      <c r="B192" s="115" t="s">
        <v>1308</v>
      </c>
      <c r="C192" s="0" t="n">
        <v>0.386155</v>
      </c>
      <c r="D192" s="751" t="n">
        <f aca="false">C192*$B$2</f>
        <v>32.823175</v>
      </c>
    </row>
    <row r="193" customFormat="false" ht="12.8" hidden="false" customHeight="false" outlineLevel="0" collapsed="false">
      <c r="B193" s="115" t="s">
        <v>1309</v>
      </c>
      <c r="C193" s="0" t="n">
        <v>0.23222</v>
      </c>
      <c r="D193" s="751" t="n">
        <f aca="false">C193*$B$2</f>
        <v>19.7387</v>
      </c>
    </row>
    <row r="194" customFormat="false" ht="12.8" hidden="false" customHeight="false" outlineLevel="0" collapsed="false">
      <c r="B194" s="115" t="s">
        <v>1310</v>
      </c>
      <c r="C194" s="0" t="n">
        <v>0.115855</v>
      </c>
      <c r="D194" s="751" t="n">
        <f aca="false">C194*$B$2</f>
        <v>9.847675</v>
      </c>
    </row>
    <row r="195" customFormat="false" ht="12.8" hidden="false" customHeight="false" outlineLevel="0" collapsed="false">
      <c r="B195" s="115" t="s">
        <v>1311</v>
      </c>
      <c r="C195" s="0" t="n">
        <v>0.110585</v>
      </c>
      <c r="D195" s="751" t="n">
        <f aca="false">C195*$B$2</f>
        <v>9.399725</v>
      </c>
    </row>
    <row r="196" customFormat="false" ht="12.8" hidden="false" customHeight="false" outlineLevel="0" collapsed="false">
      <c r="B196" s="115" t="s">
        <v>1312</v>
      </c>
      <c r="C196" s="0" t="n">
        <v>0.12716</v>
      </c>
      <c r="D196" s="751" t="n">
        <f aca="false">C196*$B$2</f>
        <v>10.8086</v>
      </c>
    </row>
    <row r="197" customFormat="false" ht="12.8" hidden="false" customHeight="false" outlineLevel="0" collapsed="false">
      <c r="B197" s="115" t="s">
        <v>1313</v>
      </c>
      <c r="C197" s="0" t="n">
        <v>0.201875</v>
      </c>
      <c r="D197" s="751" t="n">
        <f aca="false">C197*$B$2</f>
        <v>17.159375</v>
      </c>
    </row>
    <row r="198" customFormat="false" ht="12.8" hidden="false" customHeight="false" outlineLevel="0" collapsed="false">
      <c r="B198" s="115" t="s">
        <v>1314</v>
      </c>
      <c r="C198" s="0" t="n">
        <v>0.23222</v>
      </c>
      <c r="D198" s="751" t="n">
        <f aca="false">C198*$B$2</f>
        <v>19.7387</v>
      </c>
    </row>
    <row r="199" customFormat="false" ht="12.8" hidden="false" customHeight="false" outlineLevel="0" collapsed="false">
      <c r="B199" s="115" t="s">
        <v>1315</v>
      </c>
      <c r="C199" s="0" t="n">
        <v>0.4148</v>
      </c>
      <c r="D199" s="751" t="n">
        <f aca="false">C199*$B$2</f>
        <v>35.258</v>
      </c>
    </row>
    <row r="200" customFormat="false" ht="12.8" hidden="false" customHeight="false" outlineLevel="0" collapsed="false">
      <c r="B200" s="115" t="s">
        <v>1316</v>
      </c>
      <c r="C200" s="0" t="n">
        <v>0.484415</v>
      </c>
      <c r="D200" s="751" t="n">
        <f aca="false">C200*$B$2</f>
        <v>41.175275</v>
      </c>
    </row>
    <row r="201" customFormat="false" ht="12.8" hidden="false" customHeight="false" outlineLevel="0" collapsed="false">
      <c r="B201" s="115" t="s">
        <v>1317</v>
      </c>
      <c r="C201" s="0" t="n">
        <v>1.82818</v>
      </c>
      <c r="D201" s="751" t="n">
        <f aca="false">C201*$B$2</f>
        <v>155.3953</v>
      </c>
    </row>
    <row r="202" customFormat="false" ht="12.8" hidden="false" customHeight="false" outlineLevel="0" collapsed="false">
      <c r="B202" s="115" t="s">
        <v>1318</v>
      </c>
      <c r="C202" s="0" t="n">
        <v>2.27426</v>
      </c>
      <c r="D202" s="751" t="n">
        <f aca="false">C202*$B$2</f>
        <v>193.3121</v>
      </c>
    </row>
    <row r="203" customFormat="false" ht="12.8" hidden="false" customHeight="false" outlineLevel="0" collapsed="false">
      <c r="B203" s="115" t="s">
        <v>1293</v>
      </c>
      <c r="C203" s="0" t="n">
        <v>0.64821</v>
      </c>
      <c r="D203" s="751" t="n">
        <f aca="false">C203*$B$2</f>
        <v>55.09785</v>
      </c>
    </row>
    <row r="204" customFormat="false" ht="12.8" hidden="false" customHeight="false" outlineLevel="0" collapsed="false">
      <c r="B204" s="115" t="s">
        <v>1294</v>
      </c>
      <c r="C204" s="0" t="n">
        <v>0.70567</v>
      </c>
      <c r="D204" s="751" t="n">
        <f aca="false">C204*$B$2</f>
        <v>59.98195</v>
      </c>
    </row>
    <row r="205" customFormat="false" ht="12.8" hidden="false" customHeight="false" outlineLevel="0" collapsed="false">
      <c r="B205" s="115" t="s">
        <v>1319</v>
      </c>
      <c r="C205" s="0" t="n">
        <v>0.04369</v>
      </c>
      <c r="D205" s="751" t="n">
        <f aca="false">C205*$B$2</f>
        <v>3.71365</v>
      </c>
    </row>
    <row r="206" customFormat="false" ht="12.8" hidden="false" customHeight="false" outlineLevel="0" collapsed="false">
      <c r="B206" s="115" t="s">
        <v>1320</v>
      </c>
      <c r="C206" s="0" t="n">
        <v>0.041395</v>
      </c>
      <c r="D206" s="751" t="n">
        <f aca="false">C206*$B$2</f>
        <v>3.518575</v>
      </c>
    </row>
    <row r="207" customFormat="false" ht="12.8" hidden="false" customHeight="false" outlineLevel="0" collapsed="false">
      <c r="B207" s="115" t="s">
        <v>1321</v>
      </c>
      <c r="C207" s="0" t="n">
        <v>0.274805</v>
      </c>
      <c r="D207" s="751" t="n">
        <f aca="false">C207*$B$2</f>
        <v>23.358425</v>
      </c>
    </row>
    <row r="208" customFormat="false" ht="12.8" hidden="false" customHeight="false" outlineLevel="0" collapsed="false">
      <c r="B208" s="115" t="s">
        <v>1322</v>
      </c>
      <c r="C208" s="0" t="n">
        <v>0.24344</v>
      </c>
      <c r="D208" s="751" t="n">
        <f aca="false">C208*$B$2</f>
        <v>20.6924</v>
      </c>
    </row>
    <row r="209" customFormat="false" ht="12.8" hidden="false" customHeight="false" outlineLevel="0" collapsed="false">
      <c r="B209" s="115" t="s">
        <v>1323</v>
      </c>
      <c r="C209" s="0" t="n">
        <v>1.584825</v>
      </c>
      <c r="D209" s="751" t="n">
        <f aca="false">C209*$B$2</f>
        <v>134.710125</v>
      </c>
    </row>
    <row r="210" customFormat="false" ht="12.8" hidden="false" customHeight="false" outlineLevel="0" collapsed="false">
      <c r="B210" s="115" t="s">
        <v>1324</v>
      </c>
      <c r="C210" s="0" t="n">
        <v>1.34147</v>
      </c>
      <c r="D210" s="751" t="n">
        <f aca="false">C210*$B$2</f>
        <v>114.02495</v>
      </c>
    </row>
    <row r="211" customFormat="false" ht="12.8" hidden="false" customHeight="false" outlineLevel="0" collapsed="false">
      <c r="B211" s="115" t="s">
        <v>1325</v>
      </c>
      <c r="C211" s="0" t="n">
        <v>2.165035</v>
      </c>
      <c r="D211" s="751" t="n">
        <f aca="false">C211*$B$2</f>
        <v>184.027975</v>
      </c>
    </row>
    <row r="212" customFormat="false" ht="12.8" hidden="false" customHeight="false" outlineLevel="0" collapsed="false">
      <c r="B212" s="115" t="s">
        <v>1326</v>
      </c>
      <c r="C212" s="0" t="n">
        <v>2.00872</v>
      </c>
      <c r="D212" s="751" t="n">
        <f aca="false">C212*$B$2</f>
        <v>170.7412</v>
      </c>
    </row>
    <row r="213" customFormat="false" ht="12.8" hidden="false" customHeight="false" outlineLevel="0" collapsed="false">
      <c r="B213" s="115" t="s">
        <v>1327</v>
      </c>
      <c r="C213" s="0" t="n">
        <v>1.86524</v>
      </c>
      <c r="D213" s="751" t="n">
        <f aca="false">C213*$B$2</f>
        <v>158.5454</v>
      </c>
    </row>
    <row r="214" customFormat="false" ht="12.8" hidden="false" customHeight="false" outlineLevel="0" collapsed="false">
      <c r="B214" s="115" t="s">
        <v>1328</v>
      </c>
      <c r="C214" s="0" t="n">
        <v>2.86025</v>
      </c>
      <c r="D214" s="751" t="n">
        <f aca="false">C214*$B$2</f>
        <v>243.12125</v>
      </c>
    </row>
    <row r="215" customFormat="false" ht="12.8" hidden="false" customHeight="false" outlineLevel="0" collapsed="false">
      <c r="B215" s="115" t="s">
        <v>1329</v>
      </c>
      <c r="C215" s="0" t="n">
        <v>3.23476</v>
      </c>
      <c r="D215" s="751" t="n">
        <f aca="false">C215*$B$2</f>
        <v>274.9546</v>
      </c>
    </row>
    <row r="216" customFormat="false" ht="12.8" hidden="false" customHeight="false" outlineLevel="0" collapsed="false">
      <c r="B216" s="115" t="s">
        <v>1330</v>
      </c>
      <c r="C216" s="0" t="n">
        <v>3.23476</v>
      </c>
      <c r="D216" s="751" t="n">
        <f aca="false">C216*$B$2</f>
        <v>274.9546</v>
      </c>
    </row>
    <row r="217" customFormat="false" ht="12.8" hidden="false" customHeight="false" outlineLevel="0" collapsed="false">
      <c r="B217" s="115" t="n">
        <v>0</v>
      </c>
      <c r="D217" s="751" t="n">
        <f aca="false">C217*$B$2</f>
        <v>0</v>
      </c>
    </row>
    <row r="218" customFormat="false" ht="12.8" hidden="false" customHeight="false" outlineLevel="0" collapsed="false">
      <c r="B218" s="115" t="s">
        <v>1331</v>
      </c>
      <c r="C218" s="0" t="n">
        <v>1.41015</v>
      </c>
      <c r="D218" s="751" t="n">
        <f aca="false">C218*$B$2</f>
        <v>119.86275</v>
      </c>
    </row>
    <row r="219" customFormat="false" ht="12.8" hidden="false" customHeight="false" outlineLevel="0" collapsed="false">
      <c r="B219" s="115" t="s">
        <v>1332</v>
      </c>
      <c r="C219" s="0" t="n">
        <v>2.539545</v>
      </c>
      <c r="D219" s="751" t="n">
        <f aca="false">C219*$B$2</f>
        <v>215.861325</v>
      </c>
    </row>
    <row r="220" customFormat="false" ht="12.8" hidden="false" customHeight="false" outlineLevel="0" collapsed="false">
      <c r="B220" s="115" t="s">
        <v>1078</v>
      </c>
      <c r="C220" s="0" t="n">
        <v>2.49084</v>
      </c>
      <c r="D220" s="751" t="n">
        <f aca="false">C220*$B$2</f>
        <v>211.7214</v>
      </c>
    </row>
    <row r="221" customFormat="false" ht="12.8" hidden="false" customHeight="false" outlineLevel="0" collapsed="false">
      <c r="B221" s="115" t="s">
        <v>1333</v>
      </c>
      <c r="C221" s="0" t="n">
        <v>4.111535</v>
      </c>
      <c r="D221" s="751" t="n">
        <f aca="false">C221*$B$2</f>
        <v>349.480475</v>
      </c>
    </row>
    <row r="222" customFormat="false" ht="12.8" hidden="false" customHeight="false" outlineLevel="0" collapsed="false">
      <c r="B222" s="115" t="s">
        <v>1334</v>
      </c>
      <c r="C222" s="0" t="n">
        <v>4.607255</v>
      </c>
      <c r="D222" s="751" t="n">
        <f aca="false">C222*$B$2</f>
        <v>391.616675</v>
      </c>
    </row>
    <row r="223" customFormat="false" ht="12.8" hidden="false" customHeight="false" outlineLevel="0" collapsed="false">
      <c r="B223" s="115" t="s">
        <v>1335</v>
      </c>
      <c r="C223" s="0" t="n">
        <v>8.07398</v>
      </c>
      <c r="D223" s="751" t="n">
        <f aca="false">C223*$B$2</f>
        <v>686.2883</v>
      </c>
    </row>
    <row r="224" customFormat="false" ht="12.8" hidden="false" customHeight="false" outlineLevel="0" collapsed="false">
      <c r="B224" s="115" t="s">
        <v>1336</v>
      </c>
      <c r="C224" s="0" t="n">
        <v>2.3698</v>
      </c>
      <c r="D224" s="751" t="n">
        <f aca="false">C224*$B$2</f>
        <v>201.433</v>
      </c>
    </row>
    <row r="225" customFormat="false" ht="12.8" hidden="false" customHeight="false" outlineLevel="0" collapsed="false">
      <c r="B225" s="115" t="s">
        <v>1337</v>
      </c>
      <c r="C225" s="0" t="n">
        <v>4.06487</v>
      </c>
      <c r="D225" s="751" t="n">
        <f aca="false">C225*$B$2</f>
        <v>345.51395</v>
      </c>
    </row>
    <row r="226" customFormat="false" ht="12.8" hidden="false" customHeight="false" outlineLevel="0" collapsed="false">
      <c r="B226" s="115" t="s">
        <v>1338</v>
      </c>
      <c r="C226" s="0" t="n">
        <v>1.608965</v>
      </c>
      <c r="D226" s="751" t="n">
        <f aca="false">C226*$B$2</f>
        <v>136.762025</v>
      </c>
    </row>
    <row r="227" customFormat="false" ht="12.8" hidden="false" customHeight="false" outlineLevel="0" collapsed="false">
      <c r="B227" s="115" t="s">
        <v>1077</v>
      </c>
      <c r="C227" s="0" t="n">
        <v>3.3133</v>
      </c>
      <c r="D227" s="751" t="n">
        <f aca="false">C227*$B$2</f>
        <v>281.6305</v>
      </c>
    </row>
    <row r="228" customFormat="false" ht="12.8" hidden="false" customHeight="false" outlineLevel="0" collapsed="false">
      <c r="B228" s="115" t="s">
        <v>1339</v>
      </c>
      <c r="C228" s="0" t="n">
        <v>2.610265</v>
      </c>
      <c r="D228" s="751" t="n">
        <f aca="false">C228*$B$2</f>
        <v>221.872525</v>
      </c>
    </row>
    <row r="229" customFormat="false" ht="12.8" hidden="false" customHeight="false" outlineLevel="0" collapsed="false">
      <c r="B229" s="115" t="s">
        <v>1340</v>
      </c>
      <c r="C229" s="0" t="n">
        <v>12.74592</v>
      </c>
      <c r="D229" s="751" t="n">
        <f aca="false">C229*$B$2</f>
        <v>1083.4032</v>
      </c>
    </row>
    <row r="230" customFormat="false" ht="12.8" hidden="false" customHeight="false" outlineLevel="0" collapsed="false">
      <c r="B230" s="115" t="s">
        <v>1341</v>
      </c>
      <c r="C230" s="0" t="n">
        <v>8.684535</v>
      </c>
      <c r="D230" s="751" t="n">
        <f aca="false">C230*$B$2</f>
        <v>738.185475</v>
      </c>
    </row>
    <row r="231" customFormat="false" ht="12.8" hidden="false" customHeight="false" outlineLevel="0" collapsed="false">
      <c r="B231" s="115" t="s">
        <v>1342</v>
      </c>
      <c r="C231" s="0" t="n">
        <v>8.684535</v>
      </c>
      <c r="D231" s="751" t="n">
        <f aca="false">C231*$B$2</f>
        <v>738.185475</v>
      </c>
    </row>
    <row r="232" customFormat="false" ht="12.8" hidden="false" customHeight="false" outlineLevel="0" collapsed="false">
      <c r="B232" s="115" t="s">
        <v>1343</v>
      </c>
      <c r="C232" s="0" t="n">
        <v>6.69375</v>
      </c>
      <c r="D232" s="751" t="n">
        <f aca="false">C232*$B$2</f>
        <v>568.96875</v>
      </c>
    </row>
    <row r="233" customFormat="false" ht="12.8" hidden="false" customHeight="false" outlineLevel="0" collapsed="false">
      <c r="B233" s="115" t="s">
        <v>1344</v>
      </c>
      <c r="C233" s="0" t="n">
        <v>13.776885</v>
      </c>
      <c r="D233" s="751" t="n">
        <f aca="false">C233*$B$2</f>
        <v>1171.035225</v>
      </c>
    </row>
    <row r="234" customFormat="false" ht="12.8" hidden="false" customHeight="false" outlineLevel="0" collapsed="false">
      <c r="B234" s="115" t="s">
        <v>1345</v>
      </c>
      <c r="C234" s="0" t="n">
        <v>4.7736</v>
      </c>
      <c r="D234" s="751" t="n">
        <f aca="false">C234*$B$2</f>
        <v>405.756</v>
      </c>
    </row>
    <row r="235" customFormat="false" ht="12.8" hidden="false" customHeight="false" outlineLevel="0" collapsed="false">
      <c r="B235" s="115" t="s">
        <v>1346</v>
      </c>
      <c r="C235" s="0" t="n">
        <v>0.0629</v>
      </c>
      <c r="D235" s="751" t="n">
        <f aca="false">C235*$B$2</f>
        <v>5.3465</v>
      </c>
    </row>
    <row r="236" customFormat="false" ht="12.8" hidden="false" customHeight="false" outlineLevel="0" collapsed="false">
      <c r="B236" s="115" t="s">
        <v>1347</v>
      </c>
      <c r="C236" s="0" t="n">
        <v>0.02584</v>
      </c>
      <c r="D236" s="751" t="n">
        <f aca="false">C236*$B$2</f>
        <v>2.1964</v>
      </c>
    </row>
    <row r="237" customFormat="false" ht="12.8" hidden="false" customHeight="false" outlineLevel="0" collapsed="false">
      <c r="B237" s="115" t="s">
        <v>1348</v>
      </c>
      <c r="C237" s="0" t="n">
        <v>0.02584</v>
      </c>
      <c r="D237" s="751" t="n">
        <f aca="false">C237*$B$2</f>
        <v>2.1964</v>
      </c>
    </row>
    <row r="238" customFormat="false" ht="12.8" hidden="false" customHeight="false" outlineLevel="0" collapsed="false">
      <c r="B238" s="115" t="s">
        <v>1349</v>
      </c>
      <c r="C238" s="0" t="n">
        <v>0.0629</v>
      </c>
      <c r="D238" s="751" t="n">
        <f aca="false">C238*$B$2</f>
        <v>5.3465</v>
      </c>
    </row>
    <row r="239" customFormat="false" ht="12.8" hidden="false" customHeight="false" outlineLevel="0" collapsed="false">
      <c r="B239" s="115" t="s">
        <v>1350</v>
      </c>
      <c r="C239" s="0" t="n">
        <v>0.0357</v>
      </c>
      <c r="D239" s="751" t="n">
        <f aca="false">C239*$B$2</f>
        <v>3.0345</v>
      </c>
    </row>
    <row r="240" customFormat="false" ht="12.8" hidden="false" customHeight="false" outlineLevel="0" collapsed="false">
      <c r="B240" s="115" t="s">
        <v>1351</v>
      </c>
      <c r="C240" s="0" t="n">
        <v>0.0550600505</v>
      </c>
      <c r="D240" s="751" t="n">
        <f aca="false">C240*$B$2</f>
        <v>4.6801042925</v>
      </c>
    </row>
    <row r="241" customFormat="false" ht="12.8" hidden="false" customHeight="false" outlineLevel="0" collapsed="false">
      <c r="B241" s="115" t="s">
        <v>1076</v>
      </c>
      <c r="C241" s="0" t="n">
        <v>0.300645</v>
      </c>
      <c r="D241" s="751" t="n">
        <f aca="false">C241*$B$2</f>
        <v>25.554825</v>
      </c>
    </row>
    <row r="242" customFormat="false" ht="12.8" hidden="false" customHeight="false" outlineLevel="0" collapsed="false">
      <c r="B242" s="115" t="s">
        <v>1352</v>
      </c>
      <c r="C242" s="0" t="n">
        <v>0.210205</v>
      </c>
      <c r="D242" s="751" t="n">
        <f aca="false">C242*$B$2</f>
        <v>17.867425</v>
      </c>
    </row>
    <row r="243" customFormat="false" ht="12.8" hidden="false" customHeight="false" outlineLevel="0" collapsed="false">
      <c r="B243" s="115" t="s">
        <v>1353</v>
      </c>
      <c r="C243" s="0" t="n">
        <v>0.455855</v>
      </c>
      <c r="D243" s="751" t="n">
        <f aca="false">C243*$B$2</f>
        <v>38.747675</v>
      </c>
    </row>
    <row r="244" customFormat="false" ht="12.8" hidden="false" customHeight="false" outlineLevel="0" collapsed="false">
      <c r="B244" s="115" t="s">
        <v>1354</v>
      </c>
      <c r="C244" s="0" t="n">
        <v>0.354535</v>
      </c>
      <c r="D244" s="751" t="n">
        <f aca="false">C244*$B$2</f>
        <v>30.135475</v>
      </c>
    </row>
    <row r="245" customFormat="false" ht="12.8" hidden="false" customHeight="false" outlineLevel="0" collapsed="false">
      <c r="B245" s="115" t="s">
        <v>1355</v>
      </c>
      <c r="C245" s="0" t="n">
        <v>0.5287</v>
      </c>
      <c r="D245" s="751" t="n">
        <f aca="false">C245*$B$2</f>
        <v>44.9395</v>
      </c>
    </row>
    <row r="246" customFormat="false" ht="12.8" hidden="false" customHeight="false" outlineLevel="0" collapsed="false">
      <c r="B246" s="115" t="s">
        <v>1356</v>
      </c>
      <c r="C246" s="0" t="n">
        <v>0.42687</v>
      </c>
      <c r="D246" s="751" t="n">
        <f aca="false">C246*$B$2</f>
        <v>36.28395</v>
      </c>
    </row>
    <row r="247" customFormat="false" ht="12.8" hidden="false" customHeight="false" outlineLevel="0" collapsed="false">
      <c r="B247" s="115" t="s">
        <v>1357</v>
      </c>
      <c r="C247" s="0" t="n">
        <v>0.334305</v>
      </c>
      <c r="D247" s="751" t="n">
        <f aca="false">C247*$B$2</f>
        <v>28.415925</v>
      </c>
    </row>
    <row r="248" customFormat="false" ht="12.8" hidden="false" customHeight="false" outlineLevel="0" collapsed="false">
      <c r="B248" s="115" t="s">
        <v>1081</v>
      </c>
      <c r="C248" s="0" t="n">
        <v>0.162265</v>
      </c>
      <c r="D248" s="751" t="n">
        <f aca="false">C248*$B$2</f>
        <v>13.792525</v>
      </c>
    </row>
    <row r="249" customFormat="false" ht="12.8" hidden="false" customHeight="false" outlineLevel="0" collapsed="false">
      <c r="B249" s="115" t="s">
        <v>1358</v>
      </c>
      <c r="C249" s="0" t="n">
        <v>1.356855</v>
      </c>
      <c r="D249" s="751" t="n">
        <f aca="false">C249*$B$2</f>
        <v>115.332675</v>
      </c>
    </row>
    <row r="250" customFormat="false" ht="12.8" hidden="false" customHeight="false" outlineLevel="0" collapsed="false">
      <c r="B250" s="115" t="s">
        <v>1359</v>
      </c>
      <c r="C250" s="0" t="n">
        <v>2.81945</v>
      </c>
      <c r="D250" s="751" t="n">
        <f aca="false">C250*$B$2</f>
        <v>239.65325</v>
      </c>
    </row>
    <row r="251" customFormat="false" ht="12.8" hidden="false" customHeight="false" outlineLevel="0" collapsed="false">
      <c r="B251" s="115" t="s">
        <v>1360</v>
      </c>
      <c r="C251" s="0" t="n">
        <v>3.635025</v>
      </c>
      <c r="D251" s="751" t="n">
        <f aca="false">C251*$B$2</f>
        <v>308.977125</v>
      </c>
    </row>
    <row r="252" customFormat="false" ht="12.8" hidden="false" customHeight="false" outlineLevel="0" collapsed="false">
      <c r="B252" s="115" t="s">
        <v>1361</v>
      </c>
      <c r="C252" s="0" t="n">
        <v>3.03008</v>
      </c>
      <c r="D252" s="751" t="n">
        <f aca="false">C252*$B$2</f>
        <v>257.5568</v>
      </c>
    </row>
    <row r="253" customFormat="false" ht="12.8" hidden="false" customHeight="false" outlineLevel="0" collapsed="false">
      <c r="B253" s="115" t="s">
        <v>1362</v>
      </c>
      <c r="C253" s="0" t="n">
        <v>1.158125</v>
      </c>
      <c r="D253" s="751" t="n">
        <f aca="false">C253*$B$2</f>
        <v>98.440625</v>
      </c>
    </row>
    <row r="254" customFormat="false" ht="12.8" hidden="false" customHeight="false" outlineLevel="0" collapsed="false">
      <c r="B254" s="115" t="s">
        <v>1363</v>
      </c>
      <c r="C254" s="0" t="n">
        <v>0.9418</v>
      </c>
      <c r="D254" s="751" t="n">
        <f aca="false">C254*$B$2</f>
        <v>80.053</v>
      </c>
    </row>
    <row r="255" customFormat="false" ht="12.8" hidden="false" customHeight="false" outlineLevel="0" collapsed="false">
      <c r="B255" s="115" t="s">
        <v>1364</v>
      </c>
      <c r="C255" s="0" t="n">
        <v>0.90406</v>
      </c>
      <c r="D255" s="751" t="n">
        <f aca="false">C255*$B$2</f>
        <v>76.8451</v>
      </c>
    </row>
    <row r="256" customFormat="false" ht="12.8" hidden="false" customHeight="false" outlineLevel="0" collapsed="false">
      <c r="B256" s="115" t="s">
        <v>1365</v>
      </c>
      <c r="C256" s="0" t="n">
        <v>5.098215</v>
      </c>
      <c r="D256" s="751" t="n">
        <f aca="false">C256*$B$2</f>
        <v>433.348275</v>
      </c>
    </row>
    <row r="257" customFormat="false" ht="12.8" hidden="false" customHeight="false" outlineLevel="0" collapsed="false">
      <c r="B257" s="115" t="s">
        <v>1366</v>
      </c>
      <c r="C257" s="0" t="n">
        <v>2.8543</v>
      </c>
      <c r="D257" s="751" t="n">
        <f aca="false">C257*$B$2</f>
        <v>242.6155</v>
      </c>
    </row>
    <row r="258" customFormat="false" ht="12.8" hidden="false" customHeight="false" outlineLevel="0" collapsed="false">
      <c r="B258" s="115" t="s">
        <v>1367</v>
      </c>
      <c r="C258" s="0" t="n">
        <v>2.8543</v>
      </c>
      <c r="D258" s="751" t="n">
        <f aca="false">C258*$B$2</f>
        <v>242.6155</v>
      </c>
    </row>
    <row r="259" customFormat="false" ht="12.8" hidden="false" customHeight="false" outlineLevel="0" collapsed="false">
      <c r="B259" s="115" t="s">
        <v>1368</v>
      </c>
      <c r="C259" s="0" t="n">
        <v>2.065755</v>
      </c>
      <c r="D259" s="751" t="n">
        <f aca="false">C259*$B$2</f>
        <v>175.589175</v>
      </c>
    </row>
    <row r="260" customFormat="false" ht="12.8" hidden="false" customHeight="false" outlineLevel="0" collapsed="false">
      <c r="B260" s="115" t="s">
        <v>1369</v>
      </c>
      <c r="C260" s="0" t="n">
        <v>5.5165</v>
      </c>
      <c r="D260" s="751" t="n">
        <f aca="false">C260*$B$2</f>
        <v>468.9025</v>
      </c>
    </row>
    <row r="261" customFormat="false" ht="12.8" hidden="false" customHeight="false" outlineLevel="0" collapsed="false">
      <c r="B261" s="115" t="s">
        <v>1370</v>
      </c>
      <c r="C261" s="0" t="n">
        <v>1.7238</v>
      </c>
      <c r="D261" s="751" t="n">
        <f aca="false">C261*$B$2</f>
        <v>146.523</v>
      </c>
    </row>
    <row r="262" customFormat="false" ht="12.8" hidden="false" customHeight="false" outlineLevel="0" collapsed="false">
      <c r="B262" s="115" t="s">
        <v>1082</v>
      </c>
      <c r="C262" s="0" t="n">
        <v>1.413975</v>
      </c>
      <c r="D262" s="751" t="n">
        <f aca="false">C262*$B$2</f>
        <v>120.187875</v>
      </c>
    </row>
    <row r="263" customFormat="false" ht="12.8" hidden="false" customHeight="false" outlineLevel="0" collapsed="false">
      <c r="B263" s="115" t="s">
        <v>1371</v>
      </c>
      <c r="C263" s="0" t="n">
        <v>1.28758</v>
      </c>
      <c r="D263" s="751" t="n">
        <f aca="false">C263*$B$2</f>
        <v>109.4443</v>
      </c>
    </row>
    <row r="264" customFormat="false" ht="12.8" hidden="false" customHeight="false" outlineLevel="0" collapsed="false">
      <c r="B264" s="115" t="s">
        <v>1372</v>
      </c>
      <c r="C264" s="0" t="n">
        <v>1.255875</v>
      </c>
      <c r="D264" s="751" t="n">
        <f aca="false">C264*$B$2</f>
        <v>106.749375</v>
      </c>
    </row>
    <row r="265" customFormat="false" ht="12.8" hidden="false" customHeight="false" outlineLevel="0" collapsed="false">
      <c r="B265" s="115" t="s">
        <v>1373</v>
      </c>
      <c r="C265" s="0" t="n">
        <v>6.27487</v>
      </c>
      <c r="D265" s="751" t="n">
        <f aca="false">C265*$B$2</f>
        <v>533.36395</v>
      </c>
    </row>
    <row r="266" customFormat="false" ht="12.8" hidden="false" customHeight="false" outlineLevel="0" collapsed="false">
      <c r="B266" s="115" t="s">
        <v>1374</v>
      </c>
      <c r="C266" s="0" t="n">
        <v>3.825595</v>
      </c>
      <c r="D266" s="751" t="n">
        <f aca="false">C266*$B$2</f>
        <v>325.175575</v>
      </c>
    </row>
    <row r="267" customFormat="false" ht="12.8" hidden="false" customHeight="false" outlineLevel="0" collapsed="false">
      <c r="B267" s="115" t="s">
        <v>1375</v>
      </c>
      <c r="C267" s="0" t="n">
        <v>3.825595</v>
      </c>
      <c r="D267" s="751" t="n">
        <f aca="false">C267*$B$2</f>
        <v>325.175575</v>
      </c>
    </row>
    <row r="268" customFormat="false" ht="12.8" hidden="false" customHeight="false" outlineLevel="0" collapsed="false">
      <c r="B268" s="115" t="s">
        <v>1376</v>
      </c>
      <c r="C268" s="0" t="n">
        <v>2.74125</v>
      </c>
      <c r="D268" s="751" t="n">
        <f aca="false">C268*$B$2</f>
        <v>233.00625</v>
      </c>
    </row>
    <row r="269" customFormat="false" ht="12.8" hidden="false" customHeight="false" outlineLevel="0" collapsed="false">
      <c r="B269" s="115" t="s">
        <v>1377</v>
      </c>
      <c r="C269" s="0" t="n">
        <v>6.97697</v>
      </c>
      <c r="D269" s="751" t="n">
        <f aca="false">C269*$B$2</f>
        <v>593.04245</v>
      </c>
    </row>
    <row r="270" customFormat="false" ht="12.8" hidden="false" customHeight="false" outlineLevel="0" collapsed="false">
      <c r="B270" s="115" t="s">
        <v>1378</v>
      </c>
      <c r="C270" s="0" t="n">
        <v>2.2967</v>
      </c>
      <c r="D270" s="751" t="n">
        <f aca="false">C270*$B$2</f>
        <v>195.2195</v>
      </c>
    </row>
    <row r="271" customFormat="false" ht="12.8" hidden="false" customHeight="false" outlineLevel="0" collapsed="false">
      <c r="B271" s="115" t="s">
        <v>1379</v>
      </c>
      <c r="C271" s="0" t="n">
        <v>0.301155</v>
      </c>
      <c r="D271" s="751" t="n">
        <f aca="false">C271*$B$2</f>
        <v>25.598175</v>
      </c>
    </row>
    <row r="272" customFormat="false" ht="12.8" hidden="false" customHeight="false" outlineLevel="0" collapsed="false">
      <c r="B272" s="115" t="s">
        <v>1075</v>
      </c>
      <c r="C272" s="0" t="n">
        <v>0.715445</v>
      </c>
      <c r="D272" s="751" t="n">
        <f aca="false">C272*$B$2</f>
        <v>60.812825</v>
      </c>
    </row>
    <row r="273" customFormat="false" ht="12.8" hidden="false" customHeight="false" outlineLevel="0" collapsed="false">
      <c r="B273" s="115" t="s">
        <v>1380</v>
      </c>
      <c r="C273" s="0" t="n">
        <v>0.859435</v>
      </c>
      <c r="D273" s="751" t="n">
        <f aca="false">C273*$B$2</f>
        <v>73.051975</v>
      </c>
    </row>
    <row r="274" customFormat="false" ht="12.8" hidden="false" customHeight="false" outlineLevel="0" collapsed="false">
      <c r="B274" s="115" t="s">
        <v>1381</v>
      </c>
      <c r="C274" s="0" t="n">
        <v>1.11758</v>
      </c>
      <c r="D274" s="751" t="n">
        <f aca="false">C274*$B$2</f>
        <v>94.9943</v>
      </c>
    </row>
    <row r="275" customFormat="false" ht="12.8" hidden="false" customHeight="false" outlineLevel="0" collapsed="false">
      <c r="B275" s="115" t="s">
        <v>1382</v>
      </c>
      <c r="C275" s="0" t="n">
        <v>1.09429</v>
      </c>
      <c r="D275" s="751" t="n">
        <f aca="false">C275*$B$2</f>
        <v>93.01465</v>
      </c>
    </row>
    <row r="276" customFormat="false" ht="12.8" hidden="false" customHeight="false" outlineLevel="0" collapsed="false">
      <c r="B276" s="115" t="s">
        <v>1383</v>
      </c>
      <c r="C276" s="0" t="n">
        <v>0.96118</v>
      </c>
      <c r="D276" s="751" t="n">
        <f aca="false">C276*$B$2</f>
        <v>81.7003</v>
      </c>
    </row>
    <row r="277" customFormat="false" ht="12.8" hidden="false" customHeight="false" outlineLevel="0" collapsed="false">
      <c r="B277" s="115" t="s">
        <v>1384</v>
      </c>
      <c r="C277" s="0" t="n">
        <v>0.46274</v>
      </c>
      <c r="D277" s="751" t="n">
        <f aca="false">C277*$B$2</f>
        <v>39.3329</v>
      </c>
    </row>
    <row r="278" customFormat="false" ht="12.8" hidden="false" customHeight="false" outlineLevel="0" collapsed="false">
      <c r="B278" s="115" t="s">
        <v>1385</v>
      </c>
      <c r="C278" s="0" t="n">
        <v>0.3009</v>
      </c>
      <c r="D278" s="751" t="n">
        <f aca="false">C278*$B$2</f>
        <v>25.5765</v>
      </c>
    </row>
    <row r="279" customFormat="false" ht="12.8" hidden="false" customHeight="false" outlineLevel="0" collapsed="false">
      <c r="B279" s="115" t="s">
        <v>1386</v>
      </c>
      <c r="C279" s="0" t="n">
        <v>0.532865</v>
      </c>
      <c r="D279" s="751" t="n">
        <f aca="false">C279*$B$2</f>
        <v>45.293525</v>
      </c>
    </row>
    <row r="280" customFormat="false" ht="12.8" hidden="false" customHeight="false" outlineLevel="0" collapsed="false">
      <c r="B280" s="115" t="n">
        <v>0</v>
      </c>
      <c r="D280" s="751" t="n">
        <f aca="false">C280*$B$2</f>
        <v>0</v>
      </c>
    </row>
    <row r="281" customFormat="false" ht="12.8" hidden="false" customHeight="false" outlineLevel="0" collapsed="false">
      <c r="B281" s="115" t="s">
        <v>1387</v>
      </c>
      <c r="C281" s="0" t="n">
        <v>1.975315</v>
      </c>
      <c r="D281" s="751" t="n">
        <f aca="false">C281*$B$2</f>
        <v>167.901775</v>
      </c>
    </row>
    <row r="282" customFormat="false" ht="12.8" hidden="false" customHeight="false" outlineLevel="0" collapsed="false">
      <c r="B282" s="115" t="s">
        <v>1388</v>
      </c>
      <c r="C282" s="0" t="n">
        <v>3.890195</v>
      </c>
      <c r="D282" s="751" t="n">
        <f aca="false">C282*$B$2</f>
        <v>330.666575</v>
      </c>
    </row>
    <row r="283" customFormat="false" ht="12.8" hidden="false" customHeight="false" outlineLevel="0" collapsed="false">
      <c r="B283" s="115" t="s">
        <v>1389</v>
      </c>
      <c r="C283" s="0" t="n">
        <v>0.72862</v>
      </c>
      <c r="D283" s="751" t="n">
        <f aca="false">C283*$B$2</f>
        <v>61.9327</v>
      </c>
    </row>
    <row r="284" customFormat="false" ht="12.8" hidden="false" customHeight="false" outlineLevel="0" collapsed="false">
      <c r="B284" s="115" t="s">
        <v>1390</v>
      </c>
      <c r="C284" s="0" t="n">
        <v>1.92508</v>
      </c>
      <c r="D284" s="751" t="n">
        <f aca="false">C284*$B$2</f>
        <v>163.6318</v>
      </c>
    </row>
    <row r="285" customFormat="false" ht="12.8" hidden="false" customHeight="false" outlineLevel="0" collapsed="false">
      <c r="B285" s="115" t="n">
        <v>0</v>
      </c>
      <c r="D285" s="751" t="n">
        <f aca="false">C285*$B$2</f>
        <v>0</v>
      </c>
    </row>
    <row r="286" customFormat="false" ht="12.8" hidden="false" customHeight="false" outlineLevel="0" collapsed="false">
      <c r="B286" s="115" t="s">
        <v>1391</v>
      </c>
      <c r="C286" s="0" t="n">
        <v>2.179315</v>
      </c>
      <c r="D286" s="751" t="n">
        <f aca="false">C286*$B$2</f>
        <v>185.241775</v>
      </c>
    </row>
    <row r="287" customFormat="false" ht="12.8" hidden="false" customHeight="false" outlineLevel="0" collapsed="false">
      <c r="B287" s="115" t="s">
        <v>1392</v>
      </c>
      <c r="C287" s="0" t="n">
        <v>4.607255</v>
      </c>
      <c r="D287" s="751" t="n">
        <f aca="false">C287*$B$2</f>
        <v>391.616675</v>
      </c>
    </row>
    <row r="288" customFormat="false" ht="12.8" hidden="false" customHeight="false" outlineLevel="0" collapsed="false">
      <c r="B288" s="115" t="s">
        <v>1333</v>
      </c>
      <c r="C288" s="0" t="n">
        <v>4.111535</v>
      </c>
      <c r="D288" s="751" t="n">
        <f aca="false">C288*$B$2</f>
        <v>349.480475</v>
      </c>
    </row>
    <row r="289" customFormat="false" ht="12.8" hidden="false" customHeight="false" outlineLevel="0" collapsed="false">
      <c r="B289" s="115" t="s">
        <v>1393</v>
      </c>
      <c r="C289" s="0" t="n">
        <v>8.07398</v>
      </c>
      <c r="D289" s="751" t="n">
        <f aca="false">C289*$B$2</f>
        <v>686.2883</v>
      </c>
    </row>
    <row r="290" customFormat="false" ht="12.8" hidden="false" customHeight="false" outlineLevel="0" collapsed="false">
      <c r="B290" s="115" t="s">
        <v>1394</v>
      </c>
      <c r="C290" s="0" t="n">
        <v>2.348295</v>
      </c>
      <c r="D290" s="751" t="n">
        <f aca="false">C290*$B$2</f>
        <v>199.605075</v>
      </c>
    </row>
    <row r="291" customFormat="false" ht="12.8" hidden="false" customHeight="false" outlineLevel="0" collapsed="false">
      <c r="B291" s="115" t="s">
        <v>1395</v>
      </c>
      <c r="C291" s="0" t="n">
        <v>2.28752</v>
      </c>
      <c r="D291" s="751" t="n">
        <f aca="false">C291*$B$2</f>
        <v>194.4392</v>
      </c>
    </row>
    <row r="292" customFormat="false" ht="12.8" hidden="false" customHeight="false" outlineLevel="0" collapsed="false">
      <c r="B292" s="115" t="s">
        <v>1396</v>
      </c>
      <c r="C292" s="0" t="n">
        <v>3.6278</v>
      </c>
      <c r="D292" s="751" t="n">
        <f aca="false">C292*$B$2</f>
        <v>308.363</v>
      </c>
    </row>
    <row r="293" customFormat="false" ht="12.8" hidden="false" customHeight="false" outlineLevel="0" collapsed="false">
      <c r="B293" s="115" t="s">
        <v>1397</v>
      </c>
      <c r="C293" s="0" t="n">
        <v>3.19804</v>
      </c>
      <c r="D293" s="751" t="n">
        <f aca="false">C293*$B$2</f>
        <v>271.8334</v>
      </c>
    </row>
    <row r="294" customFormat="false" ht="12.8" hidden="false" customHeight="false" outlineLevel="0" collapsed="false">
      <c r="B294" s="115" t="s">
        <v>1398</v>
      </c>
      <c r="C294" s="0" t="n">
        <v>1.393575</v>
      </c>
      <c r="D294" s="751" t="n">
        <f aca="false">C294*$B$2</f>
        <v>118.453875</v>
      </c>
    </row>
    <row r="295" customFormat="false" ht="12.8" hidden="false" customHeight="false" outlineLevel="0" collapsed="false">
      <c r="B295" s="115" t="s">
        <v>1399</v>
      </c>
      <c r="C295" s="0" t="n">
        <v>1.254175</v>
      </c>
      <c r="D295" s="751" t="n">
        <f aca="false">C295*$B$2</f>
        <v>106.604875</v>
      </c>
    </row>
    <row r="296" customFormat="false" ht="12.8" hidden="false" customHeight="false" outlineLevel="0" collapsed="false">
      <c r="B296" s="115" t="s">
        <v>1400</v>
      </c>
      <c r="C296" s="0" t="n">
        <v>2.04969</v>
      </c>
      <c r="D296" s="751" t="n">
        <f aca="false">C296*$B$2</f>
        <v>174.22365</v>
      </c>
    </row>
    <row r="297" customFormat="false" ht="12.8" hidden="false" customHeight="false" outlineLevel="0" collapsed="false">
      <c r="B297" s="115" t="s">
        <v>1401</v>
      </c>
      <c r="C297" s="0" t="n">
        <v>2.2049</v>
      </c>
      <c r="D297" s="751" t="n">
        <f aca="false">C297*$B$2</f>
        <v>187.4165</v>
      </c>
    </row>
    <row r="298" customFormat="false" ht="12.8" hidden="false" customHeight="false" outlineLevel="0" collapsed="false">
      <c r="B298" s="115" t="n">
        <v>0</v>
      </c>
      <c r="D298" s="751" t="n">
        <f aca="false">C298*$B$2</f>
        <v>0</v>
      </c>
    </row>
    <row r="299" customFormat="false" ht="12.8" hidden="false" customHeight="false" outlineLevel="0" collapsed="false">
      <c r="B299" s="115" t="s">
        <v>1402</v>
      </c>
      <c r="C299" s="0" t="n">
        <v>3.515855</v>
      </c>
      <c r="D299" s="751" t="n">
        <f aca="false">C299*$B$2</f>
        <v>298.847675</v>
      </c>
    </row>
    <row r="300" customFormat="false" ht="12.8" hidden="false" customHeight="false" outlineLevel="0" collapsed="false">
      <c r="B300" s="115" t="s">
        <v>1403</v>
      </c>
      <c r="C300" s="0" t="n">
        <v>4.42748</v>
      </c>
      <c r="D300" s="751" t="n">
        <f aca="false">C300*$B$2</f>
        <v>376.3358</v>
      </c>
    </row>
    <row r="301" customFormat="false" ht="12.8" hidden="false" customHeight="false" outlineLevel="0" collapsed="false">
      <c r="B301" s="115" t="s">
        <v>1404</v>
      </c>
      <c r="C301" s="0" t="n">
        <v>13.10785</v>
      </c>
      <c r="D301" s="751" t="n">
        <f aca="false">C301*$B$2</f>
        <v>1114.16725</v>
      </c>
    </row>
    <row r="302" customFormat="false" ht="12.8" hidden="false" customHeight="false" outlineLevel="0" collapsed="false">
      <c r="B302" s="115" t="s">
        <v>1405</v>
      </c>
      <c r="C302" s="0" t="n">
        <v>1.349375</v>
      </c>
      <c r="D302" s="751" t="n">
        <f aca="false">C302*$B$2</f>
        <v>114.696875</v>
      </c>
    </row>
    <row r="303" customFormat="false" ht="12.8" hidden="false" customHeight="false" outlineLevel="0" collapsed="false">
      <c r="B303" s="115" t="s">
        <v>1406</v>
      </c>
      <c r="C303" s="0" t="n">
        <v>1.607775</v>
      </c>
      <c r="D303" s="751" t="n">
        <f aca="false">C303*$B$2</f>
        <v>136.660875</v>
      </c>
    </row>
    <row r="304" customFormat="false" ht="12.8" hidden="false" customHeight="false" outlineLevel="0" collapsed="false">
      <c r="B304" s="115" t="n">
        <v>0</v>
      </c>
      <c r="D304" s="751" t="n">
        <f aca="false">C304*$B$2</f>
        <v>0</v>
      </c>
    </row>
    <row r="305" customFormat="false" ht="12.8" hidden="false" customHeight="false" outlineLevel="0" collapsed="false">
      <c r="B305" s="115" t="s">
        <v>1407</v>
      </c>
      <c r="C305" s="0" t="n">
        <v>0.034595</v>
      </c>
      <c r="D305" s="751" t="n">
        <f aca="false">C305*$B$2</f>
        <v>2.940575</v>
      </c>
    </row>
    <row r="306" customFormat="false" ht="12.8" hidden="false" customHeight="false" outlineLevel="0" collapsed="false">
      <c r="B306" s="115" t="s">
        <v>1408</v>
      </c>
      <c r="C306" s="0" t="n">
        <v>4.74725</v>
      </c>
      <c r="D306" s="751" t="n">
        <f aca="false">C306*$B$2</f>
        <v>403.51625</v>
      </c>
    </row>
    <row r="307" customFormat="false" ht="12.8" hidden="false" customHeight="false" outlineLevel="0" collapsed="false">
      <c r="B307" s="115" t="s">
        <v>1409</v>
      </c>
      <c r="C307" s="0" t="n">
        <v>0.340255</v>
      </c>
      <c r="D307" s="751" t="n">
        <f aca="false">C307*$B$2</f>
        <v>28.921675</v>
      </c>
    </row>
    <row r="308" customFormat="false" ht="12.8" hidden="false" customHeight="false" outlineLevel="0" collapsed="false">
      <c r="B308" s="115" t="s">
        <v>1410</v>
      </c>
      <c r="C308" s="0" t="n">
        <v>0.37417</v>
      </c>
      <c r="D308" s="751" t="n">
        <f aca="false">C308*$B$2</f>
        <v>31.80445</v>
      </c>
    </row>
    <row r="309" customFormat="false" ht="12.8" hidden="false" customHeight="false" outlineLevel="0" collapsed="false">
      <c r="B309" s="115" t="s">
        <v>1411</v>
      </c>
      <c r="C309" s="0" t="n">
        <v>0.14297</v>
      </c>
      <c r="D309" s="751" t="n">
        <f aca="false">C309*$B$2</f>
        <v>12.15245</v>
      </c>
    </row>
    <row r="310" customFormat="false" ht="12.8" hidden="false" customHeight="false" outlineLevel="0" collapsed="false">
      <c r="B310" s="115" t="s">
        <v>1151</v>
      </c>
      <c r="C310" s="0" t="n">
        <v>0.269705</v>
      </c>
      <c r="D310" s="751" t="n">
        <f aca="false">C310*$B$2</f>
        <v>22.924925</v>
      </c>
    </row>
    <row r="311" customFormat="false" ht="12.8" hidden="false" customHeight="false" outlineLevel="0" collapsed="false">
      <c r="B311" s="115" t="s">
        <v>1412</v>
      </c>
      <c r="C311" s="0" t="n">
        <v>2.70215</v>
      </c>
      <c r="D311" s="751" t="n">
        <f aca="false">C311*$B$2</f>
        <v>229.68275</v>
      </c>
    </row>
    <row r="312" customFormat="false" ht="12.8" hidden="false" customHeight="false" outlineLevel="0" collapsed="false">
      <c r="B312" s="115" t="s">
        <v>1413</v>
      </c>
      <c r="C312" s="0" t="n">
        <v>2.972365</v>
      </c>
      <c r="D312" s="751" t="n">
        <f aca="false">C312*$B$2</f>
        <v>252.651025</v>
      </c>
    </row>
    <row r="313" customFormat="false" ht="12.8" hidden="false" customHeight="false" outlineLevel="0" collapsed="false">
      <c r="B313" s="115" t="s">
        <v>1414</v>
      </c>
      <c r="C313" s="0" t="n">
        <v>0.988975</v>
      </c>
      <c r="D313" s="751" t="n">
        <f aca="false">C313*$B$2</f>
        <v>84.062875</v>
      </c>
    </row>
    <row r="314" customFormat="false" ht="12.8" hidden="false" customHeight="false" outlineLevel="0" collapsed="false">
      <c r="B314" s="115" t="s">
        <v>1415</v>
      </c>
      <c r="C314" s="0" t="n">
        <v>1.32209</v>
      </c>
      <c r="D314" s="751" t="n">
        <f aca="false">C314*$B$2</f>
        <v>112.37765</v>
      </c>
    </row>
    <row r="315" customFormat="false" ht="12.8" hidden="false" customHeight="false" outlineLevel="0" collapsed="false">
      <c r="B315" s="115" t="s">
        <v>1416</v>
      </c>
      <c r="C315" s="0" t="n">
        <v>2.735555</v>
      </c>
      <c r="D315" s="751" t="n">
        <f aca="false">C315*$B$2</f>
        <v>232.522175</v>
      </c>
    </row>
    <row r="316" customFormat="false" ht="12.8" hidden="false" customHeight="false" outlineLevel="0" collapsed="false">
      <c r="B316" s="115" t="s">
        <v>1417</v>
      </c>
      <c r="C316" s="0" t="n">
        <v>3.72368</v>
      </c>
      <c r="D316" s="751" t="n">
        <f aca="false">C316*$B$2</f>
        <v>316.5128</v>
      </c>
    </row>
    <row r="317" customFormat="false" ht="12.8" hidden="false" customHeight="false" outlineLevel="0" collapsed="false">
      <c r="B317" s="115" t="s">
        <v>1418</v>
      </c>
      <c r="C317" s="0" t="n">
        <v>1.781855</v>
      </c>
      <c r="D317" s="751" t="n">
        <f aca="false">C317*$B$2</f>
        <v>151.457675</v>
      </c>
    </row>
    <row r="318" customFormat="false" ht="12.8" hidden="false" customHeight="false" outlineLevel="0" collapsed="false">
      <c r="B318" s="115" t="s">
        <v>1419</v>
      </c>
      <c r="C318" s="0" t="n">
        <v>2.286245</v>
      </c>
      <c r="D318" s="751" t="n">
        <f aca="false">C318*$B$2</f>
        <v>194.330825</v>
      </c>
    </row>
    <row r="319" customFormat="false" ht="12.8" hidden="false" customHeight="false" outlineLevel="0" collapsed="false">
      <c r="B319" s="115" t="s">
        <v>1420</v>
      </c>
      <c r="C319" s="0" t="n">
        <v>1.615255</v>
      </c>
      <c r="D319" s="751" t="n">
        <f aca="false">C319*$B$2</f>
        <v>137.296675</v>
      </c>
    </row>
    <row r="320" customFormat="false" ht="12.8" hidden="false" customHeight="false" outlineLevel="0" collapsed="false">
      <c r="B320" s="115" t="s">
        <v>1421</v>
      </c>
      <c r="C320" s="0" t="n">
        <v>1.798345</v>
      </c>
      <c r="D320" s="751" t="n">
        <f aca="false">C320*$B$2</f>
        <v>152.859325</v>
      </c>
    </row>
    <row r="321" customFormat="false" ht="12.8" hidden="false" customHeight="false" outlineLevel="0" collapsed="false">
      <c r="B321" s="115" t="s">
        <v>1422</v>
      </c>
      <c r="C321" s="0" t="n">
        <v>4.02135</v>
      </c>
      <c r="D321" s="751" t="n">
        <f aca="false">C321*$B$2</f>
        <v>341.81475</v>
      </c>
    </row>
    <row r="322" customFormat="false" ht="12.8" hidden="false" customHeight="false" outlineLevel="0" collapsed="false">
      <c r="B322" s="115" t="s">
        <v>1423</v>
      </c>
      <c r="C322" s="0" t="n">
        <v>4.479415</v>
      </c>
      <c r="D322" s="751" t="n">
        <f aca="false">C322*$B$2</f>
        <v>380.750275</v>
      </c>
    </row>
    <row r="323" customFormat="false" ht="12.8" hidden="false" customHeight="false" outlineLevel="0" collapsed="false">
      <c r="B323" s="115" t="s">
        <v>1424</v>
      </c>
      <c r="C323" s="0" t="n">
        <v>2.065755</v>
      </c>
      <c r="D323" s="751" t="n">
        <f aca="false">C323*$B$2</f>
        <v>175.589175</v>
      </c>
    </row>
    <row r="324" customFormat="false" ht="12.8" hidden="false" customHeight="false" outlineLevel="0" collapsed="false">
      <c r="B324" s="115" t="s">
        <v>1425</v>
      </c>
      <c r="C324" s="0" t="n">
        <v>1.68079</v>
      </c>
      <c r="D324" s="751" t="n">
        <f aca="false">C324*$B$2</f>
        <v>142.86715</v>
      </c>
    </row>
    <row r="325" customFormat="false" ht="12.8" hidden="false" customHeight="false" outlineLevel="0" collapsed="false">
      <c r="B325" s="115" t="s">
        <v>1426</v>
      </c>
      <c r="C325" s="0" t="n">
        <v>2.5432</v>
      </c>
      <c r="D325" s="751" t="n">
        <f aca="false">C325*$B$2</f>
        <v>216.172</v>
      </c>
    </row>
    <row r="326" customFormat="false" ht="12.8" hidden="false" customHeight="false" outlineLevel="0" collapsed="false">
      <c r="B326" s="115" t="s">
        <v>1406</v>
      </c>
      <c r="C326" s="0" t="n">
        <v>1.222725</v>
      </c>
      <c r="D326" s="751" t="n">
        <f aca="false">C326*$B$2</f>
        <v>103.931625</v>
      </c>
    </row>
    <row r="327" customFormat="false" ht="12.8" hidden="false" customHeight="false" outlineLevel="0" collapsed="false">
      <c r="B327" s="115" t="s">
        <v>1427</v>
      </c>
      <c r="C327" s="0" t="n">
        <v>0.83334</v>
      </c>
      <c r="D327" s="751" t="n">
        <f aca="false">C327*$B$2</f>
        <v>70.8339</v>
      </c>
    </row>
    <row r="328" customFormat="false" ht="12.8" hidden="false" customHeight="false" outlineLevel="0" collapsed="false">
      <c r="B328" s="115" t="s">
        <v>1428</v>
      </c>
      <c r="C328" s="0" t="n">
        <v>0.991355</v>
      </c>
      <c r="D328" s="751" t="n">
        <f aca="false">C328*$B$2</f>
        <v>84.265175</v>
      </c>
    </row>
    <row r="329" customFormat="false" ht="12.8" hidden="false" customHeight="false" outlineLevel="0" collapsed="false">
      <c r="B329" s="115" t="s">
        <v>1429</v>
      </c>
      <c r="C329" s="0" t="n">
        <v>1.110865</v>
      </c>
      <c r="D329" s="751" t="n">
        <f aca="false">C329*$B$2</f>
        <v>94.423525</v>
      </c>
    </row>
    <row r="330" customFormat="false" ht="12.8" hidden="false" customHeight="false" outlineLevel="0" collapsed="false">
      <c r="B330" s="115" t="s">
        <v>1430</v>
      </c>
      <c r="C330" s="0" t="n">
        <v>1.280695</v>
      </c>
      <c r="D330" s="751" t="n">
        <f aca="false">C330*$B$2</f>
        <v>108.859075</v>
      </c>
    </row>
    <row r="331" customFormat="false" ht="12.8" hidden="false" customHeight="false" outlineLevel="0" collapsed="false">
      <c r="B331" s="115" t="s">
        <v>1431</v>
      </c>
      <c r="C331" s="0" t="n">
        <v>1.387455</v>
      </c>
      <c r="D331" s="751" t="n">
        <f aca="false">C331*$B$2</f>
        <v>117.933675</v>
      </c>
    </row>
    <row r="332" customFormat="false" ht="12.8" hidden="false" customHeight="false" outlineLevel="0" collapsed="false">
      <c r="B332" s="115" t="s">
        <v>1432</v>
      </c>
      <c r="C332" s="0" t="n">
        <v>1.56689</v>
      </c>
      <c r="D332" s="751" t="n">
        <f aca="false">C332*$B$2</f>
        <v>133.18565</v>
      </c>
    </row>
    <row r="333" customFormat="false" ht="12.8" hidden="false" customHeight="false" outlineLevel="0" collapsed="false">
      <c r="B333" s="115" t="s">
        <v>1433</v>
      </c>
      <c r="C333" s="0" t="n">
        <v>1.63489</v>
      </c>
      <c r="D333" s="751" t="n">
        <f aca="false">C333*$B$2</f>
        <v>138.96565</v>
      </c>
    </row>
    <row r="334" customFormat="false" ht="12.8" hidden="false" customHeight="false" outlineLevel="0" collapsed="false">
      <c r="B334" s="115" t="s">
        <v>1434</v>
      </c>
      <c r="C334" s="0" t="n">
        <v>1.783895</v>
      </c>
      <c r="D334" s="751" t="n">
        <f aca="false">C334*$B$2</f>
        <v>151.631075</v>
      </c>
    </row>
    <row r="335" customFormat="false" ht="12.8" hidden="false" customHeight="false" outlineLevel="0" collapsed="false">
      <c r="B335" s="115" t="s">
        <v>1435</v>
      </c>
      <c r="C335" s="0" t="n">
        <v>0.641155</v>
      </c>
      <c r="D335" s="751" t="n">
        <f aca="false">C335*$B$2</f>
        <v>54.498175</v>
      </c>
    </row>
    <row r="336" customFormat="false" ht="12.8" hidden="false" customHeight="false" outlineLevel="0" collapsed="false">
      <c r="B336" s="115" t="s">
        <v>1436</v>
      </c>
      <c r="C336" s="0" t="n">
        <v>0.789565</v>
      </c>
      <c r="D336" s="751" t="n">
        <f aca="false">C336*$B$2</f>
        <v>67.113025</v>
      </c>
    </row>
    <row r="337" customFormat="false" ht="12.8" hidden="false" customHeight="false" outlineLevel="0" collapsed="false">
      <c r="B337" s="115" t="s">
        <v>1437</v>
      </c>
      <c r="C337" s="0" t="n">
        <v>0.262735</v>
      </c>
      <c r="D337" s="751" t="n">
        <f aca="false">C337*$B$2</f>
        <v>22.332475</v>
      </c>
    </row>
    <row r="338" customFormat="false" ht="12.8" hidden="false" customHeight="false" outlineLevel="0" collapsed="false">
      <c r="B338" s="115" t="s">
        <v>1438</v>
      </c>
      <c r="C338" s="0" t="n">
        <v>0.02924</v>
      </c>
      <c r="D338" s="751" t="n">
        <f aca="false">C338*$B$2</f>
        <v>2.4854</v>
      </c>
    </row>
    <row r="339" customFormat="false" ht="12.8" hidden="false" customHeight="false" outlineLevel="0" collapsed="false">
      <c r="B339" s="115" t="n">
        <v>0</v>
      </c>
      <c r="D339" s="751" t="n">
        <f aca="false">C339*$B$2</f>
        <v>0</v>
      </c>
    </row>
    <row r="340" customFormat="false" ht="12.8" hidden="false" customHeight="false" outlineLevel="0" collapsed="false">
      <c r="B340" s="115" t="s">
        <v>1439</v>
      </c>
      <c r="C340" s="0" t="n">
        <v>2.26848</v>
      </c>
      <c r="D340" s="751" t="n">
        <f aca="false">C340*$B$2</f>
        <v>192.8208</v>
      </c>
    </row>
    <row r="341" customFormat="false" ht="12.8" hidden="false" customHeight="false" outlineLevel="0" collapsed="false">
      <c r="B341" s="115" t="s">
        <v>1440</v>
      </c>
      <c r="C341" s="0" t="n">
        <v>1.46506</v>
      </c>
      <c r="D341" s="751" t="n">
        <f aca="false">C341*$B$2</f>
        <v>124.5301</v>
      </c>
    </row>
    <row r="342" customFormat="false" ht="12.8" hidden="false" customHeight="false" outlineLevel="0" collapsed="false">
      <c r="B342" s="115" t="s">
        <v>1441</v>
      </c>
      <c r="C342" s="0" t="n">
        <v>5.388405</v>
      </c>
      <c r="D342" s="751" t="n">
        <f aca="false">C342*$B$2</f>
        <v>458.014425</v>
      </c>
    </row>
    <row r="343" customFormat="false" ht="12.8" hidden="false" customHeight="false" outlineLevel="0" collapsed="false">
      <c r="B343" s="115" t="s">
        <v>1442</v>
      </c>
      <c r="C343" s="0" t="n">
        <v>0.16813</v>
      </c>
      <c r="D343" s="751" t="n">
        <f aca="false">C343*$B$2</f>
        <v>14.29105</v>
      </c>
    </row>
    <row r="344" customFormat="false" ht="12.8" hidden="false" customHeight="false" outlineLevel="0" collapsed="false">
      <c r="B344" s="115" t="s">
        <v>1443</v>
      </c>
      <c r="C344" s="0" t="n">
        <v>0.152405</v>
      </c>
      <c r="D344" s="751" t="n">
        <f aca="false">C344*$B$2</f>
        <v>12.954425</v>
      </c>
    </row>
    <row r="345" customFormat="false" ht="12.8" hidden="false" customHeight="false" outlineLevel="0" collapsed="false">
      <c r="B345" s="115" t="s">
        <v>1444</v>
      </c>
      <c r="C345" s="0" t="n">
        <v>1.07338</v>
      </c>
      <c r="D345" s="751" t="n">
        <f aca="false">C345*$B$2</f>
        <v>91.2373</v>
      </c>
    </row>
    <row r="346" customFormat="false" ht="12.8" hidden="false" customHeight="false" outlineLevel="0" collapsed="false">
      <c r="B346" s="115" t="s">
        <v>1445</v>
      </c>
      <c r="C346" s="0" t="n">
        <v>1.87901</v>
      </c>
      <c r="D346" s="751" t="n">
        <f aca="false">C346*$B$2</f>
        <v>159.71585</v>
      </c>
    </row>
    <row r="347" customFormat="false" ht="12.8" hidden="false" customHeight="false" outlineLevel="0" collapsed="false">
      <c r="B347" s="115" t="s">
        <v>1446</v>
      </c>
      <c r="C347" s="0" t="n">
        <v>2.19521</v>
      </c>
      <c r="D347" s="751" t="n">
        <f aca="false">C347*$B$2</f>
        <v>186.59285</v>
      </c>
    </row>
    <row r="348" customFormat="false" ht="12.8" hidden="false" customHeight="false" outlineLevel="0" collapsed="false">
      <c r="B348" s="115" t="s">
        <v>1447</v>
      </c>
      <c r="C348" s="0" t="n">
        <v>0.466225</v>
      </c>
      <c r="D348" s="751" t="n">
        <f aca="false">C348*$B$2</f>
        <v>39.629125</v>
      </c>
    </row>
    <row r="349" customFormat="false" ht="12.8" hidden="false" customHeight="false" outlineLevel="0" collapsed="false">
      <c r="B349" s="115" t="s">
        <v>1448</v>
      </c>
      <c r="C349" s="0" t="n">
        <v>0.273445</v>
      </c>
      <c r="D349" s="751" t="n">
        <f aca="false">C349*$B$2</f>
        <v>23.242825</v>
      </c>
    </row>
    <row r="350" customFormat="false" ht="12.8" hidden="false" customHeight="false" outlineLevel="0" collapsed="false">
      <c r="D350" s="751" t="n">
        <f aca="false">C350*$B$2</f>
        <v>0</v>
      </c>
    </row>
    <row r="351" customFormat="false" ht="12.8" hidden="false" customHeight="false" outlineLevel="0" collapsed="false">
      <c r="B351" s="707" t="s">
        <v>1449</v>
      </c>
      <c r="D351" s="751" t="n">
        <f aca="false">C351*$B$2</f>
        <v>0</v>
      </c>
    </row>
    <row r="352" customFormat="false" ht="12.8" hidden="false" customHeight="false" outlineLevel="0" collapsed="false">
      <c r="B352" s="115" t="s">
        <v>1450</v>
      </c>
      <c r="C352" s="0" t="n">
        <v>0.4875115245</v>
      </c>
      <c r="D352" s="751" t="n">
        <f aca="false">C352*$B$2</f>
        <v>41.4384795825</v>
      </c>
    </row>
    <row r="353" customFormat="false" ht="12.8" hidden="false" customHeight="false" outlineLevel="0" collapsed="false">
      <c r="B353" s="115" t="s">
        <v>1451</v>
      </c>
      <c r="C353" s="0" t="n">
        <v>1.8587335305</v>
      </c>
      <c r="D353" s="751" t="n">
        <f aca="false">C353*$B$2</f>
        <v>157.9923500925</v>
      </c>
    </row>
    <row r="354" customFormat="false" ht="12.8" hidden="false" customHeight="false" outlineLevel="0" collapsed="false">
      <c r="B354" s="115" t="s">
        <v>1088</v>
      </c>
      <c r="C354" s="0" t="n">
        <v>0.4523805825</v>
      </c>
      <c r="D354" s="751" t="n">
        <f aca="false">C354*$B$2</f>
        <v>38.4523495125</v>
      </c>
    </row>
    <row r="355" customFormat="false" ht="12.8" hidden="false" customHeight="false" outlineLevel="0" collapsed="false">
      <c r="B355" s="115" t="s">
        <v>1094</v>
      </c>
      <c r="C355" s="0" t="n">
        <v>3.3944575665</v>
      </c>
      <c r="D355" s="751" t="n">
        <f aca="false">C355*$B$2</f>
        <v>288.5288931525</v>
      </c>
    </row>
    <row r="356" customFormat="false" ht="12.8" hidden="false" customHeight="false" outlineLevel="0" collapsed="false">
      <c r="B356" s="115" t="s">
        <v>1452</v>
      </c>
      <c r="C356" s="0" t="n">
        <v>3.196358088</v>
      </c>
      <c r="D356" s="751" t="n">
        <f aca="false">C356*$B$2</f>
        <v>271.69043748</v>
      </c>
    </row>
    <row r="357" customFormat="false" ht="12.8" hidden="false" customHeight="false" outlineLevel="0" collapsed="false">
      <c r="B357" s="115" t="s">
        <v>1149</v>
      </c>
      <c r="C357" s="0" t="n">
        <v>5.02889848736</v>
      </c>
      <c r="D357" s="751" t="n">
        <f aca="false">C357*$B$2</f>
        <v>427.4563714256</v>
      </c>
    </row>
    <row r="358" customFormat="false" ht="12.8" hidden="false" customHeight="false" outlineLevel="0" collapsed="false">
      <c r="B358" s="115" t="s">
        <v>1150</v>
      </c>
      <c r="C358" s="0" t="n">
        <v>1.41399067502</v>
      </c>
      <c r="D358" s="751" t="n">
        <f aca="false">C358*$B$2</f>
        <v>120.1892073767</v>
      </c>
    </row>
    <row r="359" customFormat="false" ht="12.8" hidden="false" customHeight="false" outlineLevel="0" collapsed="false">
      <c r="B359" s="115" t="s">
        <v>1453</v>
      </c>
      <c r="C359" s="0" t="n">
        <v>11.3576224443</v>
      </c>
      <c r="D359" s="751" t="n">
        <f aca="false">C359*$B$2</f>
        <v>965.3979077655</v>
      </c>
    </row>
    <row r="360" customFormat="false" ht="12.8" hidden="false" customHeight="false" outlineLevel="0" collapsed="false">
      <c r="B360" s="115" t="s">
        <v>1454</v>
      </c>
      <c r="C360" s="0" t="n">
        <v>4.1520033555</v>
      </c>
      <c r="D360" s="751" t="n">
        <f aca="false">C360*$B$2</f>
        <v>352.9202852175</v>
      </c>
    </row>
    <row r="361" customFormat="false" ht="12.8" hidden="false" customHeight="false" outlineLevel="0" collapsed="false">
      <c r="B361" s="115" t="s">
        <v>1091</v>
      </c>
      <c r="C361" s="0" t="n">
        <v>1.92389200124</v>
      </c>
      <c r="D361" s="751" t="n">
        <f aca="false">C361*$B$2</f>
        <v>163.5308201054</v>
      </c>
    </row>
    <row r="362" customFormat="false" ht="12.8" hidden="false" customHeight="false" outlineLevel="0" collapsed="false">
      <c r="B362" s="115" t="s">
        <v>1096</v>
      </c>
      <c r="C362" s="0" t="n">
        <v>4.79450234626</v>
      </c>
      <c r="D362" s="751" t="n">
        <f aca="false">C362*$B$2</f>
        <v>407.5326994321</v>
      </c>
    </row>
    <row r="363" customFormat="false" ht="12.8" hidden="false" customHeight="false" outlineLevel="0" collapsed="false">
      <c r="B363" s="115" t="s">
        <v>1455</v>
      </c>
      <c r="C363" s="0" t="n">
        <v>4.4322051466</v>
      </c>
      <c r="D363" s="751" t="n">
        <f aca="false">C363*$B$2</f>
        <v>376.737437461</v>
      </c>
    </row>
    <row r="364" customFormat="false" ht="12.8" hidden="false" customHeight="false" outlineLevel="0" collapsed="false">
      <c r="B364" s="115" t="s">
        <v>1456</v>
      </c>
      <c r="C364" s="0" t="n">
        <v>2.47030029774</v>
      </c>
      <c r="D364" s="751" t="n">
        <f aca="false">C364*$B$2</f>
        <v>209.9755253079</v>
      </c>
    </row>
    <row r="365" customFormat="false" ht="12.8" hidden="false" customHeight="false" outlineLevel="0" collapsed="false">
      <c r="B365" s="115" t="s">
        <v>1457</v>
      </c>
      <c r="C365" s="0" t="n">
        <v>2.36072309242</v>
      </c>
      <c r="D365" s="751" t="n">
        <f aca="false">C365*$B$2</f>
        <v>200.6614628557</v>
      </c>
    </row>
    <row r="366" customFormat="false" ht="12.8" hidden="false" customHeight="false" outlineLevel="0" collapsed="false">
      <c r="B366" s="115" t="s">
        <v>1101</v>
      </c>
      <c r="C366" s="0" t="n">
        <v>4.90713352712</v>
      </c>
      <c r="D366" s="751" t="n">
        <f aca="false">C366*$B$2</f>
        <v>417.1063498052</v>
      </c>
    </row>
    <row r="367" customFormat="false" ht="12.8" hidden="false" customHeight="false" outlineLevel="0" collapsed="false">
      <c r="B367" s="115" t="s">
        <v>1102</v>
      </c>
      <c r="C367" s="0" t="n">
        <v>5.537265789</v>
      </c>
      <c r="D367" s="751" t="n">
        <f aca="false">C367*$B$2</f>
        <v>470.667592065</v>
      </c>
    </row>
    <row r="368" customFormat="false" ht="12.8" hidden="false" customHeight="false" outlineLevel="0" collapsed="false">
      <c r="B368" s="115" t="s">
        <v>1116</v>
      </c>
      <c r="C368" s="0" t="n">
        <v>4.7922787143</v>
      </c>
      <c r="D368" s="751" t="n">
        <f aca="false">C368*$B$2</f>
        <v>407.3436907155</v>
      </c>
    </row>
    <row r="369" customFormat="false" ht="12.8" hidden="false" customHeight="false" outlineLevel="0" collapsed="false">
      <c r="B369" s="115" t="s">
        <v>1103</v>
      </c>
      <c r="C369" s="0" t="n">
        <v>4.6524572996</v>
      </c>
      <c r="D369" s="751" t="n">
        <f aca="false">C369*$B$2</f>
        <v>395.458870466</v>
      </c>
    </row>
    <row r="370" customFormat="false" ht="12.8" hidden="false" customHeight="false" outlineLevel="0" collapsed="false">
      <c r="B370" s="115" t="s">
        <v>1458</v>
      </c>
      <c r="C370" s="0" t="n">
        <v>1.9375856335</v>
      </c>
      <c r="D370" s="751" t="n">
        <f aca="false">C370*$B$2</f>
        <v>164.6947788475</v>
      </c>
    </row>
    <row r="371" customFormat="false" ht="12.8" hidden="false" customHeight="false" outlineLevel="0" collapsed="false">
      <c r="B371" s="115" t="s">
        <v>1089</v>
      </c>
      <c r="C371" s="0" t="n">
        <v>0.888589779</v>
      </c>
      <c r="D371" s="751" t="n">
        <f aca="false">C371*$B$2</f>
        <v>75.530131215</v>
      </c>
    </row>
    <row r="372" customFormat="false" ht="12.8" hidden="false" customHeight="false" outlineLevel="0" collapsed="false">
      <c r="B372" s="115" t="s">
        <v>1099</v>
      </c>
      <c r="C372" s="0" t="n">
        <v>1.9822494615</v>
      </c>
      <c r="D372" s="751" t="n">
        <f aca="false">C372*$B$2</f>
        <v>168.4912042275</v>
      </c>
    </row>
    <row r="373" customFormat="false" ht="12.8" hidden="false" customHeight="false" outlineLevel="0" collapsed="false">
      <c r="B373" s="115" t="s">
        <v>1459</v>
      </c>
      <c r="C373" s="0" t="n">
        <v>0.4336998435</v>
      </c>
      <c r="D373" s="751" t="n">
        <f aca="false">C373*$B$2</f>
        <v>36.8644866975</v>
      </c>
    </row>
    <row r="374" customFormat="false" ht="12.8" hidden="false" customHeight="false" outlineLevel="0" collapsed="false">
      <c r="B374" s="115" t="s">
        <v>1460</v>
      </c>
      <c r="C374" s="0" t="n">
        <v>0.0464230305</v>
      </c>
      <c r="D374" s="751" t="n">
        <f aca="false">C374*$B$2</f>
        <v>3.9459575925</v>
      </c>
    </row>
    <row r="375" customFormat="false" ht="12.8" hidden="false" customHeight="false" outlineLevel="0" collapsed="false">
      <c r="B375" s="115" t="s">
        <v>1148</v>
      </c>
      <c r="C375" s="0" t="n">
        <v>0.24808977336</v>
      </c>
      <c r="D375" s="751" t="n">
        <f aca="false">C375*$B$2</f>
        <v>21.0876307356</v>
      </c>
    </row>
    <row r="376" customFormat="false" ht="12.8" hidden="false" customHeight="false" outlineLevel="0" collapsed="false">
      <c r="B376" s="115" t="s">
        <v>1461</v>
      </c>
      <c r="C376" s="0" t="n">
        <v>0.284672157</v>
      </c>
      <c r="D376" s="751" t="n">
        <f aca="false">C376*$B$2</f>
        <v>24.197133345</v>
      </c>
    </row>
    <row r="377" customFormat="false" ht="12.8" hidden="false" customHeight="false" outlineLevel="0" collapsed="false">
      <c r="B377" s="115" t="s">
        <v>1462</v>
      </c>
      <c r="C377" s="0" t="n">
        <v>0.8151214995</v>
      </c>
      <c r="D377" s="751" t="n">
        <f aca="false">C377*$B$2</f>
        <v>69.2853274575</v>
      </c>
    </row>
    <row r="378" customFormat="false" ht="12.8" hidden="false" customHeight="false" outlineLevel="0" collapsed="false">
      <c r="B378" s="115" t="s">
        <v>1463</v>
      </c>
      <c r="C378" s="0" t="n">
        <v>2.73396805</v>
      </c>
      <c r="D378" s="751" t="n">
        <f aca="false">C378*$B$2</f>
        <v>232.38728425</v>
      </c>
    </row>
    <row r="379" customFormat="false" ht="12.8" hidden="false" customHeight="false" outlineLevel="0" collapsed="false">
      <c r="B379" s="115" t="s">
        <v>1464</v>
      </c>
      <c r="C379" s="0" t="n">
        <v>0.0122885714285715</v>
      </c>
      <c r="D379" s="751" t="n">
        <f aca="false">C379*$B$2</f>
        <v>1.04452857142858</v>
      </c>
    </row>
    <row r="380" customFormat="false" ht="12.8" hidden="false" customHeight="false" outlineLevel="0" collapsed="false">
      <c r="B380" s="115" t="s">
        <v>1465</v>
      </c>
      <c r="C380" s="0" t="n">
        <v>1.0707966885</v>
      </c>
      <c r="D380" s="751" t="n">
        <f aca="false">C380*$B$2</f>
        <v>91.0177185225</v>
      </c>
    </row>
    <row r="381" customFormat="false" ht="12.8" hidden="false" customHeight="false" outlineLevel="0" collapsed="false">
      <c r="B381" s="115" t="s">
        <v>1466</v>
      </c>
      <c r="C381" s="0" t="n">
        <v>0.9907762095</v>
      </c>
      <c r="D381" s="751" t="n">
        <f aca="false">C381*$B$2</f>
        <v>84.2159778075</v>
      </c>
    </row>
    <row r="382" customFormat="false" ht="12.8" hidden="false" customHeight="false" outlineLevel="0" collapsed="false">
      <c r="B382" s="115" t="s">
        <v>1467</v>
      </c>
      <c r="C382" s="0" t="n">
        <v>6.870608514</v>
      </c>
      <c r="D382" s="751" t="n">
        <f aca="false">C382*$B$2</f>
        <v>584.00172369</v>
      </c>
    </row>
    <row r="383" customFormat="false" ht="12.8" hidden="false" customHeight="false" outlineLevel="0" collapsed="false">
      <c r="B383" s="115" t="s">
        <v>1468</v>
      </c>
      <c r="C383" s="0" t="n">
        <v>6.870608514</v>
      </c>
      <c r="D383" s="751" t="n">
        <f aca="false">C383*$B$2</f>
        <v>584.00172369</v>
      </c>
    </row>
    <row r="384" customFormat="false" ht="12.8" hidden="false" customHeight="false" outlineLevel="0" collapsed="false">
      <c r="B384" s="115" t="s">
        <v>1107</v>
      </c>
      <c r="C384" s="0" t="n">
        <v>1.831548873</v>
      </c>
      <c r="D384" s="751" t="n">
        <f aca="false">C384*$B$2</f>
        <v>155.681654205</v>
      </c>
    </row>
    <row r="385" customFormat="false" ht="12.8" hidden="false" customHeight="false" outlineLevel="0" collapsed="false">
      <c r="B385" s="115" t="s">
        <v>1147</v>
      </c>
      <c r="C385" s="0" t="n">
        <v>1.286461638</v>
      </c>
      <c r="D385" s="751" t="n">
        <f aca="false">C385*$B$2</f>
        <v>109.34923923</v>
      </c>
    </row>
    <row r="386" customFormat="false" ht="12.8" hidden="false" customHeight="false" outlineLevel="0" collapsed="false">
      <c r="B386" s="115" t="s">
        <v>1469</v>
      </c>
      <c r="C386" s="0" t="n">
        <v>3.8963281665</v>
      </c>
      <c r="D386" s="751" t="n">
        <f aca="false">C386*$B$2</f>
        <v>331.1878941525</v>
      </c>
    </row>
    <row r="387" customFormat="false" ht="12.8" hidden="false" customHeight="false" outlineLevel="0" collapsed="false">
      <c r="B387" s="115" t="s">
        <v>1470</v>
      </c>
      <c r="C387" s="0" t="n">
        <v>4.4684606505</v>
      </c>
      <c r="D387" s="751" t="n">
        <f aca="false">C387*$B$2</f>
        <v>379.8191552925</v>
      </c>
    </row>
    <row r="388" customFormat="false" ht="12.8" hidden="false" customHeight="false" outlineLevel="0" collapsed="false">
      <c r="B388" s="115" t="s">
        <v>1471</v>
      </c>
      <c r="C388" s="0" t="n">
        <v>1.382374686</v>
      </c>
      <c r="D388" s="751" t="n">
        <f aca="false">C388*$B$2</f>
        <v>117.50184831</v>
      </c>
    </row>
    <row r="389" customFormat="false" ht="12.8" hidden="false" customHeight="false" outlineLevel="0" collapsed="false">
      <c r="B389" s="115" t="s">
        <v>1095</v>
      </c>
      <c r="C389" s="0" t="n">
        <v>5.0693112855</v>
      </c>
      <c r="D389" s="751" t="n">
        <f aca="false">C389*$B$2</f>
        <v>430.8914592675</v>
      </c>
    </row>
    <row r="390" customFormat="false" ht="12.8" hidden="false" customHeight="false" outlineLevel="0" collapsed="false">
      <c r="B390" s="115" t="s">
        <v>1472</v>
      </c>
      <c r="C390" s="0" t="n">
        <v>13.279217259</v>
      </c>
      <c r="D390" s="751" t="n">
        <f aca="false">C390*$B$2</f>
        <v>1128.733467015</v>
      </c>
    </row>
    <row r="391" customFormat="false" ht="12.8" hidden="false" customHeight="false" outlineLevel="0" collapsed="false">
      <c r="B391" s="115" t="s">
        <v>1473</v>
      </c>
      <c r="C391" s="0" t="n">
        <v>14.8468658415</v>
      </c>
      <c r="D391" s="751" t="n">
        <f aca="false">C391*$B$2</f>
        <v>1261.9835965275</v>
      </c>
    </row>
    <row r="392" customFormat="false" ht="12.8" hidden="false" customHeight="false" outlineLevel="0" collapsed="false">
      <c r="B392" s="115" t="s">
        <v>1090</v>
      </c>
      <c r="C392" s="0" t="n">
        <v>2.689747599</v>
      </c>
      <c r="D392" s="751" t="n">
        <f aca="false">C392*$B$2</f>
        <v>228.628545915</v>
      </c>
    </row>
    <row r="393" customFormat="false" ht="12.8" hidden="false" customHeight="false" outlineLevel="0" collapsed="false">
      <c r="B393" s="115" t="s">
        <v>1474</v>
      </c>
      <c r="C393" s="0" t="n">
        <v>0.572132484</v>
      </c>
      <c r="D393" s="751" t="n">
        <f aca="false">C393*$B$2</f>
        <v>48.63126114</v>
      </c>
    </row>
    <row r="394" customFormat="false" ht="12.8" hidden="false" customHeight="false" outlineLevel="0" collapsed="false">
      <c r="B394" s="115" t="s">
        <v>1475</v>
      </c>
      <c r="C394" s="0" t="n">
        <v>0.930133512</v>
      </c>
      <c r="D394" s="751" t="n">
        <f aca="false">C394*$B$2</f>
        <v>79.06134852</v>
      </c>
    </row>
    <row r="395" customFormat="false" ht="12.8" hidden="false" customHeight="false" outlineLevel="0" collapsed="false">
      <c r="B395" s="115" t="s">
        <v>1476</v>
      </c>
      <c r="C395" s="0" t="n">
        <v>2.5186933695</v>
      </c>
      <c r="D395" s="751" t="n">
        <f aca="false">C395*$B$2</f>
        <v>214.0889364075</v>
      </c>
    </row>
    <row r="396" customFormat="false" ht="12.8" hidden="false" customHeight="false" outlineLevel="0" collapsed="false">
      <c r="B396" s="115" t="s">
        <v>1156</v>
      </c>
      <c r="C396" s="0" t="n">
        <v>2.891053473</v>
      </c>
      <c r="D396" s="751" t="n">
        <f aca="false">C396*$B$2</f>
        <v>245.739545205</v>
      </c>
    </row>
    <row r="397" customFormat="false" ht="12.8" hidden="false" customHeight="false" outlineLevel="0" collapsed="false">
      <c r="B397" s="115" t="s">
        <v>1477</v>
      </c>
      <c r="C397" s="0" t="n">
        <v>0.1470759675</v>
      </c>
      <c r="D397" s="751" t="n">
        <f aca="false">C397*$B$2</f>
        <v>12.5014572375</v>
      </c>
    </row>
    <row r="398" customFormat="false" ht="12.8" hidden="false" customHeight="false" outlineLevel="0" collapsed="false">
      <c r="B398" s="115" t="s">
        <v>1478</v>
      </c>
      <c r="C398" s="0" t="n">
        <v>4.834885</v>
      </c>
      <c r="D398" s="751" t="n">
        <f aca="false">C398*$B$2</f>
        <v>410.965225</v>
      </c>
    </row>
    <row r="399" customFormat="false" ht="12.8" hidden="false" customHeight="false" outlineLevel="0" collapsed="false">
      <c r="B399" s="115" t="s">
        <v>1479</v>
      </c>
      <c r="C399" s="0" t="n">
        <v>0.367480806</v>
      </c>
      <c r="D399" s="751" t="n">
        <f aca="false">C399*$B$2</f>
        <v>31.23586851</v>
      </c>
    </row>
    <row r="400" customFormat="false" ht="12.8" hidden="false" customHeight="false" outlineLevel="0" collapsed="false">
      <c r="B400" s="115" t="s">
        <v>1480</v>
      </c>
      <c r="C400" s="0" t="n">
        <v>0.4155767385</v>
      </c>
      <c r="D400" s="751" t="n">
        <f aca="false">C400*$B$2</f>
        <v>35.3240227725</v>
      </c>
    </row>
    <row r="401" customFormat="false" ht="12.8" hidden="false" customHeight="false" outlineLevel="0" collapsed="false">
      <c r="B401" s="115" t="s">
        <v>1481</v>
      </c>
      <c r="C401" s="0" t="n">
        <v>0.5162296755</v>
      </c>
      <c r="D401" s="751" t="n">
        <f aca="false">C401*$B$2</f>
        <v>43.8795224175</v>
      </c>
    </row>
    <row r="402" customFormat="false" ht="12.8" hidden="false" customHeight="false" outlineLevel="0" collapsed="false">
      <c r="B402" s="115" t="s">
        <v>1482</v>
      </c>
      <c r="C402" s="0" t="n">
        <v>1.085155764</v>
      </c>
      <c r="D402" s="751" t="n">
        <f aca="false">C402*$B$2</f>
        <v>92.23823994</v>
      </c>
    </row>
    <row r="403" customFormat="false" ht="12.8" hidden="false" customHeight="false" outlineLevel="0" collapsed="false">
      <c r="B403" s="115" t="s">
        <v>1483</v>
      </c>
      <c r="C403" s="0" t="n">
        <v>0.744720207</v>
      </c>
      <c r="D403" s="751" t="n">
        <f aca="false">C403*$B$2</f>
        <v>63.301217595</v>
      </c>
    </row>
    <row r="404" customFormat="false" ht="12.8" hidden="false" customHeight="false" outlineLevel="0" collapsed="false">
      <c r="B404" s="115" t="s">
        <v>1145</v>
      </c>
      <c r="C404" s="0" t="n">
        <v>0.3372291615</v>
      </c>
      <c r="D404" s="751" t="n">
        <f aca="false">C404*$B$2</f>
        <v>28.6644787275</v>
      </c>
    </row>
    <row r="405" customFormat="false" ht="12.8" hidden="false" customHeight="false" outlineLevel="0" collapsed="false">
      <c r="B405" s="115" t="s">
        <v>1484</v>
      </c>
      <c r="C405" s="0" t="n">
        <v>1.214526852</v>
      </c>
      <c r="D405" s="751" t="n">
        <f aca="false">C405*$B$2</f>
        <v>103.23478242</v>
      </c>
    </row>
    <row r="406" customFormat="false" ht="12.8" hidden="false" customHeight="false" outlineLevel="0" collapsed="false">
      <c r="B406" s="115" t="s">
        <v>1485</v>
      </c>
      <c r="C406" s="0" t="n">
        <v>0.930133512</v>
      </c>
      <c r="D406" s="751" t="n">
        <f aca="false">C406*$B$2</f>
        <v>79.06134852</v>
      </c>
    </row>
    <row r="407" customFormat="false" ht="12.8" hidden="false" customHeight="false" outlineLevel="0" collapsed="false">
      <c r="B407" s="115" t="s">
        <v>1486</v>
      </c>
      <c r="C407" s="0" t="n">
        <v>2.5713435</v>
      </c>
      <c r="D407" s="751" t="n">
        <f aca="false">C407*$B$2</f>
        <v>218.5641975</v>
      </c>
    </row>
    <row r="408" customFormat="false" ht="12.8" hidden="false" customHeight="false" outlineLevel="0" collapsed="false">
      <c r="B408" s="115" t="s">
        <v>1085</v>
      </c>
      <c r="C408" s="0" t="n">
        <v>2.2981491225</v>
      </c>
      <c r="D408" s="751" t="n">
        <f aca="false">C408*$B$2</f>
        <v>195.3426754125</v>
      </c>
    </row>
    <row r="409" customFormat="false" ht="12.8" hidden="false" customHeight="false" outlineLevel="0" collapsed="false">
      <c r="B409" s="115" t="s">
        <v>1487</v>
      </c>
      <c r="C409" s="0" t="n">
        <v>2.929355</v>
      </c>
      <c r="D409" s="751" t="n">
        <f aca="false">C409*$B$2</f>
        <v>248.995175</v>
      </c>
    </row>
    <row r="410" customFormat="false" ht="12.8" hidden="false" customHeight="false" outlineLevel="0" collapsed="false">
      <c r="B410" s="115" t="s">
        <v>1488</v>
      </c>
      <c r="C410" s="0" t="n">
        <v>2.806293105</v>
      </c>
      <c r="D410" s="751" t="n">
        <f aca="false">C410*$B$2</f>
        <v>238.534913925</v>
      </c>
    </row>
    <row r="411" customFormat="false" ht="12.8" hidden="false" customHeight="false" outlineLevel="0" collapsed="false">
      <c r="B411" s="115" t="s">
        <v>1489</v>
      </c>
      <c r="C411" s="0" t="n">
        <v>0.463393854</v>
      </c>
      <c r="D411" s="751" t="n">
        <f aca="false">C411*$B$2</f>
        <v>39.38847759</v>
      </c>
    </row>
    <row r="412" customFormat="false" ht="12.8" hidden="false" customHeight="false" outlineLevel="0" collapsed="false">
      <c r="B412" s="115" t="s">
        <v>1119</v>
      </c>
      <c r="C412" s="0" t="n">
        <v>4.67297292</v>
      </c>
      <c r="D412" s="751" t="n">
        <f aca="false">C412*$B$2</f>
        <v>397.2026982</v>
      </c>
    </row>
    <row r="413" customFormat="false" ht="12.8" hidden="false" customHeight="false" outlineLevel="0" collapsed="false">
      <c r="B413" s="115" t="s">
        <v>1110</v>
      </c>
      <c r="C413" s="0" t="n">
        <v>6.2980578045</v>
      </c>
      <c r="D413" s="751" t="n">
        <f aca="false">C413*$B$2</f>
        <v>535.3349133825</v>
      </c>
    </row>
    <row r="414" customFormat="false" ht="12.8" hidden="false" customHeight="false" outlineLevel="0" collapsed="false">
      <c r="B414" s="115" t="s">
        <v>1490</v>
      </c>
      <c r="C414" s="0" t="n">
        <v>3.856875</v>
      </c>
      <c r="D414" s="751" t="n">
        <f aca="false">C414*$B$2</f>
        <v>327.834375</v>
      </c>
    </row>
    <row r="415" customFormat="false" ht="12.8" hidden="false" customHeight="false" outlineLevel="0" collapsed="false">
      <c r="B415" s="115" t="s">
        <v>1491</v>
      </c>
      <c r="C415" s="0" t="n">
        <v>3.975059</v>
      </c>
      <c r="D415" s="751" t="n">
        <f aca="false">C415*$B$2</f>
        <v>337.880015</v>
      </c>
    </row>
    <row r="416" customFormat="false" ht="12.8" hidden="false" customHeight="false" outlineLevel="0" collapsed="false">
      <c r="B416" s="115" t="s">
        <v>1492</v>
      </c>
      <c r="C416" s="0" t="n">
        <v>0.572968</v>
      </c>
      <c r="D416" s="751" t="n">
        <f aca="false">C416*$B$2</f>
        <v>48.70228</v>
      </c>
    </row>
    <row r="417" customFormat="false" ht="12.8" hidden="false" customHeight="false" outlineLevel="0" collapsed="false">
      <c r="B417" s="115" t="s">
        <v>1493</v>
      </c>
      <c r="C417" s="0" t="n">
        <v>0.6383515215</v>
      </c>
      <c r="D417" s="751" t="n">
        <f aca="false">C417*$B$2</f>
        <v>54.2598793275</v>
      </c>
    </row>
    <row r="418" customFormat="false" ht="12.8" hidden="false" customHeight="false" outlineLevel="0" collapsed="false">
      <c r="B418" s="115" t="s">
        <v>1494</v>
      </c>
      <c r="C418" s="0" t="n">
        <v>4.1687323755</v>
      </c>
      <c r="D418" s="751" t="n">
        <f aca="false">C418*$B$2</f>
        <v>354.3422519175</v>
      </c>
    </row>
    <row r="419" customFormat="false" ht="12.8" hidden="false" customHeight="false" outlineLevel="0" collapsed="false">
      <c r="B419" s="115" t="s">
        <v>1495</v>
      </c>
      <c r="C419" s="0" t="n">
        <v>2.63483</v>
      </c>
      <c r="D419" s="751" t="n">
        <f aca="false">C419*$B$2</f>
        <v>223.96055</v>
      </c>
    </row>
    <row r="420" customFormat="false" ht="12.8" hidden="false" customHeight="false" outlineLevel="0" collapsed="false">
      <c r="B420" s="115" t="s">
        <v>1086</v>
      </c>
      <c r="C420" s="0" t="n">
        <v>4.580405676</v>
      </c>
      <c r="D420" s="751" t="n">
        <f aca="false">C420*$B$2</f>
        <v>389.33448246</v>
      </c>
    </row>
    <row r="421" customFormat="false" ht="12.8" hidden="false" customHeight="false" outlineLevel="0" collapsed="false">
      <c r="B421" s="115" t="s">
        <v>1496</v>
      </c>
      <c r="C421" s="0" t="n">
        <v>4.9207018245</v>
      </c>
      <c r="D421" s="751" t="n">
        <f aca="false">C421*$B$2</f>
        <v>418.2596550825</v>
      </c>
    </row>
    <row r="422" customFormat="false" ht="12.8" hidden="false" customHeight="false" outlineLevel="0" collapsed="false">
      <c r="B422" s="115" t="s">
        <v>1497</v>
      </c>
      <c r="C422" s="0" t="n">
        <v>2.0856905685</v>
      </c>
      <c r="D422" s="751" t="n">
        <f aca="false">C422*$B$2</f>
        <v>177.2836983225</v>
      </c>
    </row>
    <row r="423" customFormat="false" ht="12.8" hidden="false" customHeight="false" outlineLevel="0" collapsed="false">
      <c r="B423" s="115" t="s">
        <v>1498</v>
      </c>
      <c r="C423" s="0" t="n">
        <v>1.257743487</v>
      </c>
      <c r="D423" s="751" t="n">
        <f aca="false">C423*$B$2</f>
        <v>106.908196395</v>
      </c>
    </row>
    <row r="424" customFormat="false" ht="12.8" hidden="false" customHeight="false" outlineLevel="0" collapsed="false">
      <c r="B424" s="115" t="s">
        <v>1499</v>
      </c>
      <c r="C424" s="0" t="n">
        <v>2.796813327</v>
      </c>
      <c r="D424" s="751" t="n">
        <f aca="false">C424*$B$2</f>
        <v>237.729132795</v>
      </c>
    </row>
    <row r="425" customFormat="false" ht="12.8" hidden="false" customHeight="false" outlineLevel="0" collapsed="false">
      <c r="B425" s="115" t="s">
        <v>1500</v>
      </c>
      <c r="C425" s="0" t="n">
        <v>0.486761</v>
      </c>
      <c r="D425" s="751" t="n">
        <f aca="false">C425*$B$2</f>
        <v>41.374685</v>
      </c>
    </row>
    <row r="426" customFormat="false" ht="12.8" hidden="false" customHeight="false" outlineLevel="0" collapsed="false">
      <c r="B426" s="115" t="s">
        <v>1501</v>
      </c>
      <c r="C426" s="0" t="n">
        <v>0.5257094535</v>
      </c>
      <c r="D426" s="751" t="n">
        <f aca="false">C426*$B$2</f>
        <v>44.6853035475</v>
      </c>
    </row>
    <row r="427" customFormat="false" ht="12.8" hidden="false" customHeight="false" outlineLevel="0" collapsed="false">
      <c r="B427" s="115" t="s">
        <v>1502</v>
      </c>
      <c r="C427" s="0" t="n">
        <v>0.8948631615</v>
      </c>
      <c r="D427" s="751" t="n">
        <f aca="false">C427*$B$2</f>
        <v>76.0633687275</v>
      </c>
    </row>
    <row r="428" customFormat="false" ht="12.8" hidden="false" customHeight="false" outlineLevel="0" collapsed="false">
      <c r="B428" s="115" t="s">
        <v>1503</v>
      </c>
      <c r="C428" s="0" t="n">
        <v>3.40153</v>
      </c>
      <c r="D428" s="751" t="n">
        <f aca="false">C428*$B$2</f>
        <v>289.13005</v>
      </c>
    </row>
    <row r="429" customFormat="false" ht="12.8" hidden="false" customHeight="false" outlineLevel="0" collapsed="false">
      <c r="B429" s="115" t="s">
        <v>1504</v>
      </c>
      <c r="C429" s="0" t="n">
        <v>0.962115</v>
      </c>
      <c r="D429" s="751" t="n">
        <f aca="false">C429*$B$2</f>
        <v>81.779775</v>
      </c>
    </row>
    <row r="430" customFormat="false" ht="12.8" hidden="false" customHeight="false" outlineLevel="0" collapsed="false">
      <c r="B430" s="115" t="s">
        <v>1505</v>
      </c>
      <c r="C430" s="0" t="n">
        <v>3.4951105035</v>
      </c>
      <c r="D430" s="751" t="n">
        <f aca="false">C430*$B$2</f>
        <v>297.0843927975</v>
      </c>
    </row>
    <row r="431" customFormat="false" ht="12.8" hidden="false" customHeight="false" outlineLevel="0" collapsed="false">
      <c r="B431" s="115" t="s">
        <v>1506</v>
      </c>
      <c r="C431" s="0" t="n">
        <v>4.2367637235</v>
      </c>
      <c r="D431" s="751" t="n">
        <f aca="false">C431*$B$2</f>
        <v>360.1249164975</v>
      </c>
    </row>
    <row r="432" customFormat="false" ht="12.8" hidden="false" customHeight="false" outlineLevel="0" collapsed="false">
      <c r="B432" s="115" t="s">
        <v>1507</v>
      </c>
      <c r="C432" s="0" t="n">
        <v>3.4951105035</v>
      </c>
      <c r="D432" s="751" t="n">
        <f aca="false">C432*$B$2</f>
        <v>297.0843927975</v>
      </c>
    </row>
    <row r="433" customFormat="false" ht="12.8" hidden="false" customHeight="false" outlineLevel="0" collapsed="false">
      <c r="B433" s="115" t="s">
        <v>1106</v>
      </c>
      <c r="C433" s="0" t="n">
        <v>2.5186933695</v>
      </c>
      <c r="D433" s="751" t="n">
        <f aca="false">C433*$B$2</f>
        <v>214.0889364075</v>
      </c>
    </row>
    <row r="434" customFormat="false" ht="12.8" hidden="false" customHeight="false" outlineLevel="0" collapsed="false">
      <c r="B434" s="115" t="s">
        <v>1508</v>
      </c>
      <c r="C434" s="0" t="n">
        <v>4.2222652395</v>
      </c>
      <c r="D434" s="751" t="n">
        <f aca="false">C434*$B$2</f>
        <v>358.8925453575</v>
      </c>
    </row>
    <row r="435" customFormat="false" ht="12.8" hidden="false" customHeight="false" outlineLevel="0" collapsed="false">
      <c r="B435" s="115" t="s">
        <v>1509</v>
      </c>
      <c r="C435" s="0" t="n">
        <v>2.5186933695</v>
      </c>
      <c r="D435" s="751" t="n">
        <f aca="false">C435*$B$2</f>
        <v>214.0889364075</v>
      </c>
    </row>
    <row r="436" customFormat="false" ht="12.8" hidden="false" customHeight="false" outlineLevel="0" collapsed="false">
      <c r="B436" s="115" t="s">
        <v>1510</v>
      </c>
      <c r="C436" s="0" t="n">
        <v>4.2222652395</v>
      </c>
      <c r="D436" s="751" t="n">
        <f aca="false">C436*$B$2</f>
        <v>358.8925453575</v>
      </c>
    </row>
    <row r="437" customFormat="false" ht="12.8" hidden="false" customHeight="false" outlineLevel="0" collapsed="false">
      <c r="B437" s="115" t="s">
        <v>1105</v>
      </c>
      <c r="C437" s="0" t="n">
        <v>2.5186933695</v>
      </c>
      <c r="D437" s="751" t="n">
        <f aca="false">C437*$B$2</f>
        <v>214.0889364075</v>
      </c>
    </row>
    <row r="438" customFormat="false" ht="12.8" hidden="false" customHeight="false" outlineLevel="0" collapsed="false">
      <c r="B438" s="115" t="s">
        <v>1511</v>
      </c>
      <c r="C438" s="0" t="n">
        <v>4.2222652395</v>
      </c>
      <c r="D438" s="751" t="n">
        <f aca="false">C438*$B$2</f>
        <v>358.8925453575</v>
      </c>
    </row>
    <row r="439" customFormat="false" ht="12.8" hidden="false" customHeight="false" outlineLevel="0" collapsed="false">
      <c r="B439" s="115" t="s">
        <v>1512</v>
      </c>
      <c r="C439" s="0" t="n">
        <v>2.5186933695</v>
      </c>
      <c r="D439" s="751" t="n">
        <f aca="false">C439*$B$2</f>
        <v>214.0889364075</v>
      </c>
    </row>
    <row r="440" customFormat="false" ht="12.8" hidden="false" customHeight="false" outlineLevel="0" collapsed="false">
      <c r="B440" s="115" t="s">
        <v>1513</v>
      </c>
      <c r="C440" s="0" t="n">
        <v>4.2222652395</v>
      </c>
      <c r="D440" s="751" t="n">
        <f aca="false">C440*$B$2</f>
        <v>358.8925453575</v>
      </c>
    </row>
    <row r="441" customFormat="false" ht="12.8" hidden="false" customHeight="false" outlineLevel="0" collapsed="false">
      <c r="B441" s="115" t="s">
        <v>1514</v>
      </c>
      <c r="C441" s="0" t="n">
        <v>0.388392081</v>
      </c>
      <c r="D441" s="751" t="n">
        <f aca="false">C441*$B$2</f>
        <v>33.013326885</v>
      </c>
    </row>
    <row r="442" customFormat="false" ht="12.8" hidden="false" customHeight="false" outlineLevel="0" collapsed="false">
      <c r="B442" s="115" t="s">
        <v>1515</v>
      </c>
      <c r="C442" s="0" t="n">
        <v>0.4858386225</v>
      </c>
      <c r="D442" s="751" t="n">
        <f aca="false">C442*$B$2</f>
        <v>41.2962829125</v>
      </c>
    </row>
    <row r="443" customFormat="false" ht="12.8" hidden="false" customHeight="false" outlineLevel="0" collapsed="false">
      <c r="B443" s="115" t="s">
        <v>1516</v>
      </c>
      <c r="C443" s="0" t="n">
        <v>0.618416106</v>
      </c>
      <c r="D443" s="751" t="n">
        <f aca="false">C443*$B$2</f>
        <v>52.56536901</v>
      </c>
    </row>
    <row r="444" customFormat="false" ht="12.8" hidden="false" customHeight="false" outlineLevel="0" collapsed="false">
      <c r="B444" s="115" t="s">
        <v>1517</v>
      </c>
      <c r="C444" s="0" t="n">
        <v>0.6495042015</v>
      </c>
      <c r="D444" s="751" t="n">
        <f aca="false">C444*$B$2</f>
        <v>55.2078571275</v>
      </c>
    </row>
    <row r="445" customFormat="false" ht="12.8" hidden="false" customHeight="false" outlineLevel="0" collapsed="false">
      <c r="B445" s="115" t="s">
        <v>1518</v>
      </c>
      <c r="C445" s="0" t="n">
        <v>0.6232954035</v>
      </c>
      <c r="D445" s="751" t="n">
        <f aca="false">C445*$B$2</f>
        <v>52.9801092975</v>
      </c>
    </row>
    <row r="446" customFormat="false" ht="12.8" hidden="false" customHeight="false" outlineLevel="0" collapsed="false">
      <c r="B446" s="115" t="s">
        <v>1519</v>
      </c>
      <c r="C446" s="0" t="n">
        <v>0.6545229075</v>
      </c>
      <c r="D446" s="751" t="n">
        <f aca="false">C446*$B$2</f>
        <v>55.6344471375</v>
      </c>
    </row>
    <row r="447" customFormat="false" ht="12.8" hidden="false" customHeight="false" outlineLevel="0" collapsed="false">
      <c r="B447" s="115" t="s">
        <v>1087</v>
      </c>
      <c r="C447" s="0" t="n">
        <v>0.925393623</v>
      </c>
      <c r="D447" s="751" t="n">
        <f aca="false">C447*$B$2</f>
        <v>78.658457955</v>
      </c>
    </row>
    <row r="448" customFormat="false" ht="12.8" hidden="false" customHeight="false" outlineLevel="0" collapsed="false">
      <c r="B448" s="115" t="s">
        <v>1520</v>
      </c>
      <c r="C448" s="0" t="n">
        <v>2.152746057</v>
      </c>
      <c r="D448" s="751" t="n">
        <f aca="false">C448*$B$2</f>
        <v>182.983414845</v>
      </c>
    </row>
    <row r="449" customFormat="false" ht="12.8" hidden="false" customHeight="false" outlineLevel="0" collapsed="false">
      <c r="B449" s="115" t="s">
        <v>1146</v>
      </c>
      <c r="C449" s="0" t="n">
        <v>0.461999769</v>
      </c>
      <c r="D449" s="751" t="n">
        <f aca="false">C449*$B$2</f>
        <v>39.269980365</v>
      </c>
    </row>
    <row r="450" customFormat="false" ht="12.8" hidden="false" customHeight="false" outlineLevel="0" collapsed="false">
      <c r="B450" s="115" t="s">
        <v>1521</v>
      </c>
      <c r="C450" s="0" t="n">
        <v>0.589697955</v>
      </c>
      <c r="D450" s="751" t="n">
        <f aca="false">C450*$B$2</f>
        <v>50.124326175</v>
      </c>
    </row>
    <row r="451" customFormat="false" ht="12.8" hidden="false" customHeight="false" outlineLevel="0" collapsed="false">
      <c r="B451" s="115" t="s">
        <v>1522</v>
      </c>
      <c r="C451" s="0" t="n">
        <v>0.8198613885</v>
      </c>
      <c r="D451" s="751" t="n">
        <f aca="false">C451*$B$2</f>
        <v>69.6882180225</v>
      </c>
    </row>
    <row r="452" customFormat="false" ht="12.8" hidden="false" customHeight="false" outlineLevel="0" collapsed="false">
      <c r="B452" s="115" t="s">
        <v>1523</v>
      </c>
      <c r="C452" s="0" t="n">
        <v>0.8608474875</v>
      </c>
      <c r="D452" s="751" t="n">
        <f aca="false">C452*$B$2</f>
        <v>73.1720364375</v>
      </c>
    </row>
    <row r="453" customFormat="false" ht="12.8" hidden="false" customHeight="false" outlineLevel="0" collapsed="false">
      <c r="B453" s="115" t="s">
        <v>1524</v>
      </c>
      <c r="C453" s="0" t="n">
        <v>0.7033158825</v>
      </c>
      <c r="D453" s="751" t="n">
        <f aca="false">C453*$B$2</f>
        <v>59.7818500125</v>
      </c>
    </row>
    <row r="454" customFormat="false" ht="12.8" hidden="false" customHeight="false" outlineLevel="0" collapsed="false">
      <c r="B454" s="115" t="s">
        <v>1525</v>
      </c>
      <c r="C454" s="0" t="n">
        <v>0.7384468245</v>
      </c>
      <c r="D454" s="751" t="n">
        <f aca="false">C454*$B$2</f>
        <v>62.7679800825</v>
      </c>
    </row>
    <row r="455" customFormat="false" ht="12.8" hidden="false" customHeight="false" outlineLevel="0" collapsed="false">
      <c r="B455" s="115" t="s">
        <v>1526</v>
      </c>
      <c r="C455" s="0" t="n">
        <v>2.200702581</v>
      </c>
      <c r="D455" s="751" t="n">
        <f aca="false">C455*$B$2</f>
        <v>187.059719385</v>
      </c>
    </row>
    <row r="456" customFormat="false" ht="12.8" hidden="false" customHeight="false" outlineLevel="0" collapsed="false">
      <c r="B456" s="115" t="s">
        <v>1527</v>
      </c>
      <c r="C456" s="0" t="n">
        <v>3.2762391585</v>
      </c>
      <c r="D456" s="751" t="n">
        <f aca="false">C456*$B$2</f>
        <v>278.4803284725</v>
      </c>
    </row>
    <row r="457" customFormat="false" ht="12.8" hidden="false" customHeight="false" outlineLevel="0" collapsed="false">
      <c r="B457" s="115" t="s">
        <v>1528</v>
      </c>
      <c r="C457" s="0" t="n">
        <v>3.5160217785</v>
      </c>
      <c r="D457" s="751" t="n">
        <f aca="false">C457*$B$2</f>
        <v>298.8618511725</v>
      </c>
    </row>
    <row r="458" customFormat="false" ht="12.8" hidden="false" customHeight="false" outlineLevel="0" collapsed="false">
      <c r="B458" s="115" t="s">
        <v>1529</v>
      </c>
      <c r="C458" s="0" t="n">
        <v>0.735240429</v>
      </c>
      <c r="D458" s="751" t="n">
        <f aca="false">C458*$B$2</f>
        <v>62.495436465</v>
      </c>
    </row>
    <row r="459" customFormat="false" ht="12.8" hidden="false" customHeight="false" outlineLevel="0" collapsed="false">
      <c r="B459" s="115" t="s">
        <v>1530</v>
      </c>
      <c r="C459" s="0" t="n">
        <v>0.7830575445</v>
      </c>
      <c r="D459" s="751" t="n">
        <f aca="false">C459*$B$2</f>
        <v>66.5598912825</v>
      </c>
    </row>
    <row r="460" customFormat="false" ht="12.8" hidden="false" customHeight="false" outlineLevel="0" collapsed="false">
      <c r="B460" s="115" t="s">
        <v>1531</v>
      </c>
      <c r="C460" s="0" t="n">
        <v>2.328400767</v>
      </c>
      <c r="D460" s="751" t="n">
        <f aca="false">C460*$B$2</f>
        <v>197.914065195</v>
      </c>
    </row>
    <row r="461" customFormat="false" ht="12.8" hidden="false" customHeight="false" outlineLevel="0" collapsed="false">
      <c r="B461" s="115" t="s">
        <v>1532</v>
      </c>
      <c r="C461" s="0" t="n">
        <v>0.521108973</v>
      </c>
      <c r="D461" s="751" t="n">
        <f aca="false">C461*$B$2</f>
        <v>44.294262705</v>
      </c>
    </row>
    <row r="462" customFormat="false" ht="12.8" hidden="false" customHeight="false" outlineLevel="0" collapsed="false">
      <c r="B462" s="115" t="s">
        <v>1533</v>
      </c>
      <c r="C462" s="0" t="n">
        <v>35.236334826</v>
      </c>
      <c r="D462" s="751" t="n">
        <f aca="false">C462*$B$2</f>
        <v>2995.08846021</v>
      </c>
    </row>
    <row r="463" customFormat="false" ht="12.8" hidden="false" customHeight="false" outlineLevel="0" collapsed="false">
      <c r="B463" s="115" t="s">
        <v>1534</v>
      </c>
      <c r="C463" s="0" t="n">
        <v>35.236334826</v>
      </c>
      <c r="D463" s="751" t="n">
        <f aca="false">C463*$B$2</f>
        <v>2995.08846021</v>
      </c>
    </row>
    <row r="464" customFormat="false" ht="12.8" hidden="false" customHeight="false" outlineLevel="0" collapsed="false">
      <c r="B464" s="115" t="s">
        <v>1535</v>
      </c>
      <c r="C464" s="0" t="n">
        <v>35.236334826</v>
      </c>
      <c r="D464" s="751" t="n">
        <f aca="false">C464*$B$2</f>
        <v>2995.08846021</v>
      </c>
    </row>
    <row r="465" customFormat="false" ht="12.8" hidden="false" customHeight="false" outlineLevel="0" collapsed="false">
      <c r="B465" s="115" t="s">
        <v>1536</v>
      </c>
      <c r="C465" s="0" t="n">
        <v>3.8179805895</v>
      </c>
      <c r="D465" s="751" t="n">
        <f aca="false">C465*$B$2</f>
        <v>324.5283501075</v>
      </c>
    </row>
    <row r="466" customFormat="false" ht="12.8" hidden="false" customHeight="false" outlineLevel="0" collapsed="false">
      <c r="B466" s="115" t="s">
        <v>1537</v>
      </c>
      <c r="C466" s="0" t="n">
        <v>5.83006347</v>
      </c>
      <c r="D466" s="751" t="n">
        <f aca="false">C466*$B$2</f>
        <v>495.55539495</v>
      </c>
    </row>
    <row r="467" customFormat="false" ht="12.8" hidden="false" customHeight="false" outlineLevel="0" collapsed="false">
      <c r="B467" s="115" t="s">
        <v>1538</v>
      </c>
      <c r="C467" s="0" t="n">
        <v>6.299312481</v>
      </c>
      <c r="D467" s="751" t="n">
        <f aca="false">C467*$B$2</f>
        <v>535.441560885</v>
      </c>
    </row>
    <row r="468" customFormat="false" ht="12.8" hidden="false" customHeight="false" outlineLevel="0" collapsed="false">
      <c r="B468" s="115" t="s">
        <v>1539</v>
      </c>
      <c r="C468" s="0" t="n">
        <v>6.4486189845</v>
      </c>
      <c r="D468" s="751" t="n">
        <f aca="false">C468*$B$2</f>
        <v>548.1326136825</v>
      </c>
    </row>
    <row r="469" customFormat="false" ht="12.8" hidden="false" customHeight="false" outlineLevel="0" collapsed="false">
      <c r="B469" s="115" t="s">
        <v>1540</v>
      </c>
      <c r="C469" s="0" t="n">
        <v>1.7851258425</v>
      </c>
      <c r="D469" s="751" t="n">
        <f aca="false">C469*$B$2</f>
        <v>151.7356966125</v>
      </c>
    </row>
    <row r="470" customFormat="false" ht="12.8" hidden="false" customHeight="false" outlineLevel="0" collapsed="false">
      <c r="B470" s="115" t="s">
        <v>1541</v>
      </c>
      <c r="C470" s="0" t="n">
        <v>13.4614621428572</v>
      </c>
      <c r="D470" s="751" t="n">
        <f aca="false">C470*$B$2</f>
        <v>1144.22428214286</v>
      </c>
    </row>
    <row r="471" customFormat="false" ht="12.8" hidden="false" customHeight="false" outlineLevel="0" collapsed="false">
      <c r="B471" s="115" t="s">
        <v>1542</v>
      </c>
      <c r="C471" s="0" t="n">
        <v>8.91509142857143</v>
      </c>
      <c r="D471" s="751" t="n">
        <f aca="false">C471*$B$2</f>
        <v>757.782771428572</v>
      </c>
    </row>
    <row r="472" customFormat="false" ht="12.8" hidden="false" customHeight="false" outlineLevel="0" collapsed="false">
      <c r="B472" s="115" t="s">
        <v>1543</v>
      </c>
      <c r="C472" s="0" t="n">
        <v>10.6757635215</v>
      </c>
      <c r="D472" s="751" t="n">
        <f aca="false">C472*$B$2</f>
        <v>907.4398993275</v>
      </c>
    </row>
    <row r="473" customFormat="false" ht="12.8" hidden="false" customHeight="false" outlineLevel="0" collapsed="false">
      <c r="B473" s="115" t="s">
        <v>1544</v>
      </c>
      <c r="C473" s="0" t="n">
        <v>0.255675189</v>
      </c>
      <c r="D473" s="751" t="n">
        <f aca="false">C473*$B$2</f>
        <v>21.732391065</v>
      </c>
    </row>
    <row r="474" customFormat="false" ht="12.8" hidden="false" customHeight="false" outlineLevel="0" collapsed="false">
      <c r="B474" s="115" t="s">
        <v>1155</v>
      </c>
      <c r="C474" s="0" t="n">
        <v>6.6292924005</v>
      </c>
      <c r="D474" s="751" t="n">
        <f aca="false">C474*$B$2</f>
        <v>563.4898540425</v>
      </c>
    </row>
    <row r="475" customFormat="false" ht="12.8" hidden="false" customHeight="false" outlineLevel="0" collapsed="false">
      <c r="B475" s="115" t="s">
        <v>1545</v>
      </c>
      <c r="C475" s="0" t="n">
        <v>7.4426015895</v>
      </c>
      <c r="D475" s="751" t="n">
        <f aca="false">C475*$B$2</f>
        <v>632.6211351075</v>
      </c>
    </row>
    <row r="476" customFormat="false" ht="12.8" hidden="false" customHeight="false" outlineLevel="0" collapsed="false">
      <c r="B476" s="115" t="s">
        <v>1546</v>
      </c>
      <c r="C476" s="0" t="n">
        <v>10.532775</v>
      </c>
      <c r="D476" s="751" t="n">
        <f aca="false">C476*$B$2</f>
        <v>895.285875</v>
      </c>
    </row>
    <row r="477" customFormat="false" ht="12.8" hidden="false" customHeight="false" outlineLevel="0" collapsed="false">
      <c r="B477" s="115" t="s">
        <v>1547</v>
      </c>
      <c r="C477" s="0" t="n">
        <v>13.76881</v>
      </c>
      <c r="D477" s="751" t="n">
        <f aca="false">C477*$B$2</f>
        <v>1170.34885</v>
      </c>
    </row>
    <row r="478" customFormat="false" ht="12.8" hidden="false" customHeight="false" outlineLevel="0" collapsed="false">
      <c r="B478" s="115" t="s">
        <v>1548</v>
      </c>
      <c r="C478" s="0" t="n">
        <v>3.314576496</v>
      </c>
      <c r="D478" s="751" t="n">
        <f aca="false">C478*$B$2</f>
        <v>281.73900216</v>
      </c>
    </row>
    <row r="479" customFormat="false" ht="12.8" hidden="false" customHeight="false" outlineLevel="0" collapsed="false">
      <c r="B479" s="115" t="s">
        <v>1154</v>
      </c>
      <c r="C479" s="0" t="n">
        <v>5.257930986</v>
      </c>
      <c r="D479" s="751" t="n">
        <f aca="false">C479*$B$2</f>
        <v>446.92413381</v>
      </c>
    </row>
    <row r="480" customFormat="false" ht="12.8" hidden="false" customHeight="false" outlineLevel="0" collapsed="false">
      <c r="B480" s="115" t="s">
        <v>1549</v>
      </c>
      <c r="C480" s="0" t="n">
        <v>1.0083416805</v>
      </c>
      <c r="D480" s="751" t="n">
        <f aca="false">C480*$B$2</f>
        <v>85.7090428425</v>
      </c>
    </row>
    <row r="481" customFormat="false" ht="12.8" hidden="false" customHeight="false" outlineLevel="0" collapsed="false">
      <c r="B481" s="115" t="s">
        <v>1550</v>
      </c>
      <c r="C481" s="0" t="n">
        <v>1.270569069</v>
      </c>
      <c r="D481" s="751" t="n">
        <f aca="false">C481*$B$2</f>
        <v>107.998370865</v>
      </c>
    </row>
    <row r="482" customFormat="false" ht="12.8" hidden="false" customHeight="false" outlineLevel="0" collapsed="false">
      <c r="B482" s="115" t="s">
        <v>1551</v>
      </c>
      <c r="C482" s="0" t="n">
        <v>1.1954278875</v>
      </c>
      <c r="D482" s="751" t="n">
        <f aca="false">C482*$B$2</f>
        <v>101.6113704375</v>
      </c>
    </row>
    <row r="483" customFormat="false" ht="12.8" hidden="false" customHeight="false" outlineLevel="0" collapsed="false">
      <c r="B483" s="115" t="s">
        <v>1069</v>
      </c>
      <c r="C483" s="0" t="n">
        <v>1.8506478375</v>
      </c>
      <c r="D483" s="751" t="n">
        <f aca="false">C483*$B$2</f>
        <v>157.3050661875</v>
      </c>
    </row>
    <row r="484" customFormat="false" ht="12.8" hidden="false" customHeight="false" outlineLevel="0" collapsed="false">
      <c r="B484" s="115" t="s">
        <v>1552</v>
      </c>
      <c r="C484" s="0" t="n">
        <v>1.3352922</v>
      </c>
      <c r="D484" s="751" t="n">
        <f aca="false">C484*$B$2</f>
        <v>113.499837</v>
      </c>
    </row>
    <row r="485" customFormat="false" ht="12.8" hidden="false" customHeight="false" outlineLevel="0" collapsed="false">
      <c r="B485" s="115" t="s">
        <v>1553</v>
      </c>
      <c r="C485" s="0" t="n">
        <v>2.34245553366</v>
      </c>
      <c r="D485" s="751" t="n">
        <f aca="false">C485*$B$2</f>
        <v>199.1087203611</v>
      </c>
    </row>
    <row r="486" customFormat="false" ht="12.8" hidden="false" customHeight="false" outlineLevel="0" collapsed="false">
      <c r="B486" s="115" t="s">
        <v>1554</v>
      </c>
      <c r="C486" s="0" t="n">
        <v>2.77928662484</v>
      </c>
      <c r="D486" s="751" t="n">
        <f aca="false">C486*$B$2</f>
        <v>236.2393631114</v>
      </c>
    </row>
    <row r="487" customFormat="false" ht="12.8" hidden="false" customHeight="false" outlineLevel="0" collapsed="false">
      <c r="B487" s="115" t="s">
        <v>1555</v>
      </c>
      <c r="C487" s="0" t="n">
        <v>1.16132697516</v>
      </c>
      <c r="D487" s="751" t="n">
        <f aca="false">C487*$B$2</f>
        <v>98.7127928886</v>
      </c>
    </row>
    <row r="488" customFormat="false" ht="12.8" hidden="false" customHeight="false" outlineLevel="0" collapsed="false">
      <c r="B488" s="115" t="s">
        <v>1556</v>
      </c>
      <c r="C488" s="0" t="n">
        <v>0.652152963</v>
      </c>
      <c r="D488" s="751" t="n">
        <f aca="false">C488*$B$2</f>
        <v>55.433001855</v>
      </c>
    </row>
    <row r="489" customFormat="false" ht="12.8" hidden="false" customHeight="false" outlineLevel="0" collapsed="false">
      <c r="B489" s="115" t="s">
        <v>1557</v>
      </c>
      <c r="C489" s="0" t="n">
        <v>0.580218177</v>
      </c>
      <c r="D489" s="751" t="n">
        <f aca="false">C489*$B$2</f>
        <v>49.318545045</v>
      </c>
    </row>
    <row r="490" customFormat="false" ht="12.8" hidden="false" customHeight="false" outlineLevel="0" collapsed="false">
      <c r="B490" s="115" t="s">
        <v>1558</v>
      </c>
      <c r="C490" s="0" t="n">
        <v>0.1869467985</v>
      </c>
      <c r="D490" s="751" t="n">
        <f aca="false">C490*$B$2</f>
        <v>15.8904778725</v>
      </c>
    </row>
    <row r="491" customFormat="false" ht="12.8" hidden="false" customHeight="false" outlineLevel="0" collapsed="false">
      <c r="B491" s="115" t="s">
        <v>1559</v>
      </c>
      <c r="C491" s="0" t="n">
        <v>0.12991825</v>
      </c>
      <c r="D491" s="751" t="n">
        <f aca="false">C491*$B$2</f>
        <v>11.04305125</v>
      </c>
    </row>
    <row r="492" customFormat="false" ht="12.8" hidden="false" customHeight="false" outlineLevel="0" collapsed="false">
      <c r="B492" s="115" t="s">
        <v>1560</v>
      </c>
      <c r="C492" s="0" t="n">
        <v>2.03295714285714</v>
      </c>
      <c r="D492" s="751" t="n">
        <f aca="false">C492*$B$2</f>
        <v>172.801357142857</v>
      </c>
    </row>
    <row r="493" customFormat="false" ht="12.8" hidden="false" customHeight="false" outlineLevel="0" collapsed="false">
      <c r="B493" s="115" t="s">
        <v>1561</v>
      </c>
      <c r="C493" s="0" t="n">
        <v>1.23262142857143</v>
      </c>
      <c r="D493" s="751" t="n">
        <f aca="false">C493*$B$2</f>
        <v>104.772821428572</v>
      </c>
    </row>
    <row r="494" customFormat="false" ht="12.8" hidden="false" customHeight="false" outlineLevel="0" collapsed="false">
      <c r="B494" s="115" t="s">
        <v>1112</v>
      </c>
      <c r="C494" s="0" t="n">
        <v>23.31805</v>
      </c>
      <c r="D494" s="751" t="n">
        <f aca="false">C494*$B$2</f>
        <v>1982.03425</v>
      </c>
    </row>
    <row r="495" customFormat="false" ht="12.8" hidden="false" customHeight="false" outlineLevel="0" collapsed="false">
      <c r="B495" s="115" t="s">
        <v>1562</v>
      </c>
      <c r="C495" s="0" t="n">
        <v>8.11082142857143</v>
      </c>
      <c r="D495" s="751" t="n">
        <f aca="false">C495*$B$2</f>
        <v>689.419821428572</v>
      </c>
    </row>
    <row r="496" customFormat="false" ht="12.8" hidden="false" customHeight="false" outlineLevel="0" collapsed="false">
      <c r="B496" s="115" t="s">
        <v>1563</v>
      </c>
      <c r="C496" s="0" t="n">
        <v>8.51627142857143</v>
      </c>
      <c r="D496" s="751" t="n">
        <f aca="false">C496*$B$2</f>
        <v>723.883071428572</v>
      </c>
    </row>
    <row r="497" customFormat="false" ht="12.8" hidden="false" customHeight="false" outlineLevel="0" collapsed="false">
      <c r="B497" s="115" t="s">
        <v>1564</v>
      </c>
      <c r="C497" s="0" t="n">
        <v>9.75256</v>
      </c>
      <c r="D497" s="751" t="n">
        <f aca="false">C497*$B$2</f>
        <v>828.9676</v>
      </c>
    </row>
    <row r="498" customFormat="false" ht="12.8" hidden="false" customHeight="false" outlineLevel="0" collapsed="false">
      <c r="B498" s="115" t="s">
        <v>1111</v>
      </c>
      <c r="C498" s="0" t="n">
        <v>14.2003428571429</v>
      </c>
      <c r="D498" s="751" t="n">
        <f aca="false">C498*$B$2</f>
        <v>1207.02914285715</v>
      </c>
    </row>
    <row r="499" customFormat="false" ht="12.8" hidden="false" customHeight="false" outlineLevel="0" collapsed="false">
      <c r="B499" s="115" t="s">
        <v>1565</v>
      </c>
      <c r="C499" s="0" t="n">
        <v>8.91249285714286</v>
      </c>
      <c r="D499" s="751" t="n">
        <f aca="false">C499*$B$2</f>
        <v>757.561892857143</v>
      </c>
    </row>
    <row r="500" customFormat="false" ht="12.8" hidden="false" customHeight="false" outlineLevel="0" collapsed="false">
      <c r="B500" s="115" t="s">
        <v>1566</v>
      </c>
      <c r="C500" s="0" t="n">
        <v>9.35825714285714</v>
      </c>
      <c r="D500" s="751" t="n">
        <f aca="false">C500*$B$2</f>
        <v>795.451857142857</v>
      </c>
    </row>
    <row r="501" customFormat="false" ht="12.8" hidden="false" customHeight="false" outlineLevel="0" collapsed="false">
      <c r="B501" s="115" t="s">
        <v>1567</v>
      </c>
      <c r="C501" s="0" t="n">
        <v>11.26131</v>
      </c>
      <c r="D501" s="751" t="n">
        <f aca="false">C501*$B$2</f>
        <v>957.21135</v>
      </c>
    </row>
    <row r="502" customFormat="false" ht="12.8" hidden="false" customHeight="false" outlineLevel="0" collapsed="false">
      <c r="B502" s="115" t="s">
        <v>1568</v>
      </c>
      <c r="C502" s="0" t="n">
        <v>11.2161142857143</v>
      </c>
      <c r="D502" s="751" t="n">
        <f aca="false">C502*$B$2</f>
        <v>953.369714285715</v>
      </c>
    </row>
    <row r="503" customFormat="false" ht="12.8" hidden="false" customHeight="false" outlineLevel="0" collapsed="false">
      <c r="B503" s="115" t="s">
        <v>1569</v>
      </c>
      <c r="C503" s="0" t="n">
        <v>5.3771</v>
      </c>
      <c r="D503" s="751" t="n">
        <f aca="false">C503*$B$2</f>
        <v>457.0535</v>
      </c>
    </row>
    <row r="504" customFormat="false" ht="12.8" hidden="false" customHeight="false" outlineLevel="0" collapsed="false">
      <c r="B504" s="115" t="s">
        <v>1570</v>
      </c>
      <c r="C504" s="0" t="n">
        <v>5.64873571428571</v>
      </c>
      <c r="D504" s="751" t="n">
        <f aca="false">C504*$B$2</f>
        <v>480.142535714285</v>
      </c>
    </row>
    <row r="505" customFormat="false" ht="12.8" hidden="false" customHeight="false" outlineLevel="0" collapsed="false">
      <c r="B505" s="115" t="s">
        <v>1571</v>
      </c>
      <c r="C505" s="0" t="n">
        <v>5.35908</v>
      </c>
      <c r="D505" s="751" t="n">
        <f aca="false">C505*$B$2</f>
        <v>455.5218</v>
      </c>
    </row>
    <row r="506" customFormat="false" ht="12.8" hidden="false" customHeight="false" outlineLevel="0" collapsed="false">
      <c r="B506" s="115" t="s">
        <v>1572</v>
      </c>
      <c r="C506" s="0" t="n">
        <v>0.8789705925</v>
      </c>
      <c r="D506" s="751" t="n">
        <f aca="false">C506*$B$2</f>
        <v>74.7125003625</v>
      </c>
    </row>
    <row r="507" customFormat="false" ht="12.8" hidden="false" customHeight="false" outlineLevel="0" collapsed="false">
      <c r="B507" s="115" t="s">
        <v>1573</v>
      </c>
      <c r="C507" s="0" t="n">
        <v>7.494322143</v>
      </c>
      <c r="D507" s="751" t="n">
        <f aca="false">C507*$B$2</f>
        <v>637.017382155</v>
      </c>
    </row>
    <row r="508" customFormat="false" ht="12.8" hidden="false" customHeight="false" outlineLevel="0" collapsed="false">
      <c r="B508" s="115" t="s">
        <v>1574</v>
      </c>
      <c r="C508" s="0" t="n">
        <v>4.914428442</v>
      </c>
      <c r="D508" s="751" t="n">
        <f aca="false">C508*$B$2</f>
        <v>417.72641757</v>
      </c>
    </row>
    <row r="509" customFormat="false" ht="12.8" hidden="false" customHeight="false" outlineLevel="0" collapsed="false">
      <c r="B509" s="115" t="s">
        <v>1575</v>
      </c>
      <c r="C509" s="0" t="n">
        <v>4.9207018245</v>
      </c>
      <c r="D509" s="751" t="n">
        <f aca="false">C509*$B$2</f>
        <v>418.2596550825</v>
      </c>
    </row>
    <row r="510" customFormat="false" ht="12.8" hidden="false" customHeight="false" outlineLevel="0" collapsed="false">
      <c r="B510" s="115" t="s">
        <v>1576</v>
      </c>
      <c r="C510" s="0" t="n">
        <v>3.965056557</v>
      </c>
      <c r="D510" s="751" t="n">
        <f aca="false">C510*$B$2</f>
        <v>337.029807345</v>
      </c>
    </row>
    <row r="511" customFormat="false" ht="12.8" hidden="false" customHeight="false" outlineLevel="0" collapsed="false">
      <c r="B511" s="115" t="s">
        <v>1577</v>
      </c>
      <c r="C511" s="0" t="n">
        <v>6.0163</v>
      </c>
      <c r="D511" s="751" t="n">
        <f aca="false">C511*$B$2</f>
        <v>511.3855</v>
      </c>
    </row>
    <row r="512" customFormat="false" ht="12.8" hidden="false" customHeight="false" outlineLevel="0" collapsed="false">
      <c r="B512" s="115" t="s">
        <v>1578</v>
      </c>
      <c r="C512" s="0" t="n">
        <v>4.75769285714286</v>
      </c>
      <c r="D512" s="751" t="n">
        <f aca="false">C512*$B$2</f>
        <v>404.403892857143</v>
      </c>
    </row>
    <row r="513" customFormat="false" ht="12.8" hidden="false" customHeight="false" outlineLevel="0" collapsed="false">
      <c r="B513" s="115" t="s">
        <v>1579</v>
      </c>
      <c r="C513" s="0" t="n">
        <v>6.24422142857143</v>
      </c>
      <c r="D513" s="751" t="n">
        <f aca="false">C513*$B$2</f>
        <v>530.758821428572</v>
      </c>
    </row>
    <row r="514" customFormat="false" ht="12.8" hidden="false" customHeight="false" outlineLevel="0" collapsed="false">
      <c r="B514" s="115" t="s">
        <v>1580</v>
      </c>
      <c r="C514" s="0" t="n">
        <v>3.64395</v>
      </c>
      <c r="D514" s="751" t="n">
        <f aca="false">C514*$B$2</f>
        <v>309.73575</v>
      </c>
    </row>
    <row r="515" customFormat="false" ht="12.8" hidden="false" customHeight="false" outlineLevel="0" collapsed="false">
      <c r="B515" s="115" t="s">
        <v>1581</v>
      </c>
      <c r="C515" s="0" t="n">
        <v>7.30235</v>
      </c>
      <c r="D515" s="751" t="n">
        <f aca="false">C515*$B$2</f>
        <v>620.69975</v>
      </c>
    </row>
    <row r="516" customFormat="false" ht="12.8" hidden="false" customHeight="false" outlineLevel="0" collapsed="false">
      <c r="B516" s="115" t="s">
        <v>1582</v>
      </c>
      <c r="C516" s="0" t="n">
        <v>4.41271428571429</v>
      </c>
      <c r="D516" s="751" t="n">
        <f aca="false">C516*$B$2</f>
        <v>375.080714285715</v>
      </c>
    </row>
    <row r="517" customFormat="false" ht="12.8" hidden="false" customHeight="false" outlineLevel="0" collapsed="false">
      <c r="B517" s="115" t="s">
        <v>1583</v>
      </c>
      <c r="C517" s="0" t="n">
        <v>4.63335</v>
      </c>
      <c r="D517" s="751" t="n">
        <f aca="false">C517*$B$2</f>
        <v>393.83475</v>
      </c>
    </row>
    <row r="518" customFormat="false" ht="12.8" hidden="false" customHeight="false" outlineLevel="0" collapsed="false">
      <c r="B518" s="115" t="s">
        <v>1584</v>
      </c>
      <c r="C518" s="0" t="n">
        <v>2.98758</v>
      </c>
      <c r="D518" s="751" t="n">
        <f aca="false">C518*$B$2</f>
        <v>253.9443</v>
      </c>
    </row>
    <row r="519" customFormat="false" ht="12.8" hidden="false" customHeight="false" outlineLevel="0" collapsed="false">
      <c r="B519" s="115" t="s">
        <v>1585</v>
      </c>
      <c r="C519" s="0" t="n">
        <v>5.25773571428571</v>
      </c>
      <c r="D519" s="751" t="n">
        <f aca="false">C519*$B$2</f>
        <v>446.907535714285</v>
      </c>
    </row>
    <row r="520" customFormat="false" ht="12.8" hidden="false" customHeight="false" outlineLevel="0" collapsed="false">
      <c r="B520" s="115" t="s">
        <v>1586</v>
      </c>
      <c r="C520" s="0" t="n">
        <v>3.23522142857143</v>
      </c>
      <c r="D520" s="751" t="n">
        <f aca="false">C520*$B$2</f>
        <v>274.993821428572</v>
      </c>
    </row>
    <row r="521" customFormat="false" ht="12.8" hidden="false" customHeight="false" outlineLevel="0" collapsed="false">
      <c r="B521" s="115" t="s">
        <v>1587</v>
      </c>
      <c r="C521" s="0" t="n">
        <v>0.0169635714285715</v>
      </c>
      <c r="D521" s="751" t="n">
        <f aca="false">C521*$B$2</f>
        <v>1.44190357142858</v>
      </c>
    </row>
    <row r="522" customFormat="false" ht="12.8" hidden="false" customHeight="false" outlineLevel="0" collapsed="false">
      <c r="B522" s="115" t="s">
        <v>1588</v>
      </c>
      <c r="C522" s="0" t="n">
        <v>0.00908285714285715</v>
      </c>
      <c r="D522" s="751" t="n">
        <f aca="false">C522*$B$2</f>
        <v>0.772042857142858</v>
      </c>
    </row>
    <row r="523" customFormat="false" ht="12.8" hidden="false" customHeight="false" outlineLevel="0" collapsed="false">
      <c r="B523" s="115" t="s">
        <v>1589</v>
      </c>
      <c r="C523" s="0" t="n">
        <v>0.019635</v>
      </c>
      <c r="D523" s="751" t="n">
        <f aca="false">C523*$B$2</f>
        <v>1.668975</v>
      </c>
    </row>
    <row r="524" customFormat="false" ht="12.8" hidden="false" customHeight="false" outlineLevel="0" collapsed="false">
      <c r="B524" s="115" t="s">
        <v>1108</v>
      </c>
      <c r="C524" s="0" t="n">
        <v>0.03553</v>
      </c>
      <c r="D524" s="751" t="n">
        <f aca="false">C524*$B$2</f>
        <v>3.02005</v>
      </c>
    </row>
    <row r="525" customFormat="false" ht="12.8" hidden="false" customHeight="false" outlineLevel="0" collapsed="false">
      <c r="B525" s="115" t="s">
        <v>1590</v>
      </c>
      <c r="C525" s="0" t="n">
        <v>26.5167513765</v>
      </c>
      <c r="D525" s="751" t="n">
        <f aca="false">C525*$B$2</f>
        <v>2253.9238670025</v>
      </c>
    </row>
    <row r="526" customFormat="false" ht="12.8" hidden="false" customHeight="false" outlineLevel="0" collapsed="false">
      <c r="B526" s="115" t="s">
        <v>1591</v>
      </c>
      <c r="C526" s="0" t="n">
        <v>0.958851663</v>
      </c>
      <c r="D526" s="751" t="n">
        <f aca="false">C526*$B$2</f>
        <v>81.502391355</v>
      </c>
    </row>
    <row r="527" customFormat="false" ht="12.8" hidden="false" customHeight="false" outlineLevel="0" collapsed="false">
      <c r="B527" s="115" t="s">
        <v>1592</v>
      </c>
      <c r="C527" s="0" t="n">
        <v>2.058505911</v>
      </c>
      <c r="D527" s="751" t="n">
        <f aca="false">C527*$B$2</f>
        <v>174.973002435</v>
      </c>
    </row>
    <row r="528" customFormat="false" ht="12.8" hidden="false" customHeight="false" outlineLevel="0" collapsed="false">
      <c r="B528" s="115" t="s">
        <v>1593</v>
      </c>
      <c r="C528" s="0" t="n">
        <v>0.9286000185</v>
      </c>
      <c r="D528" s="751" t="n">
        <f aca="false">C528*$B$2</f>
        <v>78.9310015725</v>
      </c>
    </row>
    <row r="529" customFormat="false" ht="12.8" hidden="false" customHeight="false" outlineLevel="0" collapsed="false">
      <c r="B529" s="115" t="s">
        <v>1594</v>
      </c>
      <c r="C529" s="0" t="n">
        <v>2.290202838</v>
      </c>
      <c r="D529" s="751" t="n">
        <f aca="false">C529*$B$2</f>
        <v>194.66724123</v>
      </c>
    </row>
    <row r="530" customFormat="false" ht="12.8" hidden="false" customHeight="false" outlineLevel="0" collapsed="false">
      <c r="B530" s="115" t="s">
        <v>1595</v>
      </c>
      <c r="C530" s="0" t="n">
        <v>3.4360012995</v>
      </c>
      <c r="D530" s="751" t="n">
        <f aca="false">C530*$B$2</f>
        <v>292.0601104575</v>
      </c>
    </row>
    <row r="531" customFormat="false" ht="12.8" hidden="false" customHeight="false" outlineLevel="0" collapsed="false">
      <c r="B531" s="115" t="s">
        <v>1144</v>
      </c>
      <c r="C531" s="0" t="n">
        <v>3.36017142857143</v>
      </c>
      <c r="D531" s="751" t="n">
        <f aca="false">C531*$B$2</f>
        <v>285.614571428572</v>
      </c>
    </row>
    <row r="532" customFormat="false" ht="12.8" hidden="false" customHeight="false" outlineLevel="0" collapsed="false">
      <c r="B532" s="115" t="s">
        <v>1596</v>
      </c>
      <c r="C532" s="0" t="n">
        <v>7.48194285714286</v>
      </c>
      <c r="D532" s="751" t="n">
        <f aca="false">C532*$B$2</f>
        <v>635.965142857143</v>
      </c>
    </row>
    <row r="533" customFormat="false" ht="12.8" hidden="false" customHeight="false" outlineLevel="0" collapsed="false">
      <c r="B533" s="115" t="s">
        <v>1597</v>
      </c>
      <c r="C533" s="0" t="n">
        <v>6.65319285714286</v>
      </c>
      <c r="D533" s="751" t="n">
        <f aca="false">C533*$B$2</f>
        <v>565.521392857143</v>
      </c>
    </row>
    <row r="534" customFormat="false" ht="12.8" hidden="false" customHeight="false" outlineLevel="0" collapsed="false">
      <c r="B534" s="115" t="s">
        <v>1084</v>
      </c>
      <c r="C534" s="0" t="n">
        <v>12.7014285714286</v>
      </c>
      <c r="D534" s="751" t="n">
        <f aca="false">C534*$B$2</f>
        <v>1079.62142857143</v>
      </c>
    </row>
    <row r="535" customFormat="false" ht="12.8" hidden="false" customHeight="false" outlineLevel="0" collapsed="false">
      <c r="B535" s="115" t="s">
        <v>1093</v>
      </c>
      <c r="C535" s="0" t="n">
        <v>17.8531571428571</v>
      </c>
      <c r="D535" s="751" t="n">
        <f aca="false">C535*$B$2</f>
        <v>1517.51835714285</v>
      </c>
    </row>
    <row r="536" customFormat="false" ht="12.8" hidden="false" customHeight="false" outlineLevel="0" collapsed="false">
      <c r="B536" s="115" t="s">
        <v>1098</v>
      </c>
      <c r="C536" s="0" t="n">
        <v>29.6560142857143</v>
      </c>
      <c r="D536" s="751" t="n">
        <f aca="false">C536*$B$2</f>
        <v>2520.76121428572</v>
      </c>
    </row>
    <row r="537" customFormat="false" ht="12.8" hidden="false" customHeight="false" outlineLevel="0" collapsed="false">
      <c r="B537" s="115" t="s">
        <v>1598</v>
      </c>
      <c r="C537" s="0" t="n">
        <v>15.853813437</v>
      </c>
      <c r="D537" s="751" t="n">
        <f aca="false">C537*$B$2</f>
        <v>1347.574142145</v>
      </c>
    </row>
    <row r="538" customFormat="false" ht="12.8" hidden="false" customHeight="false" outlineLevel="0" collapsed="false">
      <c r="B538" s="115" t="s">
        <v>1599</v>
      </c>
      <c r="C538" s="0" t="n">
        <v>7.9269067185</v>
      </c>
      <c r="D538" s="751" t="n">
        <f aca="false">C538*$B$2</f>
        <v>673.7870710725</v>
      </c>
    </row>
    <row r="539" customFormat="false" ht="12.8" hidden="false" customHeight="false" outlineLevel="0" collapsed="false">
      <c r="B539" s="115" t="s">
        <v>1600</v>
      </c>
      <c r="C539" s="0" t="n">
        <v>2.145264</v>
      </c>
      <c r="D539" s="751" t="n">
        <f aca="false">C539*$B$2</f>
        <v>182.34744</v>
      </c>
    </row>
    <row r="540" customFormat="false" ht="12.8" hidden="false" customHeight="false" outlineLevel="0" collapsed="false">
      <c r="B540" s="115" t="s">
        <v>1601</v>
      </c>
      <c r="C540" s="0" t="n">
        <v>11.5364716005</v>
      </c>
      <c r="D540" s="751" t="n">
        <f aca="false">C540*$B$2</f>
        <v>980.6000860425</v>
      </c>
    </row>
    <row r="541" customFormat="false" ht="12.8" hidden="false" customHeight="false" outlineLevel="0" collapsed="false">
      <c r="B541" s="115" t="s">
        <v>1602</v>
      </c>
      <c r="C541" s="0" t="n">
        <v>13.534892448</v>
      </c>
      <c r="D541" s="751" t="n">
        <f aca="false">C541*$B$2</f>
        <v>1150.46585808</v>
      </c>
    </row>
    <row r="542" customFormat="false" ht="12.8" hidden="false" customHeight="false" outlineLevel="0" collapsed="false">
      <c r="B542" s="115" t="s">
        <v>1603</v>
      </c>
      <c r="C542" s="0" t="n">
        <v>15.5319192105</v>
      </c>
      <c r="D542" s="751" t="n">
        <f aca="false">C542*$B$2</f>
        <v>1320.2131328925</v>
      </c>
    </row>
    <row r="543" customFormat="false" ht="12.8" hidden="false" customHeight="false" outlineLevel="0" collapsed="false">
      <c r="B543" s="115" t="s">
        <v>1604</v>
      </c>
      <c r="C543" s="0" t="n">
        <v>0.639327381</v>
      </c>
      <c r="D543" s="751" t="n">
        <f aca="false">C543*$B$2</f>
        <v>54.342827385</v>
      </c>
    </row>
    <row r="544" customFormat="false" ht="12.8" hidden="false" customHeight="false" outlineLevel="0" collapsed="false">
      <c r="B544" s="115" t="s">
        <v>1605</v>
      </c>
      <c r="C544" s="0" t="n">
        <v>1.4862340185</v>
      </c>
      <c r="D544" s="751" t="n">
        <f aca="false">C544*$B$2</f>
        <v>126.3298915725</v>
      </c>
    </row>
    <row r="545" customFormat="false" ht="12.8" hidden="false" customHeight="false" outlineLevel="0" collapsed="false">
      <c r="B545" s="115" t="s">
        <v>1606</v>
      </c>
      <c r="C545" s="0" t="n">
        <v>1.3440373485</v>
      </c>
      <c r="D545" s="751" t="n">
        <f aca="false">C545*$B$2</f>
        <v>114.2431746225</v>
      </c>
    </row>
    <row r="546" customFormat="false" ht="12.8" hidden="false" customHeight="false" outlineLevel="0" collapsed="false">
      <c r="B546" s="115" t="s">
        <v>1607</v>
      </c>
      <c r="C546" s="0" t="n">
        <v>0.3436419525</v>
      </c>
      <c r="D546" s="751" t="n">
        <f aca="false">C546*$B$2</f>
        <v>29.2095659625</v>
      </c>
    </row>
    <row r="547" customFormat="false" ht="12.8" hidden="false" customHeight="false" outlineLevel="0" collapsed="false">
      <c r="B547" s="115" t="s">
        <v>1608</v>
      </c>
      <c r="C547" s="0" t="n">
        <v>0.0464828571428572</v>
      </c>
      <c r="D547" s="751" t="n">
        <f aca="false">C547*$B$2</f>
        <v>3.95104285714286</v>
      </c>
    </row>
    <row r="548" customFormat="false" ht="12.8" hidden="false" customHeight="false" outlineLevel="0" collapsed="false">
      <c r="B548" s="115" t="s">
        <v>1609</v>
      </c>
      <c r="C548" s="0" t="n">
        <v>0.0477785</v>
      </c>
      <c r="D548" s="751" t="n">
        <f aca="false">C548*$B$2</f>
        <v>4.0611725</v>
      </c>
    </row>
    <row r="549" customFormat="false" ht="12.8" hidden="false" customHeight="false" outlineLevel="0" collapsed="false">
      <c r="B549" s="115" t="s">
        <v>1610</v>
      </c>
      <c r="C549" s="0" t="n">
        <v>0.0478171155</v>
      </c>
      <c r="D549" s="751" t="n">
        <f aca="false">C549*$B$2</f>
        <v>4.0644548175</v>
      </c>
    </row>
    <row r="550" customFormat="false" ht="12.8" hidden="false" customHeight="false" outlineLevel="0" collapsed="false">
      <c r="D550" s="751" t="n">
        <f aca="false">C550*$B$2</f>
        <v>0</v>
      </c>
    </row>
    <row r="551" customFormat="false" ht="12.8" hidden="false" customHeight="false" outlineLevel="0" collapsed="false">
      <c r="B551" s="115" t="s">
        <v>1611</v>
      </c>
      <c r="D551" s="751" t="n">
        <f aca="false">C551*$B$2</f>
        <v>0</v>
      </c>
    </row>
    <row r="552" customFormat="false" ht="12.8" hidden="false" customHeight="false" outlineLevel="0" collapsed="false">
      <c r="B552" s="115" t="s">
        <v>1612</v>
      </c>
      <c r="C552" s="0" t="n">
        <v>149.0197815</v>
      </c>
      <c r="D552" s="751" t="n">
        <f aca="false">C552*$B$2</f>
        <v>12666.6814275</v>
      </c>
    </row>
    <row r="553" customFormat="false" ht="12.8" hidden="false" customHeight="false" outlineLevel="0" collapsed="false">
      <c r="B553" s="115" t="s">
        <v>1613</v>
      </c>
      <c r="C553" s="0" t="n">
        <v>117.087143</v>
      </c>
      <c r="D553" s="751" t="n">
        <f aca="false">C553*$B$2</f>
        <v>9952.407155</v>
      </c>
    </row>
    <row r="554" customFormat="false" ht="12.8" hidden="false" customHeight="false" outlineLevel="0" collapsed="false">
      <c r="B554" s="115" t="s">
        <v>1614</v>
      </c>
      <c r="C554" s="0" t="n">
        <v>106.4428565</v>
      </c>
      <c r="D554" s="751" t="n">
        <f aca="false">C554*$B$2</f>
        <v>9047.6428025</v>
      </c>
    </row>
    <row r="555" customFormat="false" ht="12.8" hidden="false" customHeight="false" outlineLevel="0" collapsed="false">
      <c r="B555" s="115" t="s">
        <v>1615</v>
      </c>
      <c r="C555" s="0" t="n">
        <v>122.941501</v>
      </c>
      <c r="D555" s="751" t="n">
        <f aca="false">C555*$B$2</f>
        <v>10450.027585</v>
      </c>
    </row>
    <row r="556" customFormat="false" ht="12.8" hidden="false" customHeight="false" outlineLevel="0" collapsed="false">
      <c r="B556" s="115" t="s">
        <v>1616</v>
      </c>
      <c r="C556" s="0" t="n">
        <v>140.0563105</v>
      </c>
      <c r="D556" s="751" t="n">
        <f aca="false">C556*$B$2</f>
        <v>11904.7863925</v>
      </c>
    </row>
    <row r="557" customFormat="false" ht="12.8" hidden="false" customHeight="false" outlineLevel="0" collapsed="false">
      <c r="B557" s="115" t="s">
        <v>1617</v>
      </c>
      <c r="C557" s="0" t="n">
        <v>147.059095</v>
      </c>
      <c r="D557" s="751" t="n">
        <f aca="false">C557*$B$2</f>
        <v>12500.023075</v>
      </c>
    </row>
    <row r="558" customFormat="false" ht="12.8" hidden="false" customHeight="false" outlineLevel="0" collapsed="false">
      <c r="B558" s="115" t="s">
        <v>1618</v>
      </c>
      <c r="C558" s="0" t="n">
        <v>52.57284885615</v>
      </c>
      <c r="D558" s="751" t="n">
        <f aca="false">C558*$B$2</f>
        <v>4468.69215277275</v>
      </c>
    </row>
    <row r="559" customFormat="false" ht="12.8" hidden="false" customHeight="false" outlineLevel="0" collapsed="false">
      <c r="B559" s="115" t="s">
        <v>1619</v>
      </c>
      <c r="C559" s="0" t="n">
        <v>55.196762790225</v>
      </c>
      <c r="D559" s="751" t="n">
        <f aca="false">C559*$B$2</f>
        <v>4691.72483716913</v>
      </c>
    </row>
    <row r="560" customFormat="false" ht="12.8" hidden="false" customHeight="false" outlineLevel="0" collapsed="false">
      <c r="B560" s="115" t="s">
        <v>1620</v>
      </c>
      <c r="C560" s="0" t="n">
        <v>57.9611855</v>
      </c>
      <c r="D560" s="751" t="n">
        <f aca="false">C560*$B$2</f>
        <v>4926.7007675</v>
      </c>
    </row>
    <row r="561" customFormat="false" ht="12.8" hidden="false" customHeight="false" outlineLevel="0" collapsed="false">
      <c r="B561" s="115" t="s">
        <v>1621</v>
      </c>
      <c r="C561" s="0" t="n">
        <v>57.9611855</v>
      </c>
      <c r="D561" s="751" t="n">
        <f aca="false">C561*$B$2</f>
        <v>4926.7007675</v>
      </c>
    </row>
    <row r="562" customFormat="false" ht="12.8" hidden="false" customHeight="false" outlineLevel="0" collapsed="false">
      <c r="B562" s="115" t="s">
        <v>1622</v>
      </c>
      <c r="C562" s="0" t="n">
        <v>92.543813527725</v>
      </c>
      <c r="D562" s="751" t="n">
        <f aca="false">C562*$B$2</f>
        <v>7866.22414985663</v>
      </c>
    </row>
    <row r="563" customFormat="false" ht="12.8" hidden="false" customHeight="false" outlineLevel="0" collapsed="false">
      <c r="B563" s="115" t="s">
        <v>1623</v>
      </c>
      <c r="C563" s="0" t="n">
        <v>92.543813527725</v>
      </c>
      <c r="D563" s="751" t="n">
        <f aca="false">C563*$B$2</f>
        <v>7866.22414985663</v>
      </c>
    </row>
    <row r="564" customFormat="false" ht="12.8" hidden="false" customHeight="false" outlineLevel="0" collapsed="false">
      <c r="B564" s="115" t="s">
        <v>1624</v>
      </c>
      <c r="C564" s="0" t="n">
        <v>99.372735</v>
      </c>
      <c r="D564" s="751" t="n">
        <f aca="false">C564*$B$2</f>
        <v>8446.682475</v>
      </c>
    </row>
    <row r="565" customFormat="false" ht="12.8" hidden="false" customHeight="false" outlineLevel="0" collapsed="false">
      <c r="B565" s="115" t="s">
        <v>1625</v>
      </c>
      <c r="C565" s="0" t="n">
        <v>99.372735</v>
      </c>
      <c r="D565" s="751" t="n">
        <f aca="false">C565*$B$2</f>
        <v>8446.682475</v>
      </c>
    </row>
    <row r="566" customFormat="false" ht="12.8" hidden="false" customHeight="false" outlineLevel="0" collapsed="false">
      <c r="B566" s="115" t="s">
        <v>1626</v>
      </c>
      <c r="C566" s="0" t="n">
        <v>107.3214335</v>
      </c>
      <c r="D566" s="751" t="n">
        <f aca="false">C566*$B$2</f>
        <v>9122.3218475</v>
      </c>
    </row>
    <row r="567" customFormat="false" ht="12.8" hidden="false" customHeight="false" outlineLevel="0" collapsed="false">
      <c r="B567" s="115" t="s">
        <v>1627</v>
      </c>
      <c r="C567" s="0" t="n">
        <v>107.3214335</v>
      </c>
      <c r="D567" s="751" t="n">
        <f aca="false">C567*$B$2</f>
        <v>9122.3218475</v>
      </c>
    </row>
    <row r="568" customFormat="false" ht="12.8" hidden="false" customHeight="false" outlineLevel="0" collapsed="false">
      <c r="B568" s="115" t="s">
        <v>1628</v>
      </c>
      <c r="C568" s="0" t="n">
        <v>113.8606875</v>
      </c>
      <c r="D568" s="751" t="n">
        <f aca="false">C568*$B$2</f>
        <v>9678.1584375</v>
      </c>
    </row>
    <row r="569" customFormat="false" ht="12.8" hidden="false" customHeight="false" outlineLevel="0" collapsed="false">
      <c r="B569" s="115" t="s">
        <v>1629</v>
      </c>
      <c r="C569" s="0" t="n">
        <v>113.8606875</v>
      </c>
      <c r="D569" s="751" t="n">
        <f aca="false">C569*$B$2</f>
        <v>9678.1584375</v>
      </c>
    </row>
    <row r="570" customFormat="false" ht="12.8" hidden="false" customHeight="false" outlineLevel="0" collapsed="false">
      <c r="B570" s="115" t="s">
        <v>1630</v>
      </c>
      <c r="C570" s="0" t="n">
        <v>150.91784375955</v>
      </c>
      <c r="D570" s="751" t="n">
        <f aca="false">C570*$B$2</f>
        <v>12828.0167195618</v>
      </c>
    </row>
    <row r="571" customFormat="false" ht="12.8" hidden="false" customHeight="false" outlineLevel="0" collapsed="false">
      <c r="B571" s="115" t="s">
        <v>1631</v>
      </c>
      <c r="C571" s="0" t="n">
        <v>158.463715</v>
      </c>
      <c r="D571" s="751" t="n">
        <f aca="false">C571*$B$2</f>
        <v>13469.415775</v>
      </c>
    </row>
    <row r="572" customFormat="false" ht="12.8" hidden="false" customHeight="false" outlineLevel="0" collapsed="false">
      <c r="B572" s="115" t="s">
        <v>1632</v>
      </c>
      <c r="C572" s="0" t="n">
        <v>160.651343</v>
      </c>
      <c r="D572" s="751" t="n">
        <f aca="false">C572*$B$2</f>
        <v>13655.364155</v>
      </c>
    </row>
    <row r="573" customFormat="false" ht="12.8" hidden="false" customHeight="false" outlineLevel="0" collapsed="false">
      <c r="B573" s="115" t="s">
        <v>680</v>
      </c>
      <c r="C573" s="0" t="n">
        <v>0.8794015</v>
      </c>
      <c r="D573" s="751" t="n">
        <f aca="false">C573*$B$2</f>
        <v>74.7491275</v>
      </c>
    </row>
    <row r="574" customFormat="false" ht="12.8" hidden="false" customHeight="false" outlineLevel="0" collapsed="false">
      <c r="B574" s="115" t="s">
        <v>681</v>
      </c>
      <c r="C574" s="0" t="n">
        <v>0.8375178231</v>
      </c>
      <c r="D574" s="751" t="n">
        <f aca="false">C574*$B$2</f>
        <v>71.1890149635</v>
      </c>
    </row>
    <row r="575" customFormat="false" ht="12.8" hidden="false" customHeight="false" outlineLevel="0" collapsed="false">
      <c r="B575" s="115" t="s">
        <v>1633</v>
      </c>
      <c r="C575" s="0" t="n">
        <v>1.5054945</v>
      </c>
      <c r="D575" s="751" t="n">
        <f aca="false">C575*$B$2</f>
        <v>127.9670325</v>
      </c>
    </row>
    <row r="576" customFormat="false" ht="12.8" hidden="false" customHeight="false" outlineLevel="0" collapsed="false">
      <c r="B576" s="115" t="s">
        <v>1634</v>
      </c>
      <c r="C576" s="0" t="n">
        <v>2.208966872175</v>
      </c>
      <c r="D576" s="751" t="n">
        <f aca="false">C576*$B$2</f>
        <v>187.762184134875</v>
      </c>
    </row>
    <row r="577" customFormat="false" ht="12.8" hidden="false" customHeight="false" outlineLevel="0" collapsed="false">
      <c r="B577" s="115" t="s">
        <v>1635</v>
      </c>
      <c r="C577" s="0" t="n">
        <v>2.74834359765</v>
      </c>
      <c r="D577" s="751" t="n">
        <f aca="false">C577*$B$2</f>
        <v>233.60920580025</v>
      </c>
    </row>
    <row r="578" customFormat="false" ht="12.8" hidden="false" customHeight="false" outlineLevel="0" collapsed="false">
      <c r="B578" s="115" t="s">
        <v>1636</v>
      </c>
      <c r="C578" s="0" t="n">
        <v>2.79372276015</v>
      </c>
      <c r="D578" s="751" t="n">
        <f aca="false">C578*$B$2</f>
        <v>237.46643461275</v>
      </c>
    </row>
    <row r="579" customFormat="false" ht="12.8" hidden="false" customHeight="false" outlineLevel="0" collapsed="false">
      <c r="B579" s="115" t="s">
        <v>1637</v>
      </c>
      <c r="C579" s="0" t="n">
        <v>1.693822619475</v>
      </c>
      <c r="D579" s="751" t="n">
        <f aca="false">C579*$B$2</f>
        <v>143.974922655375</v>
      </c>
    </row>
    <row r="580" customFormat="false" ht="12.8" hidden="false" customHeight="false" outlineLevel="0" collapsed="false">
      <c r="B580" s="115" t="s">
        <v>1638</v>
      </c>
      <c r="C580" s="0" t="n">
        <v>2.088076783275</v>
      </c>
      <c r="D580" s="751" t="n">
        <f aca="false">C580*$B$2</f>
        <v>177.486526578375</v>
      </c>
    </row>
    <row r="581" customFormat="false" ht="12.8" hidden="false" customHeight="false" outlineLevel="0" collapsed="false">
      <c r="B581" s="115" t="s">
        <v>1639</v>
      </c>
      <c r="C581" s="0" t="n">
        <v>2.131822295925</v>
      </c>
      <c r="D581" s="751" t="n">
        <f aca="false">C581*$B$2</f>
        <v>181.204895153625</v>
      </c>
    </row>
    <row r="582" customFormat="false" ht="12.8" hidden="false" customHeight="false" outlineLevel="0" collapsed="false">
      <c r="B582" s="115" t="s">
        <v>1640</v>
      </c>
      <c r="C582" s="0" t="n">
        <v>0.807415</v>
      </c>
      <c r="D582" s="751" t="n">
        <f aca="false">C582*$B$2</f>
        <v>68.630275</v>
      </c>
    </row>
    <row r="583" customFormat="false" ht="12.8" hidden="false" customHeight="false" outlineLevel="0" collapsed="false">
      <c r="B583" s="115" t="s">
        <v>1641</v>
      </c>
      <c r="C583" s="0" t="n">
        <v>0.81175</v>
      </c>
      <c r="D583" s="751" t="n">
        <f aca="false">C583*$B$2</f>
        <v>68.99875</v>
      </c>
    </row>
    <row r="584" customFormat="false" ht="12.8" hidden="false" customHeight="false" outlineLevel="0" collapsed="false">
      <c r="B584" s="115" t="s">
        <v>1642</v>
      </c>
      <c r="C584" s="0" t="n">
        <v>0.84966</v>
      </c>
      <c r="D584" s="751" t="n">
        <f aca="false">C584*$B$2</f>
        <v>72.2211</v>
      </c>
    </row>
    <row r="585" customFormat="false" ht="12.8" hidden="false" customHeight="false" outlineLevel="0" collapsed="false">
      <c r="B585" s="115" t="s">
        <v>1643</v>
      </c>
      <c r="C585" s="0" t="n">
        <v>0.84949</v>
      </c>
      <c r="D585" s="751" t="n">
        <f aca="false">C585*$B$2</f>
        <v>72.20665</v>
      </c>
    </row>
    <row r="586" customFormat="false" ht="12.8" hidden="false" customHeight="false" outlineLevel="0" collapsed="false">
      <c r="B586" s="115" t="s">
        <v>1644</v>
      </c>
      <c r="C586" s="0" t="n">
        <v>0.84949</v>
      </c>
      <c r="D586" s="751" t="n">
        <f aca="false">C586*$B$2</f>
        <v>72.20665</v>
      </c>
    </row>
    <row r="587" customFormat="false" ht="12.8" hidden="false" customHeight="false" outlineLevel="0" collapsed="false">
      <c r="B587" s="115" t="s">
        <v>1645</v>
      </c>
      <c r="C587" s="0" t="n">
        <v>0.94656</v>
      </c>
      <c r="D587" s="751" t="n">
        <f aca="false">C587*$B$2</f>
        <v>80.4576</v>
      </c>
    </row>
    <row r="588" customFormat="false" ht="12.8" hidden="false" customHeight="false" outlineLevel="0" collapsed="false">
      <c r="B588" s="115" t="s">
        <v>1646</v>
      </c>
      <c r="C588" s="0" t="n">
        <v>0.94656</v>
      </c>
      <c r="D588" s="751" t="n">
        <f aca="false">C588*$B$2</f>
        <v>80.4576</v>
      </c>
    </row>
    <row r="589" customFormat="false" ht="12.8" hidden="false" customHeight="false" outlineLevel="0" collapsed="false">
      <c r="B589" s="115" t="s">
        <v>1647</v>
      </c>
      <c r="C589" s="0" t="n">
        <v>1.091995</v>
      </c>
      <c r="D589" s="751" t="n">
        <f aca="false">C589*$B$2</f>
        <v>92.819575</v>
      </c>
    </row>
    <row r="590" customFormat="false" ht="12.8" hidden="false" customHeight="false" outlineLevel="0" collapsed="false">
      <c r="B590" s="115" t="s">
        <v>1648</v>
      </c>
      <c r="C590" s="0" t="n">
        <v>1.157105</v>
      </c>
      <c r="D590" s="751" t="n">
        <f aca="false">C590*$B$2</f>
        <v>98.353925</v>
      </c>
    </row>
    <row r="591" customFormat="false" ht="12.8" hidden="false" customHeight="false" outlineLevel="0" collapsed="false">
      <c r="B591" s="115" t="s">
        <v>1649</v>
      </c>
      <c r="C591" s="0" t="n">
        <v>2.028525</v>
      </c>
      <c r="D591" s="751" t="n">
        <f aca="false">C591*$B$2</f>
        <v>172.424625</v>
      </c>
    </row>
    <row r="592" customFormat="false" ht="12.8" hidden="false" customHeight="false" outlineLevel="0" collapsed="false">
      <c r="B592" s="115" t="s">
        <v>1650</v>
      </c>
      <c r="C592" s="0" t="n">
        <v>2.028525</v>
      </c>
      <c r="D592" s="751" t="n">
        <f aca="false">C592*$B$2</f>
        <v>172.424625</v>
      </c>
    </row>
    <row r="593" customFormat="false" ht="12.8" hidden="false" customHeight="false" outlineLevel="0" collapsed="false">
      <c r="B593" s="115" t="s">
        <v>1651</v>
      </c>
      <c r="C593" s="0" t="n">
        <v>2.028525</v>
      </c>
      <c r="D593" s="751" t="n">
        <f aca="false">C593*$B$2</f>
        <v>172.424625</v>
      </c>
    </row>
    <row r="594" customFormat="false" ht="12.8" hidden="false" customHeight="false" outlineLevel="0" collapsed="false">
      <c r="B594" s="115" t="s">
        <v>1652</v>
      </c>
      <c r="C594" s="0" t="n">
        <v>1.35626</v>
      </c>
      <c r="D594" s="751" t="n">
        <f aca="false">C594*$B$2</f>
        <v>115.2821</v>
      </c>
    </row>
    <row r="595" customFormat="false" ht="12.8" hidden="false" customHeight="false" outlineLevel="0" collapsed="false">
      <c r="B595" s="115" t="s">
        <v>1047</v>
      </c>
      <c r="C595" s="0" t="n">
        <v>65.594581052175</v>
      </c>
      <c r="D595" s="751" t="n">
        <f aca="false">C595*$B$2</f>
        <v>5575.53938943488</v>
      </c>
    </row>
    <row r="596" customFormat="false" ht="12.8" hidden="false" customHeight="false" outlineLevel="0" collapsed="false">
      <c r="B596" s="115" t="s">
        <v>1653</v>
      </c>
      <c r="C596" s="0" t="n">
        <v>1.353455</v>
      </c>
      <c r="D596" s="751" t="n">
        <f aca="false">C596*$B$2</f>
        <v>115.043675</v>
      </c>
    </row>
    <row r="597" customFormat="false" ht="12.8" hidden="false" customHeight="false" outlineLevel="0" collapsed="false">
      <c r="B597" s="115" t="s">
        <v>1654</v>
      </c>
      <c r="C597" s="0" t="n">
        <v>5.672815</v>
      </c>
      <c r="D597" s="751" t="n">
        <f aca="false">C597*$B$2</f>
        <v>482.189275</v>
      </c>
    </row>
    <row r="598" customFormat="false" ht="12.8" hidden="false" customHeight="false" outlineLevel="0" collapsed="false">
      <c r="B598" s="115" t="s">
        <v>1136</v>
      </c>
      <c r="C598" s="0" t="n">
        <v>7.2896</v>
      </c>
      <c r="D598" s="751" t="n">
        <f aca="false">C598*$B$2</f>
        <v>619.616</v>
      </c>
    </row>
    <row r="599" customFormat="false" ht="12.8" hidden="false" customHeight="false" outlineLevel="0" collapsed="false">
      <c r="B599" s="115" t="s">
        <v>1655</v>
      </c>
      <c r="C599" s="0" t="n">
        <v>16.652945</v>
      </c>
      <c r="D599" s="751" t="n">
        <f aca="false">C599*$B$2</f>
        <v>1415.500325</v>
      </c>
    </row>
    <row r="600" customFormat="false" ht="12.8" hidden="false" customHeight="false" outlineLevel="0" collapsed="false">
      <c r="B600" s="115" t="n">
        <v>0</v>
      </c>
      <c r="C600" s="0" t="n">
        <v>0</v>
      </c>
      <c r="D600" s="751" t="n">
        <f aca="false">C600*$B$2</f>
        <v>0</v>
      </c>
    </row>
    <row r="601" customFormat="false" ht="12.8" hidden="false" customHeight="false" outlineLevel="0" collapsed="false">
      <c r="B601" s="115" t="s">
        <v>1619</v>
      </c>
      <c r="C601" s="0" t="n">
        <v>55.196760675</v>
      </c>
      <c r="D601" s="751" t="n">
        <f aca="false">C601*$B$2</f>
        <v>4691.724657375</v>
      </c>
    </row>
    <row r="602" customFormat="false" ht="12.8" hidden="false" customHeight="false" outlineLevel="0" collapsed="false">
      <c r="B602" s="115" t="s">
        <v>1656</v>
      </c>
      <c r="C602" s="0" t="n">
        <v>92.543815875</v>
      </c>
      <c r="D602" s="751" t="n">
        <f aca="false">C602*$B$2</f>
        <v>7866.224349375</v>
      </c>
    </row>
    <row r="603" customFormat="false" ht="12.8" hidden="false" customHeight="false" outlineLevel="0" collapsed="false">
      <c r="B603" s="115" t="s">
        <v>1657</v>
      </c>
      <c r="C603" s="0" t="n">
        <v>102.2108523345</v>
      </c>
      <c r="D603" s="751" t="n">
        <f aca="false">C603*$B$2</f>
        <v>8687.9224484325</v>
      </c>
    </row>
    <row r="604" customFormat="false" ht="12.8" hidden="false" customHeight="false" outlineLevel="0" collapsed="false">
      <c r="B604" s="115" t="s">
        <v>1658</v>
      </c>
      <c r="C604" s="0" t="n">
        <v>108.434823</v>
      </c>
      <c r="D604" s="751" t="n">
        <f aca="false">C604*$B$2</f>
        <v>9216.959955</v>
      </c>
    </row>
    <row r="605" customFormat="false" ht="12.8" hidden="false" customHeight="false" outlineLevel="0" collapsed="false">
      <c r="B605" s="115" t="s">
        <v>680</v>
      </c>
      <c r="C605" s="0" t="n">
        <v>0.686987</v>
      </c>
      <c r="D605" s="751" t="n">
        <f aca="false">C605*$B$2</f>
        <v>58.393895</v>
      </c>
    </row>
    <row r="606" customFormat="false" ht="12.8" hidden="false" customHeight="false" outlineLevel="0" collapsed="false">
      <c r="B606" s="115" t="s">
        <v>681</v>
      </c>
      <c r="C606" s="0" t="n">
        <v>0.837522</v>
      </c>
      <c r="D606" s="751" t="n">
        <f aca="false">C606*$B$2</f>
        <v>71.18937</v>
      </c>
    </row>
    <row r="607" customFormat="false" ht="12.8" hidden="false" customHeight="false" outlineLevel="0" collapsed="false">
      <c r="B607" s="115" t="s">
        <v>682</v>
      </c>
      <c r="C607" s="0" t="n">
        <v>2.4181395</v>
      </c>
      <c r="D607" s="751" t="n">
        <f aca="false">C607*$B$2</f>
        <v>205.5418575</v>
      </c>
    </row>
    <row r="608" customFormat="false" ht="12.8" hidden="false" customHeight="false" outlineLevel="0" collapsed="false">
      <c r="B608" s="115" t="s">
        <v>683</v>
      </c>
      <c r="C608" s="0" t="n">
        <v>0.934286</v>
      </c>
      <c r="D608" s="751" t="n">
        <f aca="false">C608*$B$2</f>
        <v>79.41431</v>
      </c>
    </row>
    <row r="609" customFormat="false" ht="12.8" hidden="false" customHeight="false" outlineLevel="0" collapsed="false">
      <c r="B609" s="115" t="s">
        <v>685</v>
      </c>
      <c r="C609" s="0" t="n">
        <v>1.044072</v>
      </c>
      <c r="D609" s="751" t="n">
        <f aca="false">C609*$B$2</f>
        <v>88.74612</v>
      </c>
    </row>
    <row r="610" customFormat="false" ht="12.8" hidden="false" customHeight="false" outlineLevel="0" collapsed="false">
      <c r="B610" s="115" t="s">
        <v>686</v>
      </c>
      <c r="C610" s="0" t="n">
        <v>1.2640095</v>
      </c>
      <c r="D610" s="751" t="n">
        <f aca="false">C610*$B$2</f>
        <v>107.4408075</v>
      </c>
    </row>
    <row r="611" customFormat="false" ht="12.8" hidden="false" customHeight="false" outlineLevel="0" collapsed="false">
      <c r="B611" s="115" t="s">
        <v>687</v>
      </c>
      <c r="C611" s="0" t="n">
        <v>9.109195</v>
      </c>
      <c r="D611" s="751" t="n">
        <f aca="false">C611*$B$2</f>
        <v>774.281575</v>
      </c>
    </row>
    <row r="612" customFormat="false" ht="12.8" hidden="false" customHeight="false" outlineLevel="0" collapsed="false">
      <c r="B612" s="115" t="n">
        <v>0</v>
      </c>
      <c r="C612" s="0" t="n">
        <v>0</v>
      </c>
      <c r="D612" s="751" t="n">
        <f aca="false">C612*$B$2</f>
        <v>0</v>
      </c>
    </row>
    <row r="613" customFormat="false" ht="12.8" hidden="false" customHeight="false" outlineLevel="0" collapsed="false">
      <c r="B613" s="115" t="s">
        <v>1659</v>
      </c>
      <c r="C613" s="0" t="n">
        <v>59.3665215251955</v>
      </c>
      <c r="D613" s="751" t="n">
        <f aca="false">C613*$B$2</f>
        <v>5046.15432964162</v>
      </c>
    </row>
    <row r="614" customFormat="false" ht="12.8" hidden="false" customHeight="false" outlineLevel="0" collapsed="false">
      <c r="B614" s="115" t="s">
        <v>1660</v>
      </c>
      <c r="C614" s="0" t="n">
        <v>93.6375421023</v>
      </c>
      <c r="D614" s="751" t="n">
        <f aca="false">C614*$B$2</f>
        <v>7959.1910786955</v>
      </c>
    </row>
    <row r="615" customFormat="false" ht="12.8" hidden="false" customHeight="false" outlineLevel="0" collapsed="false">
      <c r="B615" s="115" t="s">
        <v>1661</v>
      </c>
      <c r="C615" s="0" t="n">
        <v>108.1513565</v>
      </c>
      <c r="D615" s="751" t="n">
        <f aca="false">C615*$B$2</f>
        <v>9192.8653025</v>
      </c>
    </row>
    <row r="616" customFormat="false" ht="12.8" hidden="false" customHeight="false" outlineLevel="0" collapsed="false">
      <c r="B616" s="115" t="s">
        <v>1662</v>
      </c>
      <c r="C616" s="0" t="n">
        <v>15.662321</v>
      </c>
      <c r="D616" s="751" t="n">
        <f aca="false">C616*$B$2</f>
        <v>1331.297285</v>
      </c>
    </row>
    <row r="617" customFormat="false" ht="12.8" hidden="false" customHeight="false" outlineLevel="0" collapsed="false">
      <c r="B617" s="115" t="s">
        <v>1663</v>
      </c>
      <c r="C617" s="0" t="n">
        <v>0.274737</v>
      </c>
      <c r="D617" s="751" t="n">
        <f aca="false">C617*$B$2</f>
        <v>23.352645</v>
      </c>
    </row>
    <row r="618" customFormat="false" ht="12.8" hidden="false" customHeight="false" outlineLevel="0" collapsed="false">
      <c r="B618" s="115" t="s">
        <v>1664</v>
      </c>
      <c r="C618" s="0" t="n">
        <v>0.629864025</v>
      </c>
      <c r="D618" s="751" t="n">
        <f aca="false">C618*$B$2</f>
        <v>53.538442125</v>
      </c>
    </row>
    <row r="619" customFormat="false" ht="12.8" hidden="false" customHeight="false" outlineLevel="0" collapsed="false">
      <c r="B619" s="115" t="s">
        <v>1665</v>
      </c>
      <c r="C619" s="0" t="n">
        <v>4.972194835125</v>
      </c>
      <c r="D619" s="751" t="n">
        <f aca="false">C619*$B$2</f>
        <v>422.636560985625</v>
      </c>
    </row>
    <row r="620" customFormat="false" ht="12.8" hidden="false" customHeight="false" outlineLevel="0" collapsed="false">
      <c r="B620" s="115" t="n">
        <v>0</v>
      </c>
      <c r="C620" s="0" t="n">
        <v>0</v>
      </c>
      <c r="D620" s="751" t="n">
        <f aca="false">C620*$B$2</f>
        <v>0</v>
      </c>
    </row>
    <row r="621" customFormat="false" ht="12.8" hidden="false" customHeight="false" outlineLevel="0" collapsed="false">
      <c r="B621" s="115" t="s">
        <v>1660</v>
      </c>
      <c r="C621" s="0" t="n">
        <v>93.6375421023</v>
      </c>
      <c r="D621" s="751" t="n">
        <f aca="false">C621*$B$2</f>
        <v>7959.1910786955</v>
      </c>
    </row>
    <row r="622" customFormat="false" ht="12.8" hidden="false" customHeight="false" outlineLevel="0" collapsed="false">
      <c r="B622" s="115" t="s">
        <v>1661</v>
      </c>
      <c r="C622" s="0" t="n">
        <v>103.001291925</v>
      </c>
      <c r="D622" s="751" t="n">
        <f aca="false">C622*$B$2</f>
        <v>8755.109813625</v>
      </c>
    </row>
    <row r="623" customFormat="false" ht="12.8" hidden="false" customHeight="false" outlineLevel="0" collapsed="false">
      <c r="B623" s="115" t="s">
        <v>1666</v>
      </c>
      <c r="C623" s="0" t="n">
        <v>0.36155175</v>
      </c>
      <c r="D623" s="751" t="n">
        <f aca="false">C623*$B$2</f>
        <v>30.73189875</v>
      </c>
    </row>
    <row r="624" customFormat="false" ht="12.8" hidden="false" customHeight="false" outlineLevel="0" collapsed="false">
      <c r="B624" s="115" t="s">
        <v>1664</v>
      </c>
      <c r="C624" s="0" t="n">
        <v>0.629864025</v>
      </c>
      <c r="D624" s="751" t="n">
        <f aca="false">C624*$B$2</f>
        <v>53.538442125</v>
      </c>
    </row>
    <row r="625" customFormat="false" ht="12.8" hidden="false" customHeight="false" outlineLevel="0" collapsed="false">
      <c r="B625" s="115" t="n">
        <v>0</v>
      </c>
      <c r="C625" s="0" t="n">
        <v>0</v>
      </c>
      <c r="D625" s="751" t="n">
        <f aca="false">C625*$B$2</f>
        <v>0</v>
      </c>
    </row>
    <row r="626" customFormat="false" ht="12.8" hidden="false" customHeight="false" outlineLevel="0" collapsed="false">
      <c r="B626" s="115" t="s">
        <v>1667</v>
      </c>
      <c r="C626" s="0" t="n">
        <v>262.636440885</v>
      </c>
      <c r="D626" s="751" t="n">
        <f aca="false">C626*$B$2</f>
        <v>22324.097475225</v>
      </c>
    </row>
    <row r="627" customFormat="false" ht="12.8" hidden="false" customHeight="false" outlineLevel="0" collapsed="false">
      <c r="B627" s="115" t="s">
        <v>1668</v>
      </c>
      <c r="C627" s="0" t="n">
        <v>2.4777022725</v>
      </c>
      <c r="D627" s="751" t="n">
        <f aca="false">C627*$B$2</f>
        <v>210.6046931625</v>
      </c>
    </row>
    <row r="628" customFormat="false" ht="12.8" hidden="false" customHeight="false" outlineLevel="0" collapsed="false">
      <c r="B628" s="115" t="s">
        <v>1669</v>
      </c>
      <c r="C628" s="0" t="n">
        <v>0.94388658</v>
      </c>
      <c r="D628" s="751" t="n">
        <f aca="false">C628*$B$2</f>
        <v>80.2303593</v>
      </c>
    </row>
    <row r="629" customFormat="false" ht="12.8" hidden="false" customHeight="false" outlineLevel="0" collapsed="false">
      <c r="B629" s="115" t="n">
        <v>0</v>
      </c>
      <c r="C629" s="0" t="n">
        <v>0</v>
      </c>
      <c r="D629" s="751" t="n">
        <f aca="false">C629*$B$2</f>
        <v>0</v>
      </c>
    </row>
    <row r="630" customFormat="false" ht="12.8" hidden="false" customHeight="false" outlineLevel="0" collapsed="false">
      <c r="B630" s="115" t="s">
        <v>1659</v>
      </c>
      <c r="C630" s="0" t="n">
        <v>59.3665215251955</v>
      </c>
      <c r="D630" s="751" t="n">
        <f aca="false">C630*$B$2</f>
        <v>5046.15432964162</v>
      </c>
    </row>
    <row r="631" customFormat="false" ht="12.8" hidden="false" customHeight="false" outlineLevel="0" collapsed="false">
      <c r="B631" s="115" t="s">
        <v>1660</v>
      </c>
      <c r="C631" s="0" t="n">
        <v>93.6375421023</v>
      </c>
      <c r="D631" s="751" t="n">
        <f aca="false">C631*$B$2</f>
        <v>7959.1910786955</v>
      </c>
    </row>
    <row r="632" customFormat="false" ht="12.8" hidden="false" customHeight="false" outlineLevel="0" collapsed="false">
      <c r="B632" s="115" t="s">
        <v>1661</v>
      </c>
      <c r="C632" s="0" t="n">
        <v>103.001291925</v>
      </c>
      <c r="D632" s="751" t="n">
        <f aca="false">C632*$B$2</f>
        <v>8755.109813625</v>
      </c>
    </row>
    <row r="633" customFormat="false" ht="12.8" hidden="false" customHeight="false" outlineLevel="0" collapsed="false">
      <c r="B633" s="115" t="s">
        <v>1670</v>
      </c>
      <c r="C633" s="0" t="n">
        <v>149.71509</v>
      </c>
      <c r="D633" s="751" t="n">
        <f aca="false">C633*$B$2</f>
        <v>12725.78265</v>
      </c>
    </row>
    <row r="634" customFormat="false" ht="12.8" hidden="false" customHeight="false" outlineLevel="0" collapsed="false">
      <c r="B634" s="115" t="s">
        <v>1662</v>
      </c>
      <c r="C634" s="0" t="n">
        <v>15.662321</v>
      </c>
      <c r="D634" s="751" t="n">
        <f aca="false">C634*$B$2</f>
        <v>1331.297285</v>
      </c>
    </row>
    <row r="635" customFormat="false" ht="12.8" hidden="false" customHeight="false" outlineLevel="0" collapsed="false">
      <c r="B635" s="115" t="n">
        <v>0</v>
      </c>
      <c r="C635" s="0" t="n">
        <v>0</v>
      </c>
      <c r="D635" s="751" t="n">
        <f aca="false">C635*$B$2</f>
        <v>0</v>
      </c>
    </row>
    <row r="636" customFormat="false" ht="12.8" hidden="false" customHeight="false" outlineLevel="0" collapsed="false">
      <c r="B636" s="115" t="s">
        <v>1671</v>
      </c>
      <c r="C636" s="0" t="n">
        <v>94.63971825</v>
      </c>
      <c r="D636" s="751" t="n">
        <f aca="false">C636*$B$2</f>
        <v>8044.37605125</v>
      </c>
    </row>
    <row r="637" customFormat="false" ht="12.8" hidden="false" customHeight="false" outlineLevel="0" collapsed="false">
      <c r="B637" s="115" t="s">
        <v>1672</v>
      </c>
      <c r="C637" s="0" t="n">
        <v>102.2108523345</v>
      </c>
      <c r="D637" s="751" t="n">
        <f aca="false">C637*$B$2</f>
        <v>8687.9224484325</v>
      </c>
    </row>
    <row r="638" customFormat="false" ht="12.8" hidden="false" customHeight="false" outlineLevel="0" collapsed="false">
      <c r="B638" s="115" t="s">
        <v>1628</v>
      </c>
      <c r="C638" s="0" t="n">
        <v>108.434823</v>
      </c>
      <c r="D638" s="751" t="n">
        <f aca="false">C638*$B$2</f>
        <v>9216.959955</v>
      </c>
    </row>
    <row r="639" customFormat="false" ht="12.8" hidden="false" customHeight="false" outlineLevel="0" collapsed="false">
      <c r="B639" s="115" t="n">
        <v>0</v>
      </c>
      <c r="C639" s="0" t="n">
        <v>0</v>
      </c>
      <c r="D639" s="751" t="n">
        <f aca="false">C639*$B$2</f>
        <v>0</v>
      </c>
    </row>
    <row r="640" customFormat="false" ht="12.8" hidden="false" customHeight="false" outlineLevel="0" collapsed="false">
      <c r="B640" s="115" t="s">
        <v>1673</v>
      </c>
      <c r="C640" s="0" t="n">
        <v>0.0940355</v>
      </c>
      <c r="D640" s="751" t="n">
        <f aca="false">C640*$B$2</f>
        <v>7.9930175</v>
      </c>
    </row>
    <row r="641" customFormat="false" ht="12.8" hidden="false" customHeight="false" outlineLevel="0" collapsed="false">
      <c r="B641" s="115" t="s">
        <v>1660</v>
      </c>
      <c r="C641" s="0" t="n">
        <v>93.6375421023</v>
      </c>
      <c r="D641" s="751" t="n">
        <f aca="false">C641*$B$2</f>
        <v>7959.1910786955</v>
      </c>
    </row>
    <row r="642" customFormat="false" ht="12.8" hidden="false" customHeight="false" outlineLevel="0" collapsed="false">
      <c r="B642" s="115" t="s">
        <v>1661</v>
      </c>
      <c r="C642" s="0" t="n">
        <v>103.001291925</v>
      </c>
      <c r="D642" s="751" t="n">
        <f aca="false">C642*$B$2</f>
        <v>8755.109813625</v>
      </c>
    </row>
    <row r="643" customFormat="false" ht="12.8" hidden="false" customHeight="false" outlineLevel="0" collapsed="false">
      <c r="B643" s="115" t="s">
        <v>1674</v>
      </c>
      <c r="C643" s="0" t="n">
        <v>0.80954</v>
      </c>
      <c r="D643" s="751" t="n">
        <f aca="false">C643*$B$2</f>
        <v>68.8109</v>
      </c>
    </row>
    <row r="644" customFormat="false" ht="12.8" hidden="false" customHeight="false" outlineLevel="0" collapsed="false">
      <c r="B644" s="115" t="s">
        <v>1675</v>
      </c>
      <c r="C644" s="0" t="n">
        <v>0.6475385</v>
      </c>
      <c r="D644" s="751" t="n">
        <f aca="false">C644*$B$2</f>
        <v>55.0407725</v>
      </c>
    </row>
    <row r="645" customFormat="false" ht="12.8" hidden="false" customHeight="false" outlineLevel="0" collapsed="false">
      <c r="B645" s="115" t="n">
        <v>0</v>
      </c>
      <c r="C645" s="0" t="n">
        <v>0</v>
      </c>
      <c r="D645" s="751" t="n">
        <f aca="false">C645*$B$2</f>
        <v>0</v>
      </c>
    </row>
    <row r="646" customFormat="false" ht="12.8" hidden="false" customHeight="false" outlineLevel="0" collapsed="false">
      <c r="B646" s="115" t="s">
        <v>1676</v>
      </c>
      <c r="C646" s="0" t="n">
        <v>17.607036</v>
      </c>
      <c r="D646" s="751" t="n">
        <f aca="false">C646*$B$2</f>
        <v>1496.59806</v>
      </c>
    </row>
    <row r="647" customFormat="false" ht="12.8" hidden="false" customHeight="false" outlineLevel="0" collapsed="false">
      <c r="B647" s="115" t="s">
        <v>1677</v>
      </c>
      <c r="C647" s="0" t="n">
        <v>23.476133</v>
      </c>
      <c r="D647" s="751" t="n">
        <f aca="false">C647*$B$2</f>
        <v>1995.471305</v>
      </c>
    </row>
    <row r="648" customFormat="false" ht="12.8" hidden="false" customHeight="false" outlineLevel="0" collapsed="false">
      <c r="B648" s="115" t="s">
        <v>1678</v>
      </c>
      <c r="C648" s="0" t="n">
        <v>24.9434115</v>
      </c>
      <c r="D648" s="751" t="n">
        <f aca="false">C648*$B$2</f>
        <v>2120.1899775</v>
      </c>
    </row>
    <row r="649" customFormat="false" ht="12.8" hidden="false" customHeight="false" outlineLevel="0" collapsed="false">
      <c r="B649" s="115" t="s">
        <v>1679</v>
      </c>
      <c r="C649" s="0" t="n">
        <v>29.9318915</v>
      </c>
      <c r="D649" s="751" t="n">
        <f aca="false">C649*$B$2</f>
        <v>2544.2107775</v>
      </c>
    </row>
    <row r="650" customFormat="false" ht="12.8" hidden="false" customHeight="false" outlineLevel="0" collapsed="false">
      <c r="B650" s="115" t="s">
        <v>1680</v>
      </c>
      <c r="C650" s="0" t="n">
        <v>18.7675495</v>
      </c>
      <c r="D650" s="751" t="n">
        <f aca="false">C650*$B$2</f>
        <v>1595.2417075</v>
      </c>
    </row>
    <row r="651" customFormat="false" ht="12.8" hidden="false" customHeight="false" outlineLevel="0" collapsed="false">
      <c r="B651" s="115" t="s">
        <v>1681</v>
      </c>
      <c r="C651" s="0" t="n">
        <v>26.0771585</v>
      </c>
      <c r="D651" s="751" t="n">
        <f aca="false">C651*$B$2</f>
        <v>2216.5584725</v>
      </c>
    </row>
    <row r="652" customFormat="false" ht="12.8" hidden="false" customHeight="false" outlineLevel="0" collapsed="false">
      <c r="B652" s="115" t="s">
        <v>1682</v>
      </c>
      <c r="C652" s="0" t="n">
        <v>34.3338035</v>
      </c>
      <c r="D652" s="751" t="n">
        <f aca="false">C652*$B$2</f>
        <v>2918.3732975</v>
      </c>
    </row>
    <row r="653" customFormat="false" ht="12.8" hidden="false" customHeight="false" outlineLevel="0" collapsed="false">
      <c r="B653" s="115" t="s">
        <v>1683</v>
      </c>
      <c r="C653" s="0" t="n">
        <v>39.615984</v>
      </c>
      <c r="D653" s="751" t="n">
        <f aca="false">C653*$B$2</f>
        <v>3367.35864</v>
      </c>
    </row>
    <row r="654" customFormat="false" ht="12.8" hidden="false" customHeight="false" outlineLevel="0" collapsed="false">
      <c r="B654" s="115" t="s">
        <v>1684</v>
      </c>
      <c r="C654" s="0" t="n">
        <v>35.214072</v>
      </c>
      <c r="D654" s="751" t="n">
        <f aca="false">C654*$B$2</f>
        <v>2993.19612</v>
      </c>
    </row>
    <row r="655" customFormat="false" ht="12.8" hidden="false" customHeight="false" outlineLevel="0" collapsed="false">
      <c r="B655" s="115" t="s">
        <v>1685</v>
      </c>
      <c r="C655" s="0" t="n">
        <v>46.952266</v>
      </c>
      <c r="D655" s="751" t="n">
        <f aca="false">C655*$B$2</f>
        <v>3990.94261</v>
      </c>
    </row>
    <row r="656" customFormat="false" ht="12.8" hidden="false" customHeight="false" outlineLevel="0" collapsed="false">
      <c r="B656" s="115" t="s">
        <v>1686</v>
      </c>
      <c r="C656" s="0" t="n">
        <v>38.976903</v>
      </c>
      <c r="D656" s="751" t="n">
        <f aca="false">C656*$B$2</f>
        <v>3313.036755</v>
      </c>
    </row>
    <row r="657" customFormat="false" ht="12.8" hidden="false" customHeight="false" outlineLevel="0" collapsed="false">
      <c r="B657" s="115" t="s">
        <v>1687</v>
      </c>
      <c r="C657" s="0" t="n">
        <v>24.96501</v>
      </c>
      <c r="D657" s="751" t="n">
        <f aca="false">C657*$B$2</f>
        <v>2122.02585</v>
      </c>
    </row>
    <row r="658" customFormat="false" ht="12.8" hidden="false" customHeight="false" outlineLevel="0" collapsed="false">
      <c r="B658" s="115" t="s">
        <v>1688</v>
      </c>
      <c r="C658" s="0" t="n">
        <v>33.1332635</v>
      </c>
      <c r="D658" s="751" t="n">
        <f aca="false">C658*$B$2</f>
        <v>2816.3273975</v>
      </c>
    </row>
    <row r="659" customFormat="false" ht="12.8" hidden="false" customHeight="false" outlineLevel="0" collapsed="false">
      <c r="B659" s="115" t="s">
        <v>1689</v>
      </c>
      <c r="C659" s="0" t="n">
        <v>34.598655</v>
      </c>
      <c r="D659" s="751" t="n">
        <f aca="false">C659*$B$2</f>
        <v>2940.885675</v>
      </c>
    </row>
    <row r="660" customFormat="false" ht="12.8" hidden="false" customHeight="false" outlineLevel="0" collapsed="false">
      <c r="B660" s="115" t="s">
        <v>1690</v>
      </c>
      <c r="C660" s="0" t="n">
        <v>37.925453</v>
      </c>
      <c r="D660" s="751" t="n">
        <f aca="false">C660*$B$2</f>
        <v>3223.663505</v>
      </c>
    </row>
    <row r="661" customFormat="false" ht="12.8" hidden="false" customHeight="false" outlineLevel="0" collapsed="false">
      <c r="B661" s="115" t="s">
        <v>1691</v>
      </c>
      <c r="C661" s="0" t="n">
        <v>23.664714</v>
      </c>
      <c r="D661" s="751" t="n">
        <f aca="false">C661*$B$2</f>
        <v>2011.50069</v>
      </c>
    </row>
    <row r="662" customFormat="false" ht="12.8" hidden="false" customHeight="false" outlineLevel="0" collapsed="false">
      <c r="B662" s="115" t="s">
        <v>1692</v>
      </c>
      <c r="C662" s="0" t="n">
        <v>19.313275</v>
      </c>
      <c r="D662" s="751" t="n">
        <f aca="false">C662*$B$2</f>
        <v>1641.628375</v>
      </c>
    </row>
    <row r="663" customFormat="false" ht="12.8" hidden="false" customHeight="false" outlineLevel="0" collapsed="false">
      <c r="B663" s="115" t="s">
        <v>1693</v>
      </c>
      <c r="C663" s="0" t="n">
        <v>19.9607625</v>
      </c>
      <c r="D663" s="751" t="n">
        <f aca="false">C663*$B$2</f>
        <v>1696.6648125</v>
      </c>
    </row>
    <row r="664" customFormat="false" ht="12.8" hidden="false" customHeight="false" outlineLevel="0" collapsed="false">
      <c r="B664" s="115" t="s">
        <v>1694</v>
      </c>
      <c r="C664" s="0" t="n">
        <v>28.3655115</v>
      </c>
      <c r="D664" s="751" t="n">
        <f aca="false">C664*$B$2</f>
        <v>2411.0684775</v>
      </c>
    </row>
    <row r="665" customFormat="false" ht="12.8" hidden="false" customHeight="false" outlineLevel="0" collapsed="false">
      <c r="B665" s="115" t="s">
        <v>1695</v>
      </c>
      <c r="C665" s="0" t="n">
        <v>159.31125</v>
      </c>
      <c r="D665" s="751" t="n">
        <f aca="false">C665*$B$2</f>
        <v>13541.45625</v>
      </c>
    </row>
    <row r="666" customFormat="false" ht="12.8" hidden="false" customHeight="false" outlineLevel="0" collapsed="false">
      <c r="B666" s="115" t="n">
        <v>0</v>
      </c>
      <c r="C666" s="0" t="n">
        <v>0</v>
      </c>
      <c r="D666" s="751" t="n">
        <f aca="false">C666*$B$2</f>
        <v>0</v>
      </c>
    </row>
    <row r="667" customFormat="false" ht="12.8" hidden="false" customHeight="false" outlineLevel="0" collapsed="false">
      <c r="B667" s="115" t="s">
        <v>1696</v>
      </c>
      <c r="C667" s="0" t="n">
        <v>34.772548</v>
      </c>
      <c r="D667" s="751" t="n">
        <f aca="false">C667*$B$2</f>
        <v>2955.66658</v>
      </c>
    </row>
    <row r="668" customFormat="false" ht="12.8" hidden="false" customHeight="false" outlineLevel="0" collapsed="false">
      <c r="B668" s="115" t="s">
        <v>1697</v>
      </c>
      <c r="C668" s="0" t="n">
        <v>34.772548</v>
      </c>
      <c r="D668" s="751" t="n">
        <f aca="false">C668*$B$2</f>
        <v>2955.66658</v>
      </c>
    </row>
    <row r="669" customFormat="false" ht="12.8" hidden="false" customHeight="false" outlineLevel="0" collapsed="false">
      <c r="B669" s="115" t="s">
        <v>1698</v>
      </c>
      <c r="C669" s="0" t="n">
        <v>35.876493597525</v>
      </c>
      <c r="D669" s="751" t="n">
        <f aca="false">C669*$B$2</f>
        <v>3049.50195578962</v>
      </c>
    </row>
    <row r="670" customFormat="false" ht="12.8" hidden="false" customHeight="false" outlineLevel="0" collapsed="false">
      <c r="B670" s="115" t="s">
        <v>1699</v>
      </c>
      <c r="C670" s="0" t="n">
        <v>37.670317</v>
      </c>
      <c r="D670" s="751" t="n">
        <f aca="false">C670*$B$2</f>
        <v>3201.976945</v>
      </c>
    </row>
    <row r="671" customFormat="false" ht="12.8" hidden="false" customHeight="false" outlineLevel="0" collapsed="false">
      <c r="B671" s="115" t="s">
        <v>1700</v>
      </c>
      <c r="C671" s="0" t="n">
        <v>38.5908075</v>
      </c>
      <c r="D671" s="751" t="n">
        <f aca="false">C671*$B$2</f>
        <v>3280.2186375</v>
      </c>
    </row>
    <row r="672" customFormat="false" ht="12.8" hidden="false" customHeight="false" outlineLevel="0" collapsed="false">
      <c r="B672" s="115" t="s">
        <v>1701</v>
      </c>
      <c r="C672" s="0" t="n">
        <v>0</v>
      </c>
      <c r="D672" s="751" t="n">
        <f aca="false">C672*$B$2</f>
        <v>0</v>
      </c>
    </row>
    <row r="673" customFormat="false" ht="12.8" hidden="false" customHeight="false" outlineLevel="0" collapsed="false">
      <c r="B673" s="115" t="s">
        <v>1702</v>
      </c>
      <c r="C673" s="0" t="n">
        <v>16.574966</v>
      </c>
      <c r="D673" s="751" t="n">
        <f aca="false">C673*$B$2</f>
        <v>1408.87211</v>
      </c>
    </row>
    <row r="674" customFormat="false" ht="12.8" hidden="false" customHeight="false" outlineLevel="0" collapsed="false">
      <c r="B674" s="115" t="s">
        <v>1703</v>
      </c>
      <c r="C674" s="0" t="n">
        <v>15.0681455</v>
      </c>
      <c r="D674" s="751" t="n">
        <f aca="false">C674*$B$2</f>
        <v>1280.7923675</v>
      </c>
    </row>
    <row r="675" customFormat="false" ht="12.8" hidden="false" customHeight="false" outlineLevel="0" collapsed="false">
      <c r="B675" s="115" t="s">
        <v>1704</v>
      </c>
      <c r="C675" s="0" t="n">
        <v>30.35702606265</v>
      </c>
      <c r="D675" s="751" t="n">
        <f aca="false">C675*$B$2</f>
        <v>2580.34721532525</v>
      </c>
    </row>
    <row r="676" customFormat="false" ht="12.8" hidden="false" customHeight="false" outlineLevel="0" collapsed="false">
      <c r="B676" s="115" t="s">
        <v>1705</v>
      </c>
      <c r="C676" s="0" t="n">
        <v>31.8748725</v>
      </c>
      <c r="D676" s="751" t="n">
        <f aca="false">C676*$B$2</f>
        <v>2709.3641625</v>
      </c>
    </row>
    <row r="677" customFormat="false" ht="12.8" hidden="false" customHeight="false" outlineLevel="0" collapsed="false">
      <c r="B677" s="115" t="s">
        <v>1706</v>
      </c>
      <c r="C677" s="0" t="n">
        <v>20.2840005</v>
      </c>
      <c r="D677" s="751" t="n">
        <f aca="false">C677*$B$2</f>
        <v>1724.1400425</v>
      </c>
    </row>
    <row r="678" customFormat="false" ht="12.8" hidden="false" customHeight="false" outlineLevel="0" collapsed="false">
      <c r="B678" s="115" t="s">
        <v>1707</v>
      </c>
      <c r="C678" s="0" t="n">
        <v>61.097286</v>
      </c>
      <c r="D678" s="751" t="n">
        <f aca="false">C678*$B$2</f>
        <v>5193.26931</v>
      </c>
    </row>
    <row r="679" customFormat="false" ht="12.8" hidden="false" customHeight="false" outlineLevel="0" collapsed="false">
      <c r="B679" s="115" t="s">
        <v>699</v>
      </c>
      <c r="C679" s="0" t="n">
        <v>12.853462</v>
      </c>
      <c r="D679" s="751" t="n">
        <f aca="false">C679*$B$2</f>
        <v>1092.54427</v>
      </c>
    </row>
    <row r="680" customFormat="false" ht="12.8" hidden="false" customHeight="false" outlineLevel="0" collapsed="false">
      <c r="B680" s="115" t="s">
        <v>1708</v>
      </c>
      <c r="C680" s="0" t="n">
        <v>2.927026</v>
      </c>
      <c r="D680" s="751" t="n">
        <f aca="false">C680*$B$2</f>
        <v>248.79721</v>
      </c>
    </row>
    <row r="681" customFormat="false" ht="12.8" hidden="false" customHeight="false" outlineLevel="0" collapsed="false">
      <c r="B681" s="115" t="s">
        <v>1709</v>
      </c>
      <c r="C681" s="0" t="n">
        <v>14.1219</v>
      </c>
      <c r="D681" s="751" t="n">
        <f aca="false">C681*$B$2</f>
        <v>1200.3615</v>
      </c>
    </row>
    <row r="682" customFormat="false" ht="12.8" hidden="false" customHeight="false" outlineLevel="0" collapsed="false">
      <c r="B682" s="115" t="s">
        <v>1710</v>
      </c>
      <c r="C682" s="0" t="n">
        <v>11.9764575</v>
      </c>
      <c r="D682" s="751" t="n">
        <f aca="false">C682*$B$2</f>
        <v>1017.9988875</v>
      </c>
    </row>
    <row r="683" customFormat="false" ht="12.8" hidden="false" customHeight="false" outlineLevel="0" collapsed="false">
      <c r="B683" s="115" t="s">
        <v>1711</v>
      </c>
      <c r="C683" s="0" t="n">
        <v>0</v>
      </c>
      <c r="D683" s="751" t="n">
        <f aca="false">C683*$B$2</f>
        <v>0</v>
      </c>
    </row>
    <row r="684" customFormat="false" ht="12.8" hidden="false" customHeight="false" outlineLevel="0" collapsed="false">
      <c r="B684" s="115" t="s">
        <v>1712</v>
      </c>
      <c r="C684" s="0" t="n">
        <v>43.2173235</v>
      </c>
      <c r="D684" s="751" t="n">
        <f aca="false">C684*$B$2</f>
        <v>3673.4724975</v>
      </c>
    </row>
    <row r="685" customFormat="false" ht="12.8" hidden="false" customHeight="false" outlineLevel="0" collapsed="false">
      <c r="B685" s="115" t="s">
        <v>1713</v>
      </c>
      <c r="C685" s="0" t="n">
        <v>7.562994</v>
      </c>
      <c r="D685" s="751" t="n">
        <f aca="false">C685*$B$2</f>
        <v>642.85449</v>
      </c>
    </row>
    <row r="686" customFormat="false" ht="12.8" hidden="false" customHeight="false" outlineLevel="0" collapsed="false">
      <c r="B686" s="115" t="s">
        <v>1714</v>
      </c>
      <c r="C686" s="0" t="n">
        <v>7.562994</v>
      </c>
      <c r="D686" s="751" t="n">
        <f aca="false">C686*$B$2</f>
        <v>642.85449</v>
      </c>
    </row>
    <row r="687" customFormat="false" ht="12.8" hidden="false" customHeight="false" outlineLevel="0" collapsed="false">
      <c r="B687" s="115" t="s">
        <v>1715</v>
      </c>
      <c r="C687" s="0" t="n">
        <v>7.477994</v>
      </c>
      <c r="D687" s="751" t="n">
        <f aca="false">C687*$B$2</f>
        <v>635.62949</v>
      </c>
    </row>
    <row r="688" customFormat="false" ht="12.8" hidden="false" customHeight="false" outlineLevel="0" collapsed="false">
      <c r="B688" s="115" t="s">
        <v>1716</v>
      </c>
      <c r="C688" s="0" t="n">
        <v>50.4202915</v>
      </c>
      <c r="D688" s="751" t="n">
        <f aca="false">C688*$B$2</f>
        <v>4285.7247775</v>
      </c>
    </row>
    <row r="689" customFormat="false" ht="12.8" hidden="false" customHeight="false" outlineLevel="0" collapsed="false">
      <c r="B689" s="115" t="s">
        <v>1717</v>
      </c>
      <c r="C689" s="0" t="n">
        <v>23.356062</v>
      </c>
      <c r="D689" s="751" t="n">
        <f aca="false">C689*$B$2</f>
        <v>1985.26527</v>
      </c>
    </row>
    <row r="690" customFormat="false" ht="12.8" hidden="false" customHeight="false" outlineLevel="0" collapsed="false">
      <c r="B690" s="115" t="s">
        <v>1718</v>
      </c>
      <c r="C690" s="0" t="n">
        <v>30.2254815</v>
      </c>
      <c r="D690" s="751" t="n">
        <f aca="false">C690*$B$2</f>
        <v>2569.1659275</v>
      </c>
    </row>
    <row r="691" customFormat="false" ht="12.8" hidden="false" customHeight="false" outlineLevel="0" collapsed="false">
      <c r="B691" s="115" t="s">
        <v>1719</v>
      </c>
      <c r="C691" s="0" t="n">
        <v>63.7245</v>
      </c>
      <c r="D691" s="751" t="n">
        <f aca="false">C691*$B$2</f>
        <v>5416.5825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4" activeCellId="0" sqref="D4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616" width="6.61"/>
    <col collapsed="false" customWidth="true" hidden="false" outlineLevel="0" max="3" min="3" style="0" width="23.61"/>
    <col collapsed="false" customWidth="true" hidden="false" outlineLevel="0" max="4" min="4" style="0" width="62.4"/>
    <col collapsed="false" customWidth="true" hidden="false" outlineLevel="0" max="5" min="5" style="0" width="36.58"/>
    <col collapsed="false" customWidth="true" hidden="false" outlineLevel="0" max="10" min="10" style="0" width="12.71"/>
  </cols>
  <sheetData>
    <row r="3" customFormat="false" ht="12.8" hidden="false" customHeight="false" outlineLevel="0" collapsed="false">
      <c r="D3" s="666" t="s">
        <v>1720</v>
      </c>
      <c r="E3" s="666" t="s">
        <v>1721</v>
      </c>
    </row>
    <row r="4" customFormat="false" ht="12.8" hidden="false" customHeight="false" outlineLevel="0" collapsed="false">
      <c r="D4" s="752" t="s">
        <v>1122</v>
      </c>
      <c r="E4" s="753" t="n">
        <v>0.25</v>
      </c>
    </row>
    <row r="5" customFormat="false" ht="12.8" hidden="false" customHeight="false" outlineLevel="0" collapsed="false">
      <c r="D5" s="0" t="s">
        <v>1019</v>
      </c>
      <c r="E5" s="0" t="n">
        <v>0.25</v>
      </c>
    </row>
    <row r="6" customFormat="false" ht="12.8" hidden="false" customHeight="false" outlineLevel="0" collapsed="false">
      <c r="D6" s="0" t="s">
        <v>1031</v>
      </c>
      <c r="E6" s="0" t="n">
        <v>0.35</v>
      </c>
    </row>
    <row r="7" customFormat="false" ht="12.8" hidden="false" customHeight="false" outlineLevel="0" collapsed="false">
      <c r="D7" s="0" t="s">
        <v>1039</v>
      </c>
      <c r="E7" s="0" t="n">
        <v>0.35</v>
      </c>
    </row>
    <row r="8" customFormat="false" ht="12.8" hidden="false" customHeight="false" outlineLevel="0" collapsed="false">
      <c r="D8" s="0" t="s">
        <v>1063</v>
      </c>
      <c r="E8" s="0" t="n">
        <v>0.4</v>
      </c>
    </row>
    <row r="9" customFormat="false" ht="12.8" hidden="false" customHeight="false" outlineLevel="0" collapsed="false">
      <c r="D9" s="0" t="s">
        <v>1072</v>
      </c>
      <c r="E9" s="0" t="n">
        <v>0.15</v>
      </c>
    </row>
    <row r="10" customFormat="false" ht="12.8" hidden="false" customHeight="false" outlineLevel="0" collapsed="false">
      <c r="D10" s="0" t="s">
        <v>1084</v>
      </c>
      <c r="E10" s="0" t="n">
        <v>0.35</v>
      </c>
    </row>
    <row r="11" customFormat="false" ht="12.8" hidden="false" customHeight="false" outlineLevel="0" collapsed="false">
      <c r="D11" s="0" t="s">
        <v>1093</v>
      </c>
      <c r="E11" s="0" t="n">
        <v>0.45</v>
      </c>
    </row>
    <row r="12" customFormat="false" ht="12.8" hidden="false" customHeight="false" outlineLevel="0" collapsed="false">
      <c r="D12" s="0" t="s">
        <v>1098</v>
      </c>
      <c r="E12" s="0" t="n">
        <v>0.5</v>
      </c>
    </row>
    <row r="16" customFormat="false" ht="12.8" hidden="false" customHeight="false" outlineLevel="0" collapsed="false">
      <c r="D16" s="666" t="s">
        <v>1722</v>
      </c>
      <c r="E16" s="666" t="s">
        <v>1723</v>
      </c>
    </row>
    <row r="17" customFormat="false" ht="12.8" hidden="false" customHeight="false" outlineLevel="0" collapsed="false">
      <c r="D17" s="0" t="s">
        <v>1724</v>
      </c>
      <c r="E17" s="0" t="s">
        <v>1216</v>
      </c>
    </row>
    <row r="18" customFormat="false" ht="12.8" hidden="false" customHeight="false" outlineLevel="0" collapsed="false">
      <c r="D18" s="0" t="s">
        <v>1725</v>
      </c>
      <c r="E18" s="0" t="s">
        <v>1217</v>
      </c>
    </row>
    <row r="19" customFormat="false" ht="12.8" hidden="false" customHeight="false" outlineLevel="0" collapsed="false">
      <c r="D19" s="0" t="s">
        <v>1726</v>
      </c>
    </row>
    <row r="20" customFormat="false" ht="12.8" hidden="false" customHeight="false" outlineLevel="0" collapsed="false">
      <c r="D20" s="0" t="s">
        <v>1727</v>
      </c>
      <c r="E20" s="0" t="s">
        <v>1219</v>
      </c>
    </row>
    <row r="21" customFormat="false" ht="12.8" hidden="false" customHeight="false" outlineLevel="0" collapsed="false">
      <c r="D21" s="0" t="s">
        <v>1728</v>
      </c>
      <c r="E21" s="0" t="s">
        <v>1577</v>
      </c>
    </row>
    <row r="22" customFormat="false" ht="12.8" hidden="false" customHeight="false" outlineLevel="0" collapsed="false">
      <c r="D22" s="0" t="s">
        <v>1729</v>
      </c>
      <c r="E22" s="0" t="s">
        <v>1578</v>
      </c>
    </row>
    <row r="23" customFormat="false" ht="12.8" hidden="false" customHeight="false" outlineLevel="0" collapsed="false">
      <c r="D23" s="0" t="s">
        <v>1730</v>
      </c>
      <c r="E23" s="0" t="s">
        <v>1579</v>
      </c>
    </row>
    <row r="24" customFormat="false" ht="12.8" hidden="false" customHeight="false" outlineLevel="0" collapsed="false">
      <c r="D24" s="0" t="s">
        <v>1731</v>
      </c>
      <c r="E24" s="0" t="s">
        <v>1580</v>
      </c>
    </row>
    <row r="25" customFormat="false" ht="12.8" hidden="false" customHeight="false" outlineLevel="0" collapsed="false">
      <c r="D25" s="0" t="s">
        <v>1732</v>
      </c>
      <c r="E25" s="0" t="s">
        <v>1581</v>
      </c>
    </row>
    <row r="26" customFormat="false" ht="12.8" hidden="false" customHeight="false" outlineLevel="0" collapsed="false">
      <c r="D26" s="0" t="s">
        <v>1733</v>
      </c>
      <c r="E26" s="0" t="s">
        <v>1582</v>
      </c>
    </row>
    <row r="27" customFormat="false" ht="12.8" hidden="false" customHeight="false" outlineLevel="0" collapsed="false">
      <c r="D27" s="0" t="s">
        <v>1734</v>
      </c>
      <c r="E27" s="0" t="s">
        <v>1583</v>
      </c>
    </row>
    <row r="28" customFormat="false" ht="12.8" hidden="false" customHeight="false" outlineLevel="0" collapsed="false">
      <c r="D28" s="0" t="s">
        <v>1735</v>
      </c>
      <c r="E28" s="0" t="s">
        <v>1584</v>
      </c>
    </row>
    <row r="29" customFormat="false" ht="12.8" hidden="false" customHeight="false" outlineLevel="0" collapsed="false">
      <c r="D29" s="0" t="s">
        <v>1736</v>
      </c>
      <c r="E29" s="0" t="s">
        <v>1585</v>
      </c>
    </row>
    <row r="30" customFormat="false" ht="12.8" hidden="false" customHeight="false" outlineLevel="0" collapsed="false">
      <c r="D30" s="0" t="s">
        <v>1737</v>
      </c>
      <c r="E30" s="0" t="s">
        <v>1586</v>
      </c>
    </row>
    <row r="32" customFormat="false" ht="12.8" hidden="false" customHeight="false" outlineLevel="0" collapsed="false">
      <c r="D32" s="0" t="s">
        <v>1738</v>
      </c>
      <c r="E32" s="0" t="s">
        <v>1739</v>
      </c>
    </row>
    <row r="33" customFormat="false" ht="12.8" hidden="false" customHeight="false" outlineLevel="0" collapsed="false">
      <c r="D33" s="0" t="s">
        <v>72</v>
      </c>
      <c r="E33" s="0" t="n">
        <v>400</v>
      </c>
    </row>
    <row r="34" customFormat="false" ht="12.8" hidden="false" customHeight="false" outlineLevel="0" collapsed="false">
      <c r="D34" s="0" t="s">
        <v>73</v>
      </c>
      <c r="E34" s="0" t="n">
        <v>500</v>
      </c>
    </row>
    <row r="35" customFormat="false" ht="12.8" hidden="false" customHeight="false" outlineLevel="0" collapsed="false">
      <c r="D35" s="0" t="s">
        <v>74</v>
      </c>
      <c r="E35" s="0" t="n">
        <v>150</v>
      </c>
    </row>
    <row r="36" customFormat="false" ht="12.8" hidden="false" customHeight="false" outlineLevel="0" collapsed="false">
      <c r="D36" s="0" t="s">
        <v>75</v>
      </c>
      <c r="E36" s="0" t="n">
        <v>400</v>
      </c>
    </row>
    <row r="37" customFormat="false" ht="12.8" hidden="false" customHeight="false" outlineLevel="0" collapsed="false">
      <c r="D37" s="0" t="s">
        <v>37</v>
      </c>
      <c r="E37" s="0" t="n">
        <v>1000</v>
      </c>
    </row>
    <row r="38" customFormat="false" ht="12.8" hidden="false" customHeight="false" outlineLevel="0" collapsed="false">
      <c r="G38" s="475" t="s">
        <v>336</v>
      </c>
    </row>
    <row r="39" customFormat="false" ht="12.8" hidden="false" customHeight="false" outlineLevel="0" collapsed="false">
      <c r="G39" s="476" t="n">
        <f aca="false">'Рулонки с ЭП расчёт систем и оп'!K4</f>
        <v>2</v>
      </c>
    </row>
    <row r="40" s="625" customFormat="true" ht="35.5" hidden="false" customHeight="false" outlineLevel="0" collapsed="false">
      <c r="B40" s="673"/>
      <c r="D40" s="754" t="s">
        <v>1740</v>
      </c>
      <c r="E40" s="674" t="s">
        <v>101</v>
      </c>
      <c r="F40" s="625" t="s">
        <v>522</v>
      </c>
      <c r="G40" s="625" t="s">
        <v>523</v>
      </c>
      <c r="H40" s="625" t="s">
        <v>524</v>
      </c>
      <c r="I40" s="625" t="s">
        <v>525</v>
      </c>
      <c r="J40" s="625" t="s">
        <v>526</v>
      </c>
    </row>
    <row r="42" customFormat="false" ht="12.8" hidden="false" customHeight="false" outlineLevel="0" collapsed="false">
      <c r="A42" s="0" t="str">
        <f aca="false">"Рей - "&amp;B42</f>
        <v>Рей - 1</v>
      </c>
      <c r="B42" s="616" t="n">
        <v>1</v>
      </c>
      <c r="C42" s="0" t="str">
        <f aca="false">D42</f>
        <v>LVT, белая 1 паз</v>
      </c>
      <c r="D42" s="482" t="s">
        <v>1724</v>
      </c>
      <c r="I42" s="665" t="n">
        <f aca="false">SUM(H43)</f>
        <v>86.7</v>
      </c>
      <c r="J42" s="679" t="n">
        <f aca="false">SUM(H44)</f>
        <v>877.45602</v>
      </c>
    </row>
    <row r="43" customFormat="false" ht="12.8" hidden="false" customHeight="false" outlineLevel="0" collapsed="false">
      <c r="D43" s="0" t="s">
        <v>1200</v>
      </c>
      <c r="E43" s="666" t="n">
        <v>2</v>
      </c>
      <c r="F43" s="483" t="n">
        <f aca="false">VLOOKUP(D43,'Рулонки компл. Амиго '!$B$7:$D$1000,3,0)</f>
        <v>21.675</v>
      </c>
      <c r="G43" s="483" t="n">
        <f aca="false">F43*E43</f>
        <v>43.35</v>
      </c>
      <c r="H43" s="483" t="n">
        <f aca="false">G43*$G$39</f>
        <v>86.7</v>
      </c>
    </row>
    <row r="44" s="755" customFormat="true" ht="12.8" hidden="false" customHeight="false" outlineLevel="0" collapsed="false">
      <c r="B44" s="688"/>
      <c r="D44" s="755" t="s">
        <v>1216</v>
      </c>
      <c r="E44" s="686" t="n">
        <v>1.2</v>
      </c>
      <c r="F44" s="685" t="n">
        <f aca="false">VLOOKUP(D44,'Рулонки компл. Амиго '!$B$7:$D$1000,3,0)</f>
        <v>365.606675</v>
      </c>
      <c r="G44" s="685" t="n">
        <f aca="false">F44*E44</f>
        <v>438.72801</v>
      </c>
      <c r="H44" s="685" t="n">
        <f aca="false">G44*$G$39</f>
        <v>877.45602</v>
      </c>
    </row>
    <row r="45" customFormat="false" ht="12.8" hidden="false" customHeight="false" outlineLevel="0" collapsed="false">
      <c r="E45" s="666"/>
    </row>
    <row r="46" customFormat="false" ht="12.8" hidden="false" customHeight="false" outlineLevel="0" collapsed="false">
      <c r="A46" s="0" t="str">
        <f aca="false">"Рей - "&amp;B46</f>
        <v>Рей - 2</v>
      </c>
      <c r="B46" s="616" t="n">
        <v>2</v>
      </c>
      <c r="C46" s="0" t="str">
        <f aca="false">D46</f>
        <v>LVT, антрацит 1 паз</v>
      </c>
      <c r="D46" s="482" t="s">
        <v>1725</v>
      </c>
      <c r="E46" s="666"/>
      <c r="I46" s="665" t="n">
        <f aca="false">SUM(H47)</f>
        <v>92.4222</v>
      </c>
      <c r="J46" s="679" t="n">
        <f aca="false">SUM(H48)</f>
        <v>1167.3288</v>
      </c>
    </row>
    <row r="47" customFormat="false" ht="12.8" hidden="false" customHeight="false" outlineLevel="0" collapsed="false">
      <c r="D47" s="115" t="s">
        <v>1201</v>
      </c>
      <c r="E47" s="666" t="n">
        <v>2</v>
      </c>
      <c r="F47" s="483" t="n">
        <f aca="false">VLOOKUP(D47,'Рулонки компл. Амиго '!$B$7:$D$1000,3,0)</f>
        <v>23.10555</v>
      </c>
      <c r="G47" s="483" t="n">
        <f aca="false">F47*E47</f>
        <v>46.2111</v>
      </c>
      <c r="H47" s="483" t="n">
        <f aca="false">G47*$G$39</f>
        <v>92.4222</v>
      </c>
    </row>
    <row r="48" s="755" customFormat="true" ht="12.8" hidden="false" customHeight="false" outlineLevel="0" collapsed="false">
      <c r="B48" s="688"/>
      <c r="D48" s="755" t="s">
        <v>1217</v>
      </c>
      <c r="E48" s="688" t="n">
        <v>1.2</v>
      </c>
      <c r="F48" s="685" t="n">
        <f aca="false">VLOOKUP(D48,'Рулонки компл. Амиго '!$B$7:$D$1000,3,0)</f>
        <v>486.387</v>
      </c>
      <c r="G48" s="685" t="n">
        <f aca="false">F48*E48</f>
        <v>583.6644</v>
      </c>
      <c r="H48" s="685" t="n">
        <f aca="false">G48*$G$39</f>
        <v>1167.3288</v>
      </c>
    </row>
    <row r="49" customFormat="false" ht="12.8" hidden="false" customHeight="false" outlineLevel="0" collapsed="false">
      <c r="E49" s="666"/>
    </row>
    <row r="50" customFormat="false" ht="12.8" hidden="false" customHeight="false" outlineLevel="0" collapsed="false">
      <c r="A50" s="0" t="str">
        <f aca="false">"Рей - "&amp;B50</f>
        <v>Рей - 3</v>
      </c>
      <c r="B50" s="616" t="n">
        <v>3</v>
      </c>
      <c r="C50" s="0" t="str">
        <f aca="false">D50</f>
        <v>LVT, серая 1 паз</v>
      </c>
      <c r="D50" s="756" t="s">
        <v>1726</v>
      </c>
      <c r="E50" s="666"/>
      <c r="I50" s="665" t="n">
        <f aca="false">SUM(H51)</f>
        <v>92.4222</v>
      </c>
      <c r="J50" s="679" t="n">
        <f aca="false">SUM(H52)</f>
        <v>1029.19836</v>
      </c>
    </row>
    <row r="51" customFormat="false" ht="12.8" hidden="false" customHeight="false" outlineLevel="0" collapsed="false">
      <c r="D51" s="115" t="s">
        <v>1201</v>
      </c>
      <c r="E51" s="666" t="n">
        <v>2</v>
      </c>
      <c r="F51" s="483" t="n">
        <f aca="false">VLOOKUP(D51,'Рулонки компл. Амиго '!$B$7:$D$1000,3,0)</f>
        <v>23.10555</v>
      </c>
      <c r="G51" s="483" t="n">
        <f aca="false">F51*E51</f>
        <v>46.2111</v>
      </c>
      <c r="H51" s="483" t="n">
        <f aca="false">G51*$G$39</f>
        <v>92.4222</v>
      </c>
    </row>
    <row r="52" s="489" customFormat="true" ht="12.8" hidden="false" customHeight="false" outlineLevel="0" collapsed="false">
      <c r="B52" s="686"/>
      <c r="D52" s="489" t="s">
        <v>1218</v>
      </c>
      <c r="E52" s="688" t="n">
        <v>1.2</v>
      </c>
      <c r="F52" s="685" t="n">
        <f aca="false">VLOOKUP(D52,'Рулонки компл. Амиго '!$B$7:$D$1000,3,0)</f>
        <v>428.83265</v>
      </c>
      <c r="G52" s="685" t="n">
        <f aca="false">F52*E52</f>
        <v>514.59918</v>
      </c>
      <c r="H52" s="685" t="n">
        <f aca="false">G52*$G$39</f>
        <v>1029.19836</v>
      </c>
    </row>
    <row r="53" customFormat="false" ht="12.8" hidden="false" customHeight="false" outlineLevel="0" collapsed="false">
      <c r="E53" s="666"/>
    </row>
    <row r="54" customFormat="false" ht="12.8" hidden="false" customHeight="false" outlineLevel="0" collapsed="false">
      <c r="A54" s="0" t="str">
        <f aca="false">"Рей - "&amp;B54</f>
        <v>Рей - 4</v>
      </c>
      <c r="B54" s="616" t="n">
        <v>4</v>
      </c>
      <c r="C54" s="0" t="str">
        <f aca="false">D54</f>
        <v>LVT, белая 2 паза</v>
      </c>
      <c r="D54" s="756" t="s">
        <v>1727</v>
      </c>
      <c r="E54" s="616"/>
      <c r="I54" s="665" t="n">
        <f aca="false">SUM(H55)</f>
        <v>86.7</v>
      </c>
      <c r="J54" s="679" t="n">
        <f aca="false">SUM(H56)</f>
        <v>927.8634</v>
      </c>
    </row>
    <row r="55" customFormat="false" ht="12.8" hidden="false" customHeight="false" outlineLevel="0" collapsed="false">
      <c r="D55" s="0" t="s">
        <v>1200</v>
      </c>
      <c r="E55" s="666" t="n">
        <v>2</v>
      </c>
      <c r="F55" s="483" t="n">
        <f aca="false">VLOOKUP(D55,'Рулонки компл. Амиго '!$B$7:$D$1000,3,0)</f>
        <v>21.675</v>
      </c>
      <c r="G55" s="483" t="n">
        <f aca="false">F55*E55</f>
        <v>43.35</v>
      </c>
      <c r="H55" s="483" t="n">
        <f aca="false">G55*$G$39</f>
        <v>86.7</v>
      </c>
    </row>
    <row r="56" s="489" customFormat="true" ht="12.8" hidden="false" customHeight="false" outlineLevel="0" collapsed="false">
      <c r="B56" s="686"/>
      <c r="D56" s="489" t="s">
        <v>1219</v>
      </c>
      <c r="E56" s="688" t="n">
        <v>1.2</v>
      </c>
      <c r="F56" s="685" t="n">
        <f aca="false">VLOOKUP(D56,'Рулонки компл. Амиго '!$B$7:$D$1000,3,0)</f>
        <v>386.60975</v>
      </c>
      <c r="G56" s="685" t="n">
        <f aca="false">F56*E56</f>
        <v>463.9317</v>
      </c>
      <c r="H56" s="685" t="n">
        <f aca="false">G56*$G$39</f>
        <v>927.8634</v>
      </c>
    </row>
    <row r="57" customFormat="false" ht="12.8" hidden="false" customHeight="false" outlineLevel="0" collapsed="false">
      <c r="E57" s="666"/>
    </row>
    <row r="58" customFormat="false" ht="12.8" hidden="false" customHeight="false" outlineLevel="0" collapsed="false">
      <c r="A58" s="0" t="str">
        <f aca="false">"Рей - "&amp;B58</f>
        <v>Рей - 5</v>
      </c>
      <c r="B58" s="616" t="n">
        <v>5</v>
      </c>
      <c r="C58" s="0" t="str">
        <f aca="false">D58</f>
        <v>LVT, белая 2 паза для направляющих</v>
      </c>
      <c r="D58" s="756" t="s">
        <v>1741</v>
      </c>
      <c r="E58" s="666"/>
      <c r="I58" s="665" t="n">
        <f aca="false">SUM(H59)</f>
        <v>144.2977</v>
      </c>
      <c r="J58" s="679" t="n">
        <f aca="false">SUM(H60:H61)</f>
        <v>1202.047019094</v>
      </c>
    </row>
    <row r="59" customFormat="false" ht="12.8" hidden="false" customHeight="false" outlineLevel="0" collapsed="false">
      <c r="D59" s="0" t="s">
        <v>1202</v>
      </c>
      <c r="E59" s="666" t="n">
        <v>2</v>
      </c>
      <c r="F59" s="483" t="n">
        <f aca="false">VLOOKUP(D59,'Рулонки компл. Амиго '!$B$7:$D$1000,3,0)</f>
        <v>36.074425</v>
      </c>
      <c r="G59" s="483" t="n">
        <f aca="false">F59*E59</f>
        <v>72.14885</v>
      </c>
      <c r="H59" s="483" t="n">
        <f aca="false">G59*$G$39</f>
        <v>144.2977</v>
      </c>
    </row>
    <row r="60" s="489" customFormat="true" ht="12.8" hidden="false" customHeight="false" outlineLevel="0" collapsed="false">
      <c r="B60" s="686"/>
      <c r="D60" s="489" t="s">
        <v>1219</v>
      </c>
      <c r="E60" s="688" t="n">
        <v>1.2</v>
      </c>
      <c r="F60" s="685" t="n">
        <f aca="false">VLOOKUP(D60,'Рулонки компл. Амиго '!$B$7:$D$1000,3,0)</f>
        <v>386.60975</v>
      </c>
      <c r="G60" s="685" t="n">
        <f aca="false">F60*E60</f>
        <v>463.9317</v>
      </c>
      <c r="H60" s="685" t="n">
        <f aca="false">G60*$G$39</f>
        <v>927.8634</v>
      </c>
    </row>
    <row r="61" s="489" customFormat="true" ht="12.8" hidden="false" customHeight="false" outlineLevel="0" collapsed="false">
      <c r="B61" s="686"/>
      <c r="D61" s="489" t="s">
        <v>1606</v>
      </c>
      <c r="E61" s="688" t="n">
        <v>1.2</v>
      </c>
      <c r="F61" s="685" t="n">
        <f aca="false">VLOOKUP(D61,'Рулонки компл. Амиго '!$B$7:$D$1000,3,0)</f>
        <v>114.2431746225</v>
      </c>
      <c r="G61" s="685" t="n">
        <f aca="false">F61*E61</f>
        <v>137.091809547</v>
      </c>
      <c r="H61" s="685" t="n">
        <f aca="false">G61*$G$39</f>
        <v>274.183619094</v>
      </c>
    </row>
    <row r="62" customFormat="false" ht="12.8" hidden="false" customHeight="false" outlineLevel="0" collapsed="false">
      <c r="E62" s="666"/>
    </row>
    <row r="63" customFormat="false" ht="12.8" hidden="false" customHeight="false" outlineLevel="0" collapsed="false">
      <c r="A63" s="0" t="str">
        <f aca="false">"Рей - "&amp;B63</f>
        <v>Рей - 6</v>
      </c>
      <c r="B63" s="616" t="n">
        <v>6</v>
      </c>
      <c r="C63" s="0" t="str">
        <f aca="false">D63</f>
        <v>Benthin L, белая</v>
      </c>
      <c r="D63" s="756" t="s">
        <v>1728</v>
      </c>
      <c r="E63" s="666"/>
      <c r="I63" s="665" t="n">
        <f aca="false">SUM(H64)</f>
        <v>124.99087293</v>
      </c>
      <c r="J63" s="679" t="n">
        <f aca="false">SUM(H65:H65)</f>
        <v>1227.3252</v>
      </c>
    </row>
    <row r="64" customFormat="false" ht="12.8" hidden="false" customHeight="false" outlineLevel="0" collapsed="false">
      <c r="D64" s="115" t="s">
        <v>1529</v>
      </c>
      <c r="E64" s="666" t="n">
        <v>1</v>
      </c>
      <c r="F64" s="483" t="n">
        <f aca="false">VLOOKUP(D64,'Рулонки компл. Амиго '!$B$7:$D$1000,3,0)</f>
        <v>62.495436465</v>
      </c>
      <c r="G64" s="483" t="n">
        <f aca="false">F64*E64</f>
        <v>62.495436465</v>
      </c>
      <c r="H64" s="483" t="n">
        <f aca="false">G64*$G$39</f>
        <v>124.99087293</v>
      </c>
    </row>
    <row r="65" s="489" customFormat="true" ht="12.8" hidden="false" customHeight="false" outlineLevel="0" collapsed="false">
      <c r="B65" s="686"/>
      <c r="D65" s="489" t="s">
        <v>1577</v>
      </c>
      <c r="E65" s="688" t="n">
        <v>1.2</v>
      </c>
      <c r="F65" s="685" t="n">
        <f aca="false">VLOOKUP(D65,'Рулонки компл. Амиго '!$B$7:$D$1000,3,0)</f>
        <v>511.3855</v>
      </c>
      <c r="G65" s="685" t="n">
        <f aca="false">F65*E65</f>
        <v>613.6626</v>
      </c>
      <c r="H65" s="685" t="n">
        <f aca="false">G65*$G$39</f>
        <v>1227.3252</v>
      </c>
    </row>
    <row r="66" customFormat="false" ht="12.8" hidden="false" customHeight="false" outlineLevel="0" collapsed="false">
      <c r="E66" s="666"/>
    </row>
    <row r="67" customFormat="false" ht="12.8" hidden="false" customHeight="false" outlineLevel="0" collapsed="false">
      <c r="A67" s="0" t="str">
        <f aca="false">"Рей - "&amp;B67</f>
        <v>Рей - 7</v>
      </c>
      <c r="B67" s="616" t="n">
        <v>7</v>
      </c>
      <c r="C67" s="0" t="str">
        <f aca="false">D67</f>
        <v>Benthin L, белая для направляющих</v>
      </c>
      <c r="D67" s="756" t="s">
        <v>1742</v>
      </c>
      <c r="E67" s="666"/>
      <c r="I67" s="665" t="n">
        <f aca="false">SUM(H68)</f>
        <v>597.723702345</v>
      </c>
      <c r="J67" s="679" t="n">
        <f aca="false">SUM(H69:H70)</f>
        <v>1501.508819094</v>
      </c>
    </row>
    <row r="68" customFormat="false" ht="12.8" hidden="false" customHeight="false" outlineLevel="0" collapsed="false">
      <c r="D68" s="0" t="s">
        <v>1528</v>
      </c>
      <c r="E68" s="666" t="n">
        <v>1</v>
      </c>
      <c r="F68" s="483" t="n">
        <f aca="false">VLOOKUP(D68,'Рулонки компл. Амиго '!$B$7:$D$1000,3,0)</f>
        <v>298.8618511725</v>
      </c>
      <c r="G68" s="483" t="n">
        <f aca="false">F68*E68</f>
        <v>298.8618511725</v>
      </c>
      <c r="H68" s="483" t="n">
        <f aca="false">G68*$G$39</f>
        <v>597.723702345</v>
      </c>
    </row>
    <row r="69" s="489" customFormat="true" ht="12.8" hidden="false" customHeight="false" outlineLevel="0" collapsed="false">
      <c r="B69" s="686"/>
      <c r="D69" s="489" t="s">
        <v>1577</v>
      </c>
      <c r="E69" s="688" t="n">
        <v>1.2</v>
      </c>
      <c r="F69" s="685" t="n">
        <f aca="false">VLOOKUP(D69,'Рулонки компл. Амиго '!$B$7:$D$1000,3,0)</f>
        <v>511.3855</v>
      </c>
      <c r="G69" s="685" t="n">
        <f aca="false">F69*E69</f>
        <v>613.6626</v>
      </c>
      <c r="H69" s="685" t="n">
        <f aca="false">G69*$G$39</f>
        <v>1227.3252</v>
      </c>
    </row>
    <row r="70" s="489" customFormat="true" ht="12.8" hidden="false" customHeight="false" outlineLevel="0" collapsed="false">
      <c r="B70" s="686"/>
      <c r="D70" s="489" t="s">
        <v>1606</v>
      </c>
      <c r="E70" s="688" t="n">
        <v>1.2</v>
      </c>
      <c r="F70" s="685" t="n">
        <f aca="false">VLOOKUP(D70,'Рулонки компл. Амиго '!$B$7:$D$1000,3,0)</f>
        <v>114.2431746225</v>
      </c>
      <c r="G70" s="685" t="n">
        <f aca="false">F70*E70</f>
        <v>137.091809547</v>
      </c>
      <c r="H70" s="685" t="n">
        <f aca="false">G70*$G$39</f>
        <v>274.183619094</v>
      </c>
    </row>
    <row r="71" customFormat="false" ht="12.8" hidden="false" customHeight="false" outlineLevel="0" collapsed="false">
      <c r="E71" s="666"/>
    </row>
    <row r="72" customFormat="false" ht="12.8" hidden="false" customHeight="false" outlineLevel="0" collapsed="false">
      <c r="A72" s="0" t="str">
        <f aca="false">"Рей - "&amp;B72</f>
        <v>Рей - 8</v>
      </c>
      <c r="B72" s="616" t="n">
        <v>8</v>
      </c>
      <c r="C72" s="0" t="str">
        <f aca="false">D72</f>
        <v>Benthin L, некрашен.</v>
      </c>
      <c r="D72" s="756" t="s">
        <v>1729</v>
      </c>
      <c r="E72" s="666"/>
      <c r="I72" s="665" t="n">
        <f aca="false">SUM(H73)</f>
        <v>124.99087293</v>
      </c>
      <c r="J72" s="679" t="n">
        <f aca="false">SUM(H74)</f>
        <v>970.569342857143</v>
      </c>
    </row>
    <row r="73" customFormat="false" ht="12.8" hidden="false" customHeight="false" outlineLevel="0" collapsed="false">
      <c r="D73" s="115" t="s">
        <v>1529</v>
      </c>
      <c r="E73" s="666" t="n">
        <v>1</v>
      </c>
      <c r="F73" s="483" t="n">
        <f aca="false">VLOOKUP(D73,'Рулонки компл. Амиго '!$B$7:$D$1000,3,0)</f>
        <v>62.495436465</v>
      </c>
      <c r="G73" s="483" t="n">
        <f aca="false">F73*E73</f>
        <v>62.495436465</v>
      </c>
      <c r="H73" s="483" t="n">
        <f aca="false">G73*$G$39</f>
        <v>124.99087293</v>
      </c>
    </row>
    <row r="74" customFormat="false" ht="12.8" hidden="false" customHeight="false" outlineLevel="0" collapsed="false">
      <c r="D74" s="0" t="s">
        <v>1578</v>
      </c>
      <c r="E74" s="688" t="n">
        <v>1.2</v>
      </c>
      <c r="F74" s="685" t="n">
        <f aca="false">VLOOKUP(D74,'Рулонки компл. Амиго '!$B$7:$D$1000,3,0)</f>
        <v>404.403892857143</v>
      </c>
      <c r="G74" s="685" t="n">
        <f aca="false">F74*E74</f>
        <v>485.284671428572</v>
      </c>
      <c r="H74" s="685" t="n">
        <f aca="false">G74*$G$39</f>
        <v>970.569342857143</v>
      </c>
      <c r="I74" s="489"/>
      <c r="J74" s="489"/>
    </row>
    <row r="75" customFormat="false" ht="12.8" hidden="false" customHeight="false" outlineLevel="0" collapsed="false">
      <c r="E75" s="666"/>
    </row>
    <row r="76" customFormat="false" ht="12.8" hidden="false" customHeight="false" outlineLevel="0" collapsed="false">
      <c r="A76" s="0" t="str">
        <f aca="false">"Рей - "&amp;B76</f>
        <v>Рей - 9</v>
      </c>
      <c r="B76" s="616" t="n">
        <v>9</v>
      </c>
      <c r="C76" s="0" t="str">
        <f aca="false">D76</f>
        <v>Benthin L, серый металлик</v>
      </c>
      <c r="D76" s="756" t="s">
        <v>1730</v>
      </c>
      <c r="E76" s="666"/>
      <c r="I76" s="665" t="n">
        <f aca="false">SUM(H77)</f>
        <v>124.99087293</v>
      </c>
      <c r="J76" s="679" t="n">
        <f aca="false">SUM(H78)</f>
        <v>1273.82117142857</v>
      </c>
    </row>
    <row r="77" customFormat="false" ht="12.8" hidden="false" customHeight="false" outlineLevel="0" collapsed="false">
      <c r="D77" s="115" t="s">
        <v>1529</v>
      </c>
      <c r="E77" s="666" t="n">
        <v>1</v>
      </c>
      <c r="F77" s="483" t="n">
        <f aca="false">VLOOKUP(D77,'Рулонки компл. Амиго '!$B$7:$D$1000,3,0)</f>
        <v>62.495436465</v>
      </c>
      <c r="G77" s="483" t="n">
        <f aca="false">F77*E77</f>
        <v>62.495436465</v>
      </c>
      <c r="H77" s="483" t="n">
        <f aca="false">G77*$G$39</f>
        <v>124.99087293</v>
      </c>
    </row>
    <row r="78" customFormat="false" ht="12.8" hidden="false" customHeight="false" outlineLevel="0" collapsed="false">
      <c r="D78" s="0" t="s">
        <v>1579</v>
      </c>
      <c r="E78" s="688" t="n">
        <v>1.2</v>
      </c>
      <c r="F78" s="685" t="n">
        <f aca="false">VLOOKUP(D78,'Рулонки компл. Амиго '!$B$7:$D$1000,3,0)</f>
        <v>530.758821428572</v>
      </c>
      <c r="G78" s="685" t="n">
        <f aca="false">F78*E78</f>
        <v>636.910585714286</v>
      </c>
      <c r="H78" s="685" t="n">
        <f aca="false">G78*$G$39</f>
        <v>1273.82117142857</v>
      </c>
      <c r="I78" s="489"/>
      <c r="J78" s="489"/>
    </row>
    <row r="79" customFormat="false" ht="12.8" hidden="false" customHeight="false" outlineLevel="0" collapsed="false">
      <c r="E79" s="666"/>
    </row>
    <row r="80" customFormat="false" ht="12.8" hidden="false" customHeight="false" outlineLevel="0" collapsed="false">
      <c r="A80" s="0" t="str">
        <f aca="false">"Рей - "&amp;B80</f>
        <v>Рей - 10</v>
      </c>
      <c r="B80" s="616" t="n">
        <v>10</v>
      </c>
      <c r="C80" s="0" t="str">
        <f aca="false">D80</f>
        <v>Benthin L, чёрная</v>
      </c>
      <c r="D80" s="756" t="s">
        <v>1731</v>
      </c>
      <c r="E80" s="666"/>
      <c r="I80" s="665" t="n">
        <f aca="false">SUM(H81)</f>
        <v>124.99087293</v>
      </c>
      <c r="J80" s="679" t="n">
        <f aca="false">SUM(H82)</f>
        <v>743.3658</v>
      </c>
    </row>
    <row r="81" customFormat="false" ht="12.8" hidden="false" customHeight="false" outlineLevel="0" collapsed="false">
      <c r="D81" s="115" t="s">
        <v>1529</v>
      </c>
      <c r="E81" s="666" t="n">
        <v>1</v>
      </c>
      <c r="F81" s="483" t="n">
        <f aca="false">VLOOKUP(D81,'Рулонки компл. Амиго '!$B$7:$D$1000,3,0)</f>
        <v>62.495436465</v>
      </c>
      <c r="G81" s="483" t="n">
        <f aca="false">F81*E81</f>
        <v>62.495436465</v>
      </c>
      <c r="H81" s="483" t="n">
        <f aca="false">G81*$G$39</f>
        <v>124.99087293</v>
      </c>
    </row>
    <row r="82" s="489" customFormat="true" ht="12.8" hidden="false" customHeight="false" outlineLevel="0" collapsed="false">
      <c r="B82" s="686"/>
      <c r="D82" s="489" t="s">
        <v>1580</v>
      </c>
      <c r="E82" s="688" t="n">
        <v>1.2</v>
      </c>
      <c r="F82" s="685" t="n">
        <f aca="false">VLOOKUP(D82,'Рулонки компл. Амиго '!$B$7:$D$1000,3,0)</f>
        <v>309.73575</v>
      </c>
      <c r="G82" s="685" t="n">
        <f aca="false">F82*E82</f>
        <v>371.6829</v>
      </c>
      <c r="H82" s="685" t="n">
        <f aca="false">G82*$G$39</f>
        <v>743.3658</v>
      </c>
    </row>
    <row r="83" customFormat="false" ht="12.8" hidden="false" customHeight="false" outlineLevel="0" collapsed="false">
      <c r="E83" s="666"/>
    </row>
    <row r="84" customFormat="false" ht="12.8" hidden="false" customHeight="false" outlineLevel="0" collapsed="false">
      <c r="A84" s="0" t="str">
        <f aca="false">"Рей - "&amp;B84</f>
        <v>Рей - 11</v>
      </c>
      <c r="B84" s="616" t="n">
        <v>11</v>
      </c>
      <c r="C84" s="0" t="str">
        <f aca="false">D84</f>
        <v>Benthin L, чёрный муар</v>
      </c>
      <c r="D84" s="756" t="s">
        <v>1732</v>
      </c>
      <c r="E84" s="666"/>
      <c r="I84" s="665" t="n">
        <f aca="false">SUM(H85)</f>
        <v>124.99087293</v>
      </c>
      <c r="J84" s="679" t="n">
        <f aca="false">SUM(H86)</f>
        <v>1489.6794</v>
      </c>
    </row>
    <row r="85" customFormat="false" ht="12.8" hidden="false" customHeight="false" outlineLevel="0" collapsed="false">
      <c r="D85" s="115" t="s">
        <v>1529</v>
      </c>
      <c r="E85" s="666" t="n">
        <v>1</v>
      </c>
      <c r="F85" s="483" t="n">
        <f aca="false">VLOOKUP(D85,'Рулонки компл. Амиго '!$B$7:$D$1000,3,0)</f>
        <v>62.495436465</v>
      </c>
      <c r="G85" s="483" t="n">
        <f aca="false">F85*E85</f>
        <v>62.495436465</v>
      </c>
      <c r="H85" s="483" t="n">
        <f aca="false">G85*$G$39</f>
        <v>124.99087293</v>
      </c>
    </row>
    <row r="86" s="489" customFormat="true" ht="12.8" hidden="false" customHeight="false" outlineLevel="0" collapsed="false">
      <c r="B86" s="686"/>
      <c r="D86" s="489" t="s">
        <v>1581</v>
      </c>
      <c r="E86" s="688" t="n">
        <v>1.2</v>
      </c>
      <c r="F86" s="685" t="n">
        <f aca="false">VLOOKUP(D86,'Рулонки компл. Амиго '!$B$7:$D$1000,3,0)</f>
        <v>620.69975</v>
      </c>
      <c r="G86" s="685" t="n">
        <f aca="false">F86*E86</f>
        <v>744.8397</v>
      </c>
      <c r="H86" s="685" t="n">
        <f aca="false">G86*$G$39</f>
        <v>1489.6794</v>
      </c>
    </row>
    <row r="87" customFormat="false" ht="12.8" hidden="false" customHeight="false" outlineLevel="0" collapsed="false">
      <c r="E87" s="666"/>
    </row>
    <row r="88" customFormat="false" ht="12.8" hidden="false" customHeight="false" outlineLevel="0" collapsed="false">
      <c r="A88" s="0" t="str">
        <f aca="false">"Рей - "&amp;B88</f>
        <v>Рей - 12</v>
      </c>
      <c r="B88" s="616" t="n">
        <v>12</v>
      </c>
      <c r="C88" s="0" t="str">
        <f aca="false">D88</f>
        <v>Benthin M, белая</v>
      </c>
      <c r="D88" s="756" t="s">
        <v>1733</v>
      </c>
      <c r="E88" s="666"/>
      <c r="I88" s="665" t="n">
        <f aca="false">SUM(H89)</f>
        <v>88.58852541</v>
      </c>
      <c r="J88" s="679" t="n">
        <f aca="false">SUM(H90)</f>
        <v>900.193714285715</v>
      </c>
    </row>
    <row r="89" customFormat="false" ht="12.8" hidden="false" customHeight="false" outlineLevel="0" collapsed="false">
      <c r="D89" s="115" t="s">
        <v>1532</v>
      </c>
      <c r="E89" s="666" t="n">
        <v>1</v>
      </c>
      <c r="F89" s="483" t="n">
        <f aca="false">VLOOKUP(D89,'Рулонки компл. Амиго '!$B$7:$D$1000,3,0)</f>
        <v>44.294262705</v>
      </c>
      <c r="G89" s="483" t="n">
        <f aca="false">F89*E89</f>
        <v>44.294262705</v>
      </c>
      <c r="H89" s="483" t="n">
        <f aca="false">G89*$G$39</f>
        <v>88.58852541</v>
      </c>
    </row>
    <row r="90" customFormat="false" ht="12.8" hidden="false" customHeight="false" outlineLevel="0" collapsed="false">
      <c r="D90" s="0" t="s">
        <v>1582</v>
      </c>
      <c r="E90" s="688" t="n">
        <v>1.2</v>
      </c>
      <c r="F90" s="685" t="n">
        <f aca="false">VLOOKUP(D90,'Рулонки компл. Амиго '!$B$7:$D$1000,3,0)</f>
        <v>375.080714285715</v>
      </c>
      <c r="G90" s="685" t="n">
        <f aca="false">F90*E90</f>
        <v>450.096857142858</v>
      </c>
      <c r="H90" s="685" t="n">
        <f aca="false">G90*$G$39</f>
        <v>900.193714285715</v>
      </c>
      <c r="I90" s="489"/>
      <c r="J90" s="489"/>
    </row>
    <row r="91" customFormat="false" ht="12.8" hidden="false" customHeight="false" outlineLevel="0" collapsed="false">
      <c r="E91" s="666"/>
    </row>
    <row r="92" customFormat="false" ht="12.8" hidden="false" customHeight="false" outlineLevel="0" collapsed="false">
      <c r="A92" s="0" t="str">
        <f aca="false">"Рей - "&amp;B92</f>
        <v>Рей - 13</v>
      </c>
      <c r="B92" s="616" t="n">
        <v>13</v>
      </c>
      <c r="C92" s="0" t="str">
        <f aca="false">D92</f>
        <v>Benthin M, белая для направляющих</v>
      </c>
      <c r="D92" s="756" t="s">
        <v>1743</v>
      </c>
      <c r="E92" s="666"/>
      <c r="I92" s="665" t="n">
        <f aca="false">SUM(H93)</f>
        <v>395.82813039</v>
      </c>
      <c r="J92" s="679" t="n">
        <f aca="false">SUM(H94:H95)</f>
        <v>1174.37733337972</v>
      </c>
    </row>
    <row r="93" customFormat="false" ht="12.8" hidden="false" customHeight="false" outlineLevel="0" collapsed="false">
      <c r="D93" s="0" t="s">
        <v>1531</v>
      </c>
      <c r="E93" s="666" t="n">
        <v>1</v>
      </c>
      <c r="F93" s="483" t="n">
        <f aca="false">VLOOKUP(D93,'Рулонки компл. Амиго '!$B$7:$D$1000,3,0)</f>
        <v>197.914065195</v>
      </c>
      <c r="G93" s="483" t="n">
        <f aca="false">F93*E93</f>
        <v>197.914065195</v>
      </c>
      <c r="H93" s="483" t="n">
        <f aca="false">G93*$G$39</f>
        <v>395.82813039</v>
      </c>
    </row>
    <row r="94" s="489" customFormat="true" ht="12.8" hidden="false" customHeight="false" outlineLevel="0" collapsed="false">
      <c r="B94" s="686"/>
      <c r="D94" s="489" t="s">
        <v>1582</v>
      </c>
      <c r="E94" s="688" t="n">
        <v>1.2</v>
      </c>
      <c r="F94" s="685" t="n">
        <f aca="false">VLOOKUP(D94,'Рулонки компл. Амиго '!$B$7:$D$1000,3,0)</f>
        <v>375.080714285715</v>
      </c>
      <c r="G94" s="685" t="n">
        <f aca="false">F94*E94</f>
        <v>450.096857142858</v>
      </c>
      <c r="H94" s="685" t="n">
        <f aca="false">G94*$G$39</f>
        <v>900.193714285715</v>
      </c>
    </row>
    <row r="95" s="489" customFormat="true" ht="12.8" hidden="false" customHeight="false" outlineLevel="0" collapsed="false">
      <c r="B95" s="686"/>
      <c r="D95" s="489" t="s">
        <v>1606</v>
      </c>
      <c r="E95" s="688" t="n">
        <v>1.2</v>
      </c>
      <c r="F95" s="685" t="n">
        <f aca="false">VLOOKUP(D95,'Рулонки компл. Амиго '!$B$7:$D$1000,3,0)</f>
        <v>114.2431746225</v>
      </c>
      <c r="G95" s="685" t="n">
        <f aca="false">F95*E95</f>
        <v>137.091809547</v>
      </c>
      <c r="H95" s="685" t="n">
        <f aca="false">G95*$G$39</f>
        <v>274.183619094</v>
      </c>
    </row>
    <row r="96" customFormat="false" ht="12.8" hidden="false" customHeight="false" outlineLevel="0" collapsed="false">
      <c r="E96" s="666"/>
    </row>
    <row r="97" customFormat="false" ht="12.8" hidden="false" customHeight="false" outlineLevel="0" collapsed="false">
      <c r="A97" s="0" t="str">
        <f aca="false">"Рей - "&amp;B97</f>
        <v>Рей - 14</v>
      </c>
      <c r="B97" s="616" t="n">
        <v>14</v>
      </c>
      <c r="C97" s="0" t="str">
        <f aca="false">D97</f>
        <v>Benthin M, серый металлик</v>
      </c>
      <c r="D97" s="756" t="s">
        <v>1734</v>
      </c>
      <c r="E97" s="666"/>
      <c r="I97" s="665" t="n">
        <f aca="false">SUM(H98)</f>
        <v>88.58852541</v>
      </c>
      <c r="J97" s="679" t="n">
        <f aca="false">SUM(H99)</f>
        <v>945.2034</v>
      </c>
    </row>
    <row r="98" customFormat="false" ht="12.8" hidden="false" customHeight="false" outlineLevel="0" collapsed="false">
      <c r="D98" s="115" t="s">
        <v>1532</v>
      </c>
      <c r="E98" s="666" t="n">
        <v>1</v>
      </c>
      <c r="F98" s="483" t="n">
        <f aca="false">VLOOKUP(D98,'Рулонки компл. Амиго '!$B$7:$D$1000,3,0)</f>
        <v>44.294262705</v>
      </c>
      <c r="G98" s="483" t="n">
        <f aca="false">F98*E98</f>
        <v>44.294262705</v>
      </c>
      <c r="H98" s="483" t="n">
        <f aca="false">G98*$G$39</f>
        <v>88.58852541</v>
      </c>
    </row>
    <row r="99" customFormat="false" ht="12.8" hidden="false" customHeight="false" outlineLevel="0" collapsed="false">
      <c r="D99" s="0" t="s">
        <v>1583</v>
      </c>
      <c r="E99" s="688" t="n">
        <v>1.2</v>
      </c>
      <c r="F99" s="685" t="n">
        <f aca="false">VLOOKUP(D99,'Рулонки компл. Амиго '!$B$7:$D$1000,3,0)</f>
        <v>393.83475</v>
      </c>
      <c r="G99" s="685" t="n">
        <f aca="false">F99*E99</f>
        <v>472.6017</v>
      </c>
      <c r="H99" s="685" t="n">
        <f aca="false">G99*$G$39</f>
        <v>945.2034</v>
      </c>
      <c r="I99" s="489"/>
      <c r="J99" s="489"/>
    </row>
    <row r="100" customFormat="false" ht="12.8" hidden="false" customHeight="false" outlineLevel="0" collapsed="false">
      <c r="E100" s="666"/>
    </row>
    <row r="101" customFormat="false" ht="12.8" hidden="false" customHeight="false" outlineLevel="0" collapsed="false">
      <c r="A101" s="0" t="str">
        <f aca="false">"Рей - "&amp;B101</f>
        <v>Рей - 15</v>
      </c>
      <c r="B101" s="616" t="n">
        <v>15</v>
      </c>
      <c r="C101" s="0" t="str">
        <f aca="false">D101</f>
        <v>Benthin M, чёрная</v>
      </c>
      <c r="D101" s="482" t="s">
        <v>1735</v>
      </c>
      <c r="E101" s="666"/>
      <c r="I101" s="665" t="n">
        <f aca="false">SUM(H102)</f>
        <v>88.58852541</v>
      </c>
      <c r="J101" s="679" t="n">
        <f aca="false">SUM(H103)</f>
        <v>609.46632</v>
      </c>
    </row>
    <row r="102" customFormat="false" ht="12.8" hidden="false" customHeight="false" outlineLevel="0" collapsed="false">
      <c r="D102" s="115" t="s">
        <v>1532</v>
      </c>
      <c r="E102" s="666" t="n">
        <v>1</v>
      </c>
      <c r="F102" s="483" t="n">
        <f aca="false">VLOOKUP(D102,'Рулонки компл. Амиго '!$B$7:$D$1000,3,0)</f>
        <v>44.294262705</v>
      </c>
      <c r="G102" s="483" t="n">
        <f aca="false">F102*E102</f>
        <v>44.294262705</v>
      </c>
      <c r="H102" s="483" t="n">
        <f aca="false">G102*$G$39</f>
        <v>88.58852541</v>
      </c>
    </row>
    <row r="103" customFormat="false" ht="12.8" hidden="false" customHeight="false" outlineLevel="0" collapsed="false">
      <c r="D103" s="0" t="s">
        <v>1584</v>
      </c>
      <c r="E103" s="688" t="n">
        <v>1.2</v>
      </c>
      <c r="F103" s="685" t="n">
        <f aca="false">VLOOKUP(D103,'Рулонки компл. Амиго '!$B$7:$D$1000,3,0)</f>
        <v>253.9443</v>
      </c>
      <c r="G103" s="685" t="n">
        <f aca="false">F103*E103</f>
        <v>304.73316</v>
      </c>
      <c r="H103" s="685" t="n">
        <f aca="false">G103*$G$39</f>
        <v>609.46632</v>
      </c>
      <c r="I103" s="489"/>
      <c r="J103" s="489"/>
    </row>
    <row r="104" customFormat="false" ht="12.8" hidden="false" customHeight="false" outlineLevel="0" collapsed="false">
      <c r="E104" s="666"/>
    </row>
    <row r="105" customFormat="false" ht="12.8" hidden="false" customHeight="false" outlineLevel="0" collapsed="false">
      <c r="A105" s="0" t="str">
        <f aca="false">"Рей - "&amp;B105</f>
        <v>Рей - 16</v>
      </c>
      <c r="B105" s="616" t="n">
        <v>16</v>
      </c>
      <c r="C105" s="0" t="str">
        <f aca="false">D105</f>
        <v>Benthin M, чёрный муар</v>
      </c>
      <c r="D105" s="482" t="s">
        <v>1736</v>
      </c>
      <c r="E105" s="666"/>
      <c r="I105" s="665" t="n">
        <f aca="false">SUM(H106)</f>
        <v>88.58852541</v>
      </c>
      <c r="J105" s="679" t="n">
        <f aca="false">SUM(H107)</f>
        <v>1072.57808571428</v>
      </c>
    </row>
    <row r="106" customFormat="false" ht="12.8" hidden="false" customHeight="false" outlineLevel="0" collapsed="false">
      <c r="D106" s="115" t="s">
        <v>1532</v>
      </c>
      <c r="E106" s="666" t="n">
        <v>1</v>
      </c>
      <c r="F106" s="483" t="n">
        <f aca="false">VLOOKUP(D106,'Рулонки компл. Амиго '!$B$7:$D$1000,3,0)</f>
        <v>44.294262705</v>
      </c>
      <c r="G106" s="483" t="n">
        <f aca="false">F106*E106</f>
        <v>44.294262705</v>
      </c>
      <c r="H106" s="483" t="n">
        <f aca="false">G106*$G$39</f>
        <v>88.58852541</v>
      </c>
    </row>
    <row r="107" customFormat="false" ht="12.8" hidden="false" customHeight="false" outlineLevel="0" collapsed="false">
      <c r="D107" s="0" t="s">
        <v>1585</v>
      </c>
      <c r="E107" s="688" t="n">
        <v>1.2</v>
      </c>
      <c r="F107" s="685" t="n">
        <f aca="false">VLOOKUP(D107,'Рулонки компл. Амиго '!$B$7:$D$1000,3,0)</f>
        <v>446.907535714285</v>
      </c>
      <c r="G107" s="685" t="n">
        <f aca="false">F107*E107</f>
        <v>536.289042857142</v>
      </c>
      <c r="H107" s="685" t="n">
        <f aca="false">G107*$G$39</f>
        <v>1072.57808571428</v>
      </c>
      <c r="I107" s="489"/>
      <c r="J107" s="489"/>
    </row>
    <row r="108" customFormat="false" ht="12.8" hidden="false" customHeight="false" outlineLevel="0" collapsed="false">
      <c r="E108" s="666"/>
    </row>
    <row r="109" customFormat="false" ht="12.8" hidden="false" customHeight="false" outlineLevel="0" collapsed="false">
      <c r="A109" s="0" t="str">
        <f aca="false">"Рей - "&amp;B109</f>
        <v>Рей - 17</v>
      </c>
      <c r="B109" s="616" t="n">
        <v>17</v>
      </c>
      <c r="C109" s="0" t="str">
        <f aca="false">D109</f>
        <v>Benthin M, некрашен.</v>
      </c>
      <c r="D109" s="482" t="s">
        <v>1737</v>
      </c>
      <c r="E109" s="666"/>
      <c r="I109" s="665" t="n">
        <f aca="false">SUM(H110)</f>
        <v>88.58852541</v>
      </c>
      <c r="J109" s="679" t="n">
        <f aca="false">SUM(H111)</f>
        <v>659.985171428572</v>
      </c>
    </row>
    <row r="110" customFormat="false" ht="12.8" hidden="false" customHeight="false" outlineLevel="0" collapsed="false">
      <c r="D110" s="115" t="s">
        <v>1532</v>
      </c>
      <c r="E110" s="666" t="n">
        <v>1</v>
      </c>
      <c r="F110" s="483" t="n">
        <f aca="false">VLOOKUP(D110,'Рулонки компл. Амиго '!$B$7:$D$1000,3,0)</f>
        <v>44.294262705</v>
      </c>
      <c r="G110" s="483" t="n">
        <f aca="false">F110*E110</f>
        <v>44.294262705</v>
      </c>
      <c r="H110" s="483" t="n">
        <f aca="false">G110*$G$39</f>
        <v>88.58852541</v>
      </c>
    </row>
    <row r="111" customFormat="false" ht="12.8" hidden="false" customHeight="false" outlineLevel="0" collapsed="false">
      <c r="D111" s="0" t="s">
        <v>1586</v>
      </c>
      <c r="E111" s="688" t="n">
        <v>1.2</v>
      </c>
      <c r="F111" s="685" t="n">
        <f aca="false">VLOOKUP(D111,'Рулонки компл. Амиго '!$B$7:$D$1000,3,0)</f>
        <v>274.993821428572</v>
      </c>
      <c r="G111" s="685" t="n">
        <f aca="false">F111*E111</f>
        <v>329.992585714286</v>
      </c>
      <c r="H111" s="685" t="n">
        <f aca="false">G111*$G$39</f>
        <v>659.985171428572</v>
      </c>
      <c r="I111" s="489"/>
      <c r="J111" s="489"/>
    </row>
    <row r="113" customFormat="false" ht="12.8" hidden="false" customHeight="false" outlineLevel="0" collapsed="false">
      <c r="A113" s="0" t="str">
        <f aca="false">"Рей - "&amp;B113</f>
        <v>Рей - 18</v>
      </c>
      <c r="B113" s="616" t="n">
        <v>18</v>
      </c>
      <c r="C113" s="0" t="str">
        <f aca="false">D113</f>
        <v>UNI планка стальная белая</v>
      </c>
      <c r="D113" s="482" t="s">
        <v>1744</v>
      </c>
      <c r="I113" s="665" t="n">
        <f aca="false">SUM(H114)</f>
        <v>8.7856</v>
      </c>
      <c r="J113" s="679" t="n">
        <f aca="false">SUM(H115)</f>
        <v>88.31262</v>
      </c>
    </row>
    <row r="114" customFormat="false" ht="12.8" hidden="false" customHeight="false" outlineLevel="0" collapsed="false">
      <c r="D114" s="115" t="s">
        <v>1348</v>
      </c>
      <c r="E114" s="616" t="n">
        <v>2</v>
      </c>
      <c r="F114" s="483" t="n">
        <f aca="false">VLOOKUP(D114,'Рулонки компл. Амиго '!$B$7:$D$1000,3,0)</f>
        <v>2.1964</v>
      </c>
      <c r="G114" s="483" t="n">
        <f aca="false">F114*E114</f>
        <v>4.3928</v>
      </c>
      <c r="H114" s="483" t="n">
        <f aca="false">G114*$G$39</f>
        <v>8.7856</v>
      </c>
    </row>
    <row r="115" s="489" customFormat="true" ht="12.8" hidden="false" customHeight="false" outlineLevel="0" collapsed="false">
      <c r="B115" s="686"/>
      <c r="D115" s="490" t="s">
        <v>1261</v>
      </c>
      <c r="E115" s="686" t="n">
        <v>1.2</v>
      </c>
      <c r="F115" s="685" t="n">
        <f aca="false">VLOOKUP(D115,'Рулонки компл. Амиго '!$B$7:$D$1000,3,0)</f>
        <v>36.796925</v>
      </c>
      <c r="G115" s="685" t="n">
        <f aca="false">F115*E115</f>
        <v>44.15631</v>
      </c>
      <c r="H115" s="685" t="n">
        <f aca="false">G115*$G$39</f>
        <v>88.31262</v>
      </c>
    </row>
    <row r="116" s="489" customFormat="true" ht="12.8" hidden="false" customHeight="false" outlineLevel="0" collapsed="false">
      <c r="B116" s="686"/>
      <c r="D116" s="490" t="s">
        <v>1249</v>
      </c>
      <c r="E116" s="686" t="n">
        <v>1.2</v>
      </c>
      <c r="F116" s="685" t="n">
        <f aca="false">VLOOKUP(D116,'Рулонки компл. Амиго '!$B$7:$D$1000,3,0)</f>
        <v>83.21755</v>
      </c>
      <c r="G116" s="685" t="n">
        <f aca="false">F116*E116</f>
        <v>99.86106</v>
      </c>
      <c r="H116" s="685" t="n">
        <f aca="false">G116*$G$39</f>
        <v>199.72212</v>
      </c>
    </row>
    <row r="122" customFormat="false" ht="35.5" hidden="false" customHeight="false" outlineLevel="0" collapsed="false">
      <c r="D122" s="754" t="s">
        <v>1745</v>
      </c>
      <c r="E122" s="674" t="s">
        <v>101</v>
      </c>
      <c r="J122" s="625" t="s">
        <v>526</v>
      </c>
      <c r="K122" s="672" t="s">
        <v>527</v>
      </c>
    </row>
    <row r="124" customFormat="false" ht="12.8" hidden="false" customHeight="false" outlineLevel="0" collapsed="false">
      <c r="A124" s="0" t="str">
        <f aca="false">"Напр - "&amp;B124</f>
        <v>Напр - 1</v>
      </c>
      <c r="B124" s="616" t="n">
        <v>1</v>
      </c>
      <c r="C124" s="0" t="str">
        <f aca="false">D124</f>
        <v>Направляющие LVT</v>
      </c>
      <c r="D124" s="482" t="s">
        <v>1746</v>
      </c>
      <c r="I124" s="665" t="n">
        <f aca="false">SUM(H125:H128)</f>
        <v>545.35745</v>
      </c>
      <c r="J124" s="679"/>
      <c r="K124" s="706" t="n">
        <f aca="false">SUM(H129:H130)</f>
        <v>4086.337859352</v>
      </c>
    </row>
    <row r="125" customFormat="false" ht="12.8" hidden="false" customHeight="false" outlineLevel="0" collapsed="false">
      <c r="D125" s="115" t="s">
        <v>1222</v>
      </c>
      <c r="E125" s="616" t="n">
        <v>1</v>
      </c>
      <c r="F125" s="483" t="n">
        <f aca="false">VLOOKUP(D125,'Рулонки компл. Амиго '!$B$7:$D$1000,3,0)</f>
        <v>61.130725</v>
      </c>
      <c r="G125" s="483" t="n">
        <f aca="false">F125*E125</f>
        <v>61.130725</v>
      </c>
      <c r="H125" s="483" t="n">
        <f aca="false">G125*$G$39</f>
        <v>122.26145</v>
      </c>
    </row>
    <row r="126" customFormat="false" ht="12.8" hidden="false" customHeight="false" outlineLevel="0" collapsed="false">
      <c r="D126" s="0" t="s">
        <v>1199</v>
      </c>
      <c r="E126" s="616" t="n">
        <v>6</v>
      </c>
      <c r="F126" s="483" t="n">
        <f aca="false">VLOOKUP(D126,'Рулонки компл. Амиго '!$B$7:$D$1000,3,0)</f>
        <v>11.148175</v>
      </c>
      <c r="G126" s="483" t="n">
        <f aca="false">F126*E126</f>
        <v>66.88905</v>
      </c>
      <c r="H126" s="483" t="n">
        <f aca="false">G126*$G$39</f>
        <v>133.7781</v>
      </c>
    </row>
    <row r="127" customFormat="false" ht="12.8" hidden="false" customHeight="false" outlineLevel="0" collapsed="false">
      <c r="D127" s="0" t="s">
        <v>1209</v>
      </c>
      <c r="E127" s="616" t="n">
        <v>2</v>
      </c>
      <c r="F127" s="483" t="n">
        <f aca="false">VLOOKUP(D127,'Рулонки компл. Амиго '!$B$7:$D$1000,3,0)</f>
        <v>36.25505</v>
      </c>
      <c r="G127" s="483" t="n">
        <f aca="false">F127*E127</f>
        <v>72.5101</v>
      </c>
      <c r="H127" s="483" t="n">
        <f aca="false">G127*$G$39</f>
        <v>145.0202</v>
      </c>
    </row>
    <row r="128" customFormat="false" ht="12.8" hidden="false" customHeight="false" outlineLevel="0" collapsed="false">
      <c r="D128" s="0" t="s">
        <v>1202</v>
      </c>
      <c r="E128" s="616" t="n">
        <v>2</v>
      </c>
      <c r="F128" s="483" t="n">
        <f aca="false">VLOOKUP(D128,'Рулонки компл. Амиго '!$B$7:$D$1000,3,0)</f>
        <v>36.074425</v>
      </c>
      <c r="G128" s="483" t="n">
        <f aca="false">F128*E128</f>
        <v>72.14885</v>
      </c>
      <c r="H128" s="483" t="n">
        <f aca="false">G128*$G$39</f>
        <v>144.2977</v>
      </c>
    </row>
    <row r="129" s="709" customFormat="true" ht="12.8" hidden="false" customHeight="false" outlineLevel="0" collapsed="false">
      <c r="B129" s="715"/>
      <c r="D129" s="742" t="s">
        <v>1213</v>
      </c>
      <c r="E129" s="715" t="n">
        <v>2.4</v>
      </c>
      <c r="F129" s="714" t="n">
        <f aca="false">VLOOKUP(D129,'Рулонки компл. Амиго '!$B$7:$D$1000,3,0)</f>
        <v>764.79515</v>
      </c>
      <c r="G129" s="714" t="n">
        <f aca="false">F129*E129</f>
        <v>1835.50836</v>
      </c>
      <c r="H129" s="714" t="n">
        <f aca="false">G129*$G$39</f>
        <v>3671.01672</v>
      </c>
    </row>
    <row r="130" s="709" customFormat="true" ht="12.8" hidden="false" customHeight="false" outlineLevel="0" collapsed="false">
      <c r="B130" s="715"/>
      <c r="D130" s="709" t="s">
        <v>1226</v>
      </c>
      <c r="E130" s="715" t="n">
        <v>4.8</v>
      </c>
      <c r="F130" s="714" t="n">
        <f aca="false">VLOOKUP(D130,'Рулонки компл. Амиго '!$B$7:$D$1000,3,0)</f>
        <v>43.2626186825</v>
      </c>
      <c r="G130" s="714" t="n">
        <f aca="false">F130*E130</f>
        <v>207.660569676</v>
      </c>
      <c r="H130" s="714" t="n">
        <f aca="false">G130*$G$39</f>
        <v>415.321139352</v>
      </c>
    </row>
    <row r="132" customFormat="false" ht="12.8" hidden="false" customHeight="false" outlineLevel="0" collapsed="false">
      <c r="A132" s="0" t="str">
        <f aca="false">"Напр - "&amp;B132</f>
        <v>Напр - 2</v>
      </c>
      <c r="B132" s="616" t="n">
        <v>2</v>
      </c>
      <c r="C132" s="0" t="str">
        <f aca="false">D132</f>
        <v>Направляющие Бентин L</v>
      </c>
      <c r="D132" s="482" t="s">
        <v>1747</v>
      </c>
      <c r="I132" s="665" t="n">
        <f aca="false">SUM(H133:H136)</f>
        <v>1751.317887165</v>
      </c>
      <c r="J132" s="679"/>
      <c r="K132" s="706" t="n">
        <f aca="false">SUM(H137:H138)</f>
        <v>6705.04351338174</v>
      </c>
    </row>
    <row r="133" customFormat="false" ht="12.8" hidden="false" customHeight="false" outlineLevel="0" collapsed="false">
      <c r="D133" s="0" t="s">
        <v>1474</v>
      </c>
      <c r="E133" s="616" t="n">
        <v>2</v>
      </c>
      <c r="F133" s="483" t="n">
        <f aca="false">VLOOKUP(D133,'Рулонки компл. Амиго '!$B$7:$D$1000,3,0)</f>
        <v>48.63126114</v>
      </c>
      <c r="G133" s="483" t="n">
        <f aca="false">F133*E133</f>
        <v>97.26252228</v>
      </c>
      <c r="H133" s="483" t="n">
        <f aca="false">G133*$G$39</f>
        <v>194.52504456</v>
      </c>
    </row>
    <row r="134" customFormat="false" ht="12.8" hidden="false" customHeight="false" outlineLevel="0" collapsed="false">
      <c r="D134" s="0" t="s">
        <v>1592</v>
      </c>
      <c r="E134" s="616" t="n">
        <v>1</v>
      </c>
      <c r="F134" s="483" t="n">
        <f aca="false">VLOOKUP(D134,'Рулонки компл. Амиго '!$B$7:$D$1000,3,0)</f>
        <v>174.973002435</v>
      </c>
      <c r="G134" s="483" t="n">
        <f aca="false">F134*E134</f>
        <v>174.973002435</v>
      </c>
      <c r="H134" s="483" t="n">
        <f aca="false">G134*$G$39</f>
        <v>349.94600487</v>
      </c>
    </row>
    <row r="135" customFormat="false" ht="12.8" hidden="false" customHeight="false" outlineLevel="0" collapsed="false">
      <c r="D135" s="115" t="s">
        <v>1594</v>
      </c>
      <c r="E135" s="616" t="n">
        <v>2</v>
      </c>
      <c r="F135" s="483" t="n">
        <f aca="false">VLOOKUP(D135,'Рулонки компл. Амиго '!$B$7:$D$1000,3,0)</f>
        <v>194.66724123</v>
      </c>
      <c r="G135" s="483" t="n">
        <f aca="false">F135*E135</f>
        <v>389.33448246</v>
      </c>
      <c r="H135" s="483" t="n">
        <f aca="false">G135*$G$39</f>
        <v>778.66896492</v>
      </c>
    </row>
    <row r="136" customFormat="false" ht="12.8" hidden="false" customHeight="false" outlineLevel="0" collapsed="false">
      <c r="D136" s="0" t="s">
        <v>1476</v>
      </c>
      <c r="E136" s="616" t="n">
        <v>1</v>
      </c>
      <c r="F136" s="483" t="n">
        <f aca="false">VLOOKUP(D136,'Рулонки компл. Амиго '!$B$7:$D$1000,3,0)</f>
        <v>214.0889364075</v>
      </c>
      <c r="G136" s="483" t="n">
        <f aca="false">F136*E136</f>
        <v>214.0889364075</v>
      </c>
      <c r="H136" s="483" t="n">
        <f aca="false">G136*$G$39</f>
        <v>428.177872815</v>
      </c>
    </row>
    <row r="137" s="709" customFormat="true" ht="12.8" hidden="false" customHeight="false" outlineLevel="0" collapsed="false">
      <c r="B137" s="715"/>
      <c r="D137" s="709" t="s">
        <v>1541</v>
      </c>
      <c r="E137" s="715" t="n">
        <v>2.4</v>
      </c>
      <c r="F137" s="714" t="n">
        <f aca="false">VLOOKUP(D137,'Рулонки компл. Амиго '!$B$7:$D$1000,3,0)</f>
        <v>1144.22428214286</v>
      </c>
      <c r="G137" s="714" t="n">
        <f aca="false">F137*E137</f>
        <v>2746.13827714287</v>
      </c>
      <c r="H137" s="714" t="n">
        <f aca="false">G137*$G$39</f>
        <v>5492.27655428574</v>
      </c>
    </row>
    <row r="138" s="709" customFormat="true" ht="12.8" hidden="false" customHeight="false" outlineLevel="0" collapsed="false">
      <c r="B138" s="715"/>
      <c r="D138" s="742" t="s">
        <v>1605</v>
      </c>
      <c r="E138" s="715" t="n">
        <v>4.8</v>
      </c>
      <c r="F138" s="714" t="n">
        <f aca="false">VLOOKUP(D138,'Рулонки компл. Амиго '!$B$7:$D$1000,3,0)</f>
        <v>126.3298915725</v>
      </c>
      <c r="G138" s="714" t="n">
        <f aca="false">F138*E138</f>
        <v>606.383479548</v>
      </c>
      <c r="H138" s="714" t="n">
        <f aca="false">G138*$G$39</f>
        <v>1212.766959096</v>
      </c>
    </row>
    <row r="139" customFormat="false" ht="12.8" hidden="false" customHeight="false" outlineLevel="0" collapsed="false">
      <c r="E139" s="616"/>
    </row>
    <row r="140" customFormat="false" ht="12.8" hidden="false" customHeight="false" outlineLevel="0" collapsed="false">
      <c r="E140" s="616"/>
    </row>
    <row r="141" customFormat="false" ht="12.8" hidden="false" customHeight="false" outlineLevel="0" collapsed="false">
      <c r="A141" s="0" t="str">
        <f aca="false">"Напр - "&amp;B141</f>
        <v>Напр - 3</v>
      </c>
      <c r="B141" s="616" t="n">
        <v>3</v>
      </c>
      <c r="C141" s="0" t="str">
        <f aca="false">D141</f>
        <v>Направляющие Бентин M</v>
      </c>
      <c r="D141" s="482" t="s">
        <v>1748</v>
      </c>
      <c r="E141" s="616"/>
      <c r="I141" s="665" t="n">
        <f aca="false">SUM(H142:H145)</f>
        <v>1291.927845285</v>
      </c>
      <c r="J141" s="679"/>
      <c r="K141" s="706" t="n">
        <f aca="false">SUM(H146:H147)</f>
        <v>4850.12426195314</v>
      </c>
    </row>
    <row r="142" customFormat="false" ht="12.8" hidden="false" customHeight="false" outlineLevel="0" collapsed="false">
      <c r="D142" s="0" t="s">
        <v>1475</v>
      </c>
      <c r="E142" s="616" t="n">
        <v>1</v>
      </c>
      <c r="F142" s="483" t="n">
        <f aca="false">VLOOKUP(D142,'Рулонки компл. Амиго '!$B$7:$D$1000,3,0)</f>
        <v>79.06134852</v>
      </c>
      <c r="G142" s="483" t="n">
        <f aca="false">F142*E142</f>
        <v>79.06134852</v>
      </c>
      <c r="H142" s="483" t="n">
        <f aca="false">G142*$G$39</f>
        <v>158.12269704</v>
      </c>
    </row>
    <row r="143" customFormat="false" ht="12.8" hidden="false" customHeight="false" outlineLevel="0" collapsed="false">
      <c r="D143" s="0" t="s">
        <v>1557</v>
      </c>
      <c r="E143" s="616" t="n">
        <v>2</v>
      </c>
      <c r="F143" s="483" t="n">
        <f aca="false">VLOOKUP(D143,'Рулонки компл. Амиго '!$B$7:$D$1000,3,0)</f>
        <v>49.318545045</v>
      </c>
      <c r="G143" s="483" t="n">
        <f aca="false">F143*E143</f>
        <v>98.63709009</v>
      </c>
      <c r="H143" s="483" t="n">
        <f aca="false">G143*$G$39</f>
        <v>197.27418018</v>
      </c>
    </row>
    <row r="144" customFormat="false" ht="12.8" hidden="false" customHeight="false" outlineLevel="0" collapsed="false">
      <c r="D144" s="115" t="s">
        <v>1594</v>
      </c>
      <c r="E144" s="616" t="n">
        <v>2</v>
      </c>
      <c r="F144" s="483" t="n">
        <f aca="false">VLOOKUP(D144,'Рулонки компл. Амиго '!$B$7:$D$1000,3,0)</f>
        <v>194.66724123</v>
      </c>
      <c r="G144" s="483" t="n">
        <f aca="false">F144*E144</f>
        <v>389.33448246</v>
      </c>
      <c r="H144" s="483" t="n">
        <f aca="false">G144*$G$39</f>
        <v>778.66896492</v>
      </c>
    </row>
    <row r="145" customFormat="false" ht="12.8" hidden="false" customHeight="false" outlineLevel="0" collapsed="false">
      <c r="D145" s="0" t="s">
        <v>1593</v>
      </c>
      <c r="E145" s="616" t="n">
        <v>1</v>
      </c>
      <c r="F145" s="483" t="n">
        <f aca="false">VLOOKUP(D145,'Рулонки компл. Амиго '!$B$7:$D$1000,3,0)</f>
        <v>78.9310015725</v>
      </c>
      <c r="G145" s="483" t="n">
        <f aca="false">F145*E145</f>
        <v>78.9310015725</v>
      </c>
      <c r="H145" s="483" t="n">
        <f aca="false">G145*$G$39</f>
        <v>157.862003145</v>
      </c>
    </row>
    <row r="146" s="709" customFormat="true" ht="12.8" hidden="false" customHeight="false" outlineLevel="0" collapsed="false">
      <c r="B146" s="715"/>
      <c r="D146" s="709" t="s">
        <v>1542</v>
      </c>
      <c r="E146" s="715" t="n">
        <v>2.4</v>
      </c>
      <c r="F146" s="714" t="n">
        <f aca="false">VLOOKUP(D146,'Рулонки компл. Амиго '!$B$7:$D$1000,3,0)</f>
        <v>757.782771428572</v>
      </c>
      <c r="G146" s="714" t="n">
        <f aca="false">F146*E146</f>
        <v>1818.67865142857</v>
      </c>
      <c r="H146" s="714" t="n">
        <f aca="false">G146*$G$39</f>
        <v>3637.35730285714</v>
      </c>
    </row>
    <row r="147" s="709" customFormat="true" ht="12.8" hidden="false" customHeight="false" outlineLevel="0" collapsed="false">
      <c r="B147" s="715"/>
      <c r="D147" s="742" t="s">
        <v>1605</v>
      </c>
      <c r="E147" s="715" t="n">
        <v>4.8</v>
      </c>
      <c r="F147" s="714" t="n">
        <f aca="false">VLOOKUP(D147,'Рулонки компл. Амиго '!$B$7:$D$1000,3,0)</f>
        <v>126.3298915725</v>
      </c>
      <c r="G147" s="714" t="n">
        <f aca="false">F147*E147</f>
        <v>606.383479548</v>
      </c>
      <c r="H147" s="714" t="n">
        <f aca="false">G147*$G$39</f>
        <v>1212.766959096</v>
      </c>
    </row>
    <row r="150" customFormat="false" ht="12.8" hidden="false" customHeight="false" outlineLevel="0" collapsed="false">
      <c r="E150" s="616"/>
    </row>
    <row r="170" customFormat="false" ht="12.8" hidden="false" customHeight="false" outlineLevel="0" collapsed="false">
      <c r="D170" s="1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57" width="33.34"/>
    <col collapsed="false" customWidth="true" hidden="false" outlineLevel="0" max="2" min="2" style="758" width="14.11"/>
    <col collapsed="false" customWidth="true" hidden="false" outlineLevel="0" max="3" min="3" style="759" width="13.95"/>
    <col collapsed="false" customWidth="true" hidden="false" outlineLevel="0" max="4" min="4" style="760" width="15.51"/>
    <col collapsed="false" customWidth="false" hidden="false" outlineLevel="0" max="5" min="5" style="761" width="11.48"/>
    <col collapsed="false" customWidth="true" hidden="false" outlineLevel="0" max="6" min="6" style="757" width="25.96"/>
    <col collapsed="false" customWidth="true" hidden="false" outlineLevel="0" max="7" min="7" style="757" width="13.97"/>
    <col collapsed="false" customWidth="true" hidden="false" outlineLevel="0" max="8" min="8" style="761" width="13.97"/>
    <col collapsed="false" customWidth="false" hidden="false" outlineLevel="0" max="10" min="9" style="761" width="11.48"/>
    <col collapsed="false" customWidth="true" hidden="false" outlineLevel="0" max="11" min="11" style="761" width="13.03"/>
    <col collapsed="false" customWidth="true" hidden="false" outlineLevel="0" max="12" min="12" style="761" width="22.66"/>
    <col collapsed="false" customWidth="false" hidden="false" outlineLevel="0" max="13" min="13" style="761" width="11.48"/>
    <col collapsed="false" customWidth="true" hidden="false" outlineLevel="0" max="14" min="14" style="761" width="12.75"/>
    <col collapsed="false" customWidth="false" hidden="false" outlineLevel="0" max="15" min="15" style="761" width="11.48"/>
    <col collapsed="false" customWidth="true" hidden="false" outlineLevel="0" max="16" min="16" style="761" width="19.19"/>
    <col collapsed="false" customWidth="false" hidden="false" outlineLevel="0" max="64" min="17" style="761" width="11.48"/>
  </cols>
  <sheetData>
    <row r="1" customFormat="false" ht="12.8" hidden="false" customHeight="true" outlineLevel="0" collapsed="false">
      <c r="A1" s="762"/>
      <c r="B1" s="4" t="s">
        <v>0</v>
      </c>
      <c r="C1" s="5" t="s">
        <v>1</v>
      </c>
      <c r="D1" s="6" t="s">
        <v>2</v>
      </c>
      <c r="E1" s="0"/>
      <c r="F1" s="763"/>
      <c r="G1" s="763"/>
    </row>
    <row r="2" customFormat="false" ht="12.8" hidden="false" customHeight="true" outlineLevel="0" collapsed="false">
      <c r="A2" s="762"/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  <c r="E2" s="0"/>
      <c r="F2" s="763"/>
      <c r="G2" s="763"/>
    </row>
    <row r="3" customFormat="false" ht="12.8" hidden="false" customHeight="true" outlineLevel="0" collapsed="false">
      <c r="A3" s="764"/>
      <c r="B3" s="765"/>
      <c r="C3" s="766"/>
      <c r="D3" s="766"/>
      <c r="E3" s="767"/>
      <c r="F3" s="763"/>
      <c r="G3" s="763"/>
    </row>
    <row r="4" customFormat="false" ht="37.95" hidden="false" customHeight="true" outlineLevel="0" collapsed="false">
      <c r="A4" s="764" t="s">
        <v>1749</v>
      </c>
      <c r="B4" s="765" t="s">
        <v>1750</v>
      </c>
      <c r="C4" s="766" t="s">
        <v>1751</v>
      </c>
      <c r="D4" s="766" t="s">
        <v>1752</v>
      </c>
      <c r="E4" s="767"/>
      <c r="F4" s="763" t="s">
        <v>1753</v>
      </c>
      <c r="G4" s="763"/>
    </row>
    <row r="5" customFormat="false" ht="12.8" hidden="false" customHeight="true" outlineLevel="0" collapsed="false">
      <c r="A5" s="768" t="s">
        <v>1754</v>
      </c>
      <c r="B5" s="769" t="n">
        <v>26.9476</v>
      </c>
      <c r="C5" s="770" t="n">
        <v>2.4</v>
      </c>
      <c r="D5" s="771" t="s">
        <v>1755</v>
      </c>
      <c r="E5" s="772"/>
      <c r="F5" s="768" t="str">
        <f aca="false">A5</f>
        <v>АВЕНСИС</v>
      </c>
      <c r="G5" s="768"/>
      <c r="H5" s="761" t="s">
        <v>1756</v>
      </c>
      <c r="J5" s="773" t="s">
        <v>1757</v>
      </c>
      <c r="K5" s="773"/>
      <c r="N5" s="774" t="s">
        <v>1758</v>
      </c>
      <c r="O5" s="774"/>
    </row>
    <row r="6" customFormat="false" ht="12.8" hidden="false" customHeight="true" outlineLevel="0" collapsed="false">
      <c r="A6" s="768" t="s">
        <v>1759</v>
      </c>
      <c r="B6" s="769" t="n">
        <v>11.088</v>
      </c>
      <c r="C6" s="770" t="n">
        <v>2.2</v>
      </c>
      <c r="D6" s="771" t="s">
        <v>1755</v>
      </c>
      <c r="E6" s="772"/>
      <c r="F6" s="768" t="str">
        <f aca="false">A6</f>
        <v>АЖУР </v>
      </c>
      <c r="G6" s="768"/>
      <c r="H6" s="775" t="s">
        <v>1760</v>
      </c>
      <c r="I6" s="776" t="n">
        <f aca="false">ROUNDUP(4.08*'ШАБЛОН РАСЧЁТА'!$B$2*2,0)</f>
        <v>694</v>
      </c>
      <c r="J6" s="761" t="n">
        <v>1</v>
      </c>
      <c r="N6" s="777" t="s">
        <v>1761</v>
      </c>
      <c r="O6" s="777"/>
    </row>
    <row r="7" customFormat="false" ht="12.8" hidden="false" customHeight="true" outlineLevel="0" collapsed="false">
      <c r="A7" s="768" t="s">
        <v>1762</v>
      </c>
      <c r="B7" s="769" t="n">
        <v>36.8788</v>
      </c>
      <c r="C7" s="770" t="n">
        <v>2.4</v>
      </c>
      <c r="D7" s="771" t="s">
        <v>1755</v>
      </c>
      <c r="E7" s="772"/>
      <c r="F7" s="768" t="str">
        <f aca="false">A7</f>
        <v>АКВАРЕЛЬ</v>
      </c>
      <c r="G7" s="768"/>
      <c r="H7" s="775" t="s">
        <v>1763</v>
      </c>
      <c r="I7" s="776" t="n">
        <f aca="false">M10</f>
        <v>729</v>
      </c>
      <c r="J7" s="761" t="n">
        <v>0</v>
      </c>
      <c r="L7" s="761" t="s">
        <v>1764</v>
      </c>
      <c r="M7" s="761" t="n">
        <f aca="false">288.5*2</f>
        <v>577</v>
      </c>
      <c r="N7" s="777" t="s">
        <v>1758</v>
      </c>
      <c r="O7" s="777"/>
    </row>
    <row r="8" customFormat="false" ht="12.8" hidden="false" customHeight="true" outlineLevel="0" collapsed="false">
      <c r="A8" s="768" t="s">
        <v>1765</v>
      </c>
      <c r="B8" s="769" t="n">
        <v>25.158</v>
      </c>
      <c r="C8" s="770" t="n">
        <v>2.5</v>
      </c>
      <c r="D8" s="778" t="s">
        <v>1755</v>
      </c>
      <c r="E8" s="772"/>
      <c r="F8" s="768" t="str">
        <f aca="false">A8</f>
        <v>АЛЛЕЯ</v>
      </c>
      <c r="G8" s="768"/>
      <c r="H8" s="779" t="s">
        <v>1766</v>
      </c>
      <c r="I8" s="500" t="n">
        <f aca="false">2*0.6163*'данные по моторизации'!$B$2</f>
        <v>104.771</v>
      </c>
      <c r="J8" s="0"/>
      <c r="L8" s="761" t="s">
        <v>1767</v>
      </c>
      <c r="M8" s="761" t="n">
        <f aca="false">45.34*2</f>
        <v>90.68</v>
      </c>
      <c r="N8" s="780" t="s">
        <v>1768</v>
      </c>
      <c r="O8" s="780"/>
    </row>
    <row r="9" customFormat="false" ht="12.8" hidden="false" customHeight="true" outlineLevel="0" collapsed="false">
      <c r="A9" s="768" t="s">
        <v>1769</v>
      </c>
      <c r="B9" s="769" t="n">
        <v>13.4684</v>
      </c>
      <c r="C9" s="770" t="n">
        <v>2.4</v>
      </c>
      <c r="D9" s="778" t="s">
        <v>1755</v>
      </c>
      <c r="E9" s="772"/>
      <c r="F9" s="768" t="str">
        <f aca="false">A9</f>
        <v>АЛЬМЕРИЯ</v>
      </c>
      <c r="G9" s="768"/>
      <c r="H9" s="761" t="s">
        <v>69</v>
      </c>
      <c r="J9" s="761" t="n">
        <v>1000</v>
      </c>
      <c r="L9" s="761" t="s">
        <v>1770</v>
      </c>
      <c r="M9" s="761" t="n">
        <f aca="false">30.22*2</f>
        <v>60.44</v>
      </c>
      <c r="N9" s="780" t="s">
        <v>1761</v>
      </c>
      <c r="O9" s="780"/>
    </row>
    <row r="10" customFormat="false" ht="12.8" hidden="false" customHeight="true" outlineLevel="0" collapsed="false">
      <c r="A10" s="768" t="s">
        <v>1771</v>
      </c>
      <c r="B10" s="769" t="n">
        <v>5.998</v>
      </c>
      <c r="C10" s="770" t="n">
        <v>2</v>
      </c>
      <c r="D10" s="781" t="s">
        <v>1772</v>
      </c>
      <c r="E10" s="772"/>
      <c r="F10" s="768" t="str">
        <f aca="false">A10</f>
        <v>АЛЬФА 200 см</v>
      </c>
      <c r="G10" s="768"/>
      <c r="H10" s="0" t="s">
        <v>89</v>
      </c>
      <c r="I10" s="0"/>
      <c r="J10" s="0" t="n">
        <v>1000</v>
      </c>
      <c r="L10" s="761" t="s">
        <v>1773</v>
      </c>
      <c r="M10" s="761" t="n">
        <f aca="false">ROUNDUP(SUM(M7:M9),0)</f>
        <v>729</v>
      </c>
      <c r="N10" s="780" t="s">
        <v>1761</v>
      </c>
      <c r="O10" s="780"/>
    </row>
    <row r="11" customFormat="false" ht="12.8" hidden="false" customHeight="true" outlineLevel="0" collapsed="false">
      <c r="A11" s="768" t="s">
        <v>1774</v>
      </c>
      <c r="B11" s="769" t="n">
        <v>5.4794</v>
      </c>
      <c r="C11" s="770" t="n">
        <v>2</v>
      </c>
      <c r="D11" s="781" t="s">
        <v>1772</v>
      </c>
      <c r="E11" s="772"/>
      <c r="F11" s="768" t="str">
        <f aca="false">A11</f>
        <v>АЛЬФА 200 см(белый,бежевый,серый)</v>
      </c>
      <c r="G11" s="768"/>
      <c r="N11" s="780" t="s">
        <v>1761</v>
      </c>
      <c r="O11" s="780"/>
    </row>
    <row r="12" customFormat="false" ht="12.8" hidden="false" customHeight="true" outlineLevel="0" collapsed="false">
      <c r="A12" s="768" t="s">
        <v>1775</v>
      </c>
      <c r="B12" s="769" t="n">
        <v>7.3346</v>
      </c>
      <c r="C12" s="770" t="n">
        <v>2.5</v>
      </c>
      <c r="D12" s="781" t="s">
        <v>1772</v>
      </c>
      <c r="E12" s="772"/>
      <c r="F12" s="768" t="str">
        <f aca="false">A12</f>
        <v>АЛЬФА 250 см</v>
      </c>
      <c r="G12" s="768"/>
      <c r="H12" s="761" t="s">
        <v>1776</v>
      </c>
      <c r="N12" s="780" t="s">
        <v>1768</v>
      </c>
      <c r="O12" s="780"/>
    </row>
    <row r="13" customFormat="false" ht="12.8" hidden="false" customHeight="true" outlineLevel="0" collapsed="false">
      <c r="A13" s="768" t="s">
        <v>1777</v>
      </c>
      <c r="B13" s="769" t="n">
        <v>6.8603</v>
      </c>
      <c r="C13" s="770" t="n">
        <v>2.7</v>
      </c>
      <c r="D13" s="781" t="s">
        <v>1772</v>
      </c>
      <c r="E13" s="772"/>
      <c r="F13" s="768" t="str">
        <f aca="false">A13</f>
        <v>АЛЬФА 270 см ЛАЙТ (белый)</v>
      </c>
      <c r="G13" s="768"/>
      <c r="H13" s="761" t="s">
        <v>61</v>
      </c>
      <c r="N13" s="780" t="s">
        <v>1768</v>
      </c>
      <c r="O13" s="780"/>
    </row>
    <row r="14" customFormat="false" ht="12.8" hidden="false" customHeight="true" outlineLevel="0" collapsed="false">
      <c r="A14" s="768" t="s">
        <v>1778</v>
      </c>
      <c r="B14" s="769" t="n">
        <v>15.4113</v>
      </c>
      <c r="C14" s="770" t="n">
        <v>2.5</v>
      </c>
      <c r="D14" s="778" t="s">
        <v>1772</v>
      </c>
      <c r="E14" s="772"/>
      <c r="F14" s="768" t="str">
        <f aca="false">A14</f>
        <v>АЛЬФА ALU б/о 250см</v>
      </c>
      <c r="G14" s="768"/>
      <c r="H14" s="761" t="s">
        <v>1779</v>
      </c>
      <c r="N14" s="780" t="s">
        <v>1761</v>
      </c>
      <c r="O14" s="780"/>
    </row>
    <row r="15" customFormat="false" ht="12.8" hidden="false" customHeight="true" outlineLevel="0" collapsed="false">
      <c r="A15" s="768" t="s">
        <v>1780</v>
      </c>
      <c r="B15" s="769" t="n">
        <v>12.329</v>
      </c>
      <c r="C15" s="770" t="n">
        <v>2</v>
      </c>
      <c r="D15" s="778" t="s">
        <v>1772</v>
      </c>
      <c r="E15" s="772"/>
      <c r="F15" s="768" t="str">
        <f aca="false">A15</f>
        <v>АЛЬФА ALU б/о 200см</v>
      </c>
      <c r="G15" s="768"/>
      <c r="N15" s="780" t="s">
        <v>1758</v>
      </c>
      <c r="O15" s="780"/>
    </row>
    <row r="16" customFormat="false" ht="12.8" hidden="false" customHeight="true" outlineLevel="0" collapsed="false">
      <c r="A16" s="768" t="s">
        <v>1781</v>
      </c>
      <c r="B16" s="769" t="n">
        <v>21.577</v>
      </c>
      <c r="C16" s="770" t="n">
        <v>2.5</v>
      </c>
      <c r="D16" s="778" t="s">
        <v>1772</v>
      </c>
      <c r="E16" s="772"/>
      <c r="F16" s="768" t="str">
        <f aca="false">A16</f>
        <v>АЛЬФА б/о</v>
      </c>
      <c r="G16" s="768"/>
      <c r="N16" s="780" t="s">
        <v>1761</v>
      </c>
      <c r="O16" s="780"/>
    </row>
    <row r="17" customFormat="false" ht="12.8" hidden="false" customHeight="true" outlineLevel="0" collapsed="false">
      <c r="A17" s="768" t="s">
        <v>1782</v>
      </c>
      <c r="B17" s="769" t="n">
        <v>9.7676</v>
      </c>
      <c r="C17" s="770" t="n">
        <v>2</v>
      </c>
      <c r="D17" s="778" t="s">
        <v>1755</v>
      </c>
      <c r="E17" s="772"/>
      <c r="F17" s="768" t="str">
        <f aca="false">A17</f>
        <v>АМЕЛИ</v>
      </c>
      <c r="G17" s="768"/>
      <c r="H17" s="761" t="s">
        <v>1783</v>
      </c>
      <c r="N17" s="780" t="s">
        <v>1761</v>
      </c>
      <c r="O17" s="780"/>
    </row>
    <row r="18" customFormat="false" ht="12.8" hidden="false" customHeight="true" outlineLevel="0" collapsed="false">
      <c r="A18" s="768" t="s">
        <v>1784</v>
      </c>
      <c r="B18" s="769" t="n">
        <v>42.1506</v>
      </c>
      <c r="C18" s="770" t="n">
        <v>2</v>
      </c>
      <c r="D18" s="778" t="s">
        <v>1755</v>
      </c>
      <c r="E18" s="772"/>
      <c r="F18" s="768" t="str">
        <f aca="false">A18</f>
        <v>АНЖУ</v>
      </c>
      <c r="G18" s="768"/>
      <c r="H18" s="782" t="s">
        <v>1785</v>
      </c>
      <c r="I18" s="761" t="s">
        <v>1786</v>
      </c>
      <c r="N18" s="780" t="s">
        <v>1761</v>
      </c>
      <c r="O18" s="780"/>
    </row>
    <row r="19" customFormat="false" ht="12.8" hidden="false" customHeight="true" outlineLevel="0" collapsed="false">
      <c r="A19" s="768" t="s">
        <v>1787</v>
      </c>
      <c r="B19" s="769" t="n">
        <v>54.675</v>
      </c>
      <c r="C19" s="770" t="n">
        <v>3</v>
      </c>
      <c r="D19" s="778" t="s">
        <v>1772</v>
      </c>
      <c r="E19" s="772"/>
      <c r="F19" s="768" t="str">
        <f aca="false">A19</f>
        <v>АНТАРЕС б/о</v>
      </c>
      <c r="G19" s="768"/>
      <c r="N19" s="780" t="s">
        <v>1761</v>
      </c>
      <c r="O19" s="780"/>
    </row>
    <row r="20" customFormat="false" ht="12.8" hidden="false" customHeight="true" outlineLevel="0" collapsed="false">
      <c r="A20" s="768" t="s">
        <v>1788</v>
      </c>
      <c r="B20" s="769" t="n">
        <v>96.823</v>
      </c>
      <c r="C20" s="770" t="n">
        <v>4.1</v>
      </c>
      <c r="D20" s="781" t="s">
        <v>1772</v>
      </c>
      <c r="E20" s="772"/>
      <c r="F20" s="768" t="str">
        <f aca="false">A20</f>
        <v>АПОЛЛО б/о 410 см</v>
      </c>
      <c r="G20" s="768"/>
      <c r="N20" s="780" t="s">
        <v>1761</v>
      </c>
      <c r="O20" s="780"/>
    </row>
    <row r="21" customFormat="false" ht="12.8" hidden="false" customHeight="true" outlineLevel="0" collapsed="false">
      <c r="A21" s="768" t="s">
        <v>1789</v>
      </c>
      <c r="B21" s="769" t="n">
        <v>36.8788</v>
      </c>
      <c r="C21" s="770" t="n">
        <v>2.4</v>
      </c>
      <c r="D21" s="778" t="s">
        <v>1755</v>
      </c>
      <c r="E21" s="772"/>
      <c r="F21" s="768" t="str">
        <f aca="false">A21</f>
        <v>АРАБИКА</v>
      </c>
      <c r="G21" s="768"/>
      <c r="N21" s="780" t="s">
        <v>1768</v>
      </c>
      <c r="O21" s="780"/>
    </row>
    <row r="22" customFormat="false" ht="12.8" hidden="false" customHeight="true" outlineLevel="0" collapsed="false">
      <c r="A22" s="768" t="s">
        <v>1790</v>
      </c>
      <c r="B22" s="769" t="n">
        <v>26.1104</v>
      </c>
      <c r="C22" s="770" t="n">
        <v>1.95</v>
      </c>
      <c r="D22" s="783" t="s">
        <v>1755</v>
      </c>
      <c r="E22" s="772"/>
      <c r="F22" s="768" t="str">
        <f aca="false">A22</f>
        <v>АРИАДНА</v>
      </c>
      <c r="G22" s="768"/>
      <c r="N22" s="784" t="s">
        <v>1768</v>
      </c>
      <c r="O22" s="784"/>
    </row>
    <row r="23" customFormat="false" ht="12.8" hidden="false" customHeight="true" outlineLevel="0" collapsed="false">
      <c r="A23" s="768" t="s">
        <v>1791</v>
      </c>
      <c r="B23" s="769" t="n">
        <v>25.243</v>
      </c>
      <c r="C23" s="770" t="n">
        <v>1.95</v>
      </c>
      <c r="D23" s="783" t="s">
        <v>1755</v>
      </c>
      <c r="E23" s="772"/>
      <c r="F23" s="768" t="str">
        <f aca="false">A23</f>
        <v>БАБОЧКИ</v>
      </c>
      <c r="G23" s="768"/>
      <c r="N23" s="780" t="s">
        <v>1761</v>
      </c>
      <c r="O23" s="784"/>
    </row>
    <row r="24" customFormat="false" ht="12.8" hidden="false" customHeight="true" outlineLevel="0" collapsed="false">
      <c r="A24" s="768" t="s">
        <v>1792</v>
      </c>
      <c r="B24" s="769" t="n">
        <v>14.4797</v>
      </c>
      <c r="C24" s="770" t="n">
        <v>2.4</v>
      </c>
      <c r="D24" s="783" t="s">
        <v>1755</v>
      </c>
      <c r="E24" s="772"/>
      <c r="F24" s="768" t="str">
        <f aca="false">A24</f>
        <v>БАМБУК</v>
      </c>
      <c r="G24" s="768"/>
      <c r="N24" s="780" t="s">
        <v>1758</v>
      </c>
      <c r="O24" s="784"/>
    </row>
    <row r="25" customFormat="false" ht="12.8" hidden="false" customHeight="true" outlineLevel="0" collapsed="false">
      <c r="A25" s="768" t="s">
        <v>1793</v>
      </c>
      <c r="B25" s="769" t="n">
        <v>57.8955</v>
      </c>
      <c r="C25" s="770" t="n">
        <v>2.35</v>
      </c>
      <c r="D25" s="783" t="s">
        <v>1755</v>
      </c>
      <c r="E25" s="772"/>
      <c r="F25" s="768" t="str">
        <f aca="false">A25</f>
        <v>БЛАНШ</v>
      </c>
      <c r="G25" s="768"/>
      <c r="N25" s="780" t="s">
        <v>1761</v>
      </c>
      <c r="O25" s="784"/>
    </row>
    <row r="26" customFormat="false" ht="12.8" hidden="false" customHeight="true" outlineLevel="0" collapsed="false">
      <c r="A26" s="768" t="s">
        <v>1794</v>
      </c>
      <c r="B26" s="769" t="n">
        <v>19.0989</v>
      </c>
      <c r="C26" s="770" t="n">
        <v>2</v>
      </c>
      <c r="D26" s="783" t="s">
        <v>1755</v>
      </c>
      <c r="E26" s="772"/>
      <c r="F26" s="768" t="str">
        <f aca="false">A26</f>
        <v>БЛЮЗ</v>
      </c>
      <c r="G26" s="768"/>
      <c r="N26" s="780" t="s">
        <v>1795</v>
      </c>
      <c r="O26" s="784"/>
    </row>
    <row r="27" customFormat="false" ht="12.8" hidden="false" customHeight="true" outlineLevel="0" collapsed="false">
      <c r="A27" s="768" t="s">
        <v>1796</v>
      </c>
      <c r="B27" s="769" t="n">
        <v>16.0811</v>
      </c>
      <c r="C27" s="770" t="n">
        <v>2</v>
      </c>
      <c r="D27" s="778" t="s">
        <v>1772</v>
      </c>
      <c r="E27" s="772"/>
      <c r="F27" s="768" t="str">
        <f aca="false">A27</f>
        <v>БОЛГАРСКАЯ РОЗА</v>
      </c>
      <c r="G27" s="768"/>
      <c r="N27" s="780" t="s">
        <v>1761</v>
      </c>
      <c r="O27" s="780"/>
    </row>
    <row r="28" customFormat="false" ht="12.8" hidden="false" customHeight="true" outlineLevel="0" collapsed="false">
      <c r="A28" s="768" t="s">
        <v>1797</v>
      </c>
      <c r="B28" s="769" t="n">
        <v>33.911</v>
      </c>
      <c r="C28" s="770" t="n">
        <v>2.5</v>
      </c>
      <c r="D28" s="778" t="s">
        <v>1755</v>
      </c>
      <c r="E28" s="772"/>
      <c r="F28" s="768" t="str">
        <f aca="false">A28</f>
        <v>БОСТОН</v>
      </c>
      <c r="G28" s="768"/>
      <c r="N28" s="780" t="s">
        <v>1761</v>
      </c>
      <c r="O28" s="780"/>
    </row>
    <row r="29" customFormat="false" ht="12.8" hidden="false" customHeight="true" outlineLevel="0" collapsed="false">
      <c r="A29" s="768" t="s">
        <v>1798</v>
      </c>
      <c r="B29" s="769" t="n">
        <v>58.198</v>
      </c>
      <c r="C29" s="770" t="n">
        <v>3.1</v>
      </c>
      <c r="D29" s="778" t="s">
        <v>1755</v>
      </c>
      <c r="E29" s="772"/>
      <c r="F29" s="768" t="str">
        <f aca="false">A29</f>
        <v>БУКЛЕ DIM-OUT</v>
      </c>
      <c r="G29" s="768"/>
      <c r="N29" s="780" t="s">
        <v>1761</v>
      </c>
      <c r="O29" s="780"/>
    </row>
    <row r="30" customFormat="false" ht="12.8" hidden="false" customHeight="true" outlineLevel="0" collapsed="false">
      <c r="A30" s="768" t="s">
        <v>1799</v>
      </c>
      <c r="B30" s="769" t="n">
        <v>36.7233</v>
      </c>
      <c r="C30" s="770" t="n">
        <v>2.1</v>
      </c>
      <c r="D30" s="781" t="s">
        <v>1755</v>
      </c>
      <c r="E30" s="772"/>
      <c r="F30" s="768" t="str">
        <f aca="false">A30</f>
        <v>БУХАРА б/о</v>
      </c>
      <c r="G30" s="768"/>
      <c r="N30" s="780" t="s">
        <v>1761</v>
      </c>
      <c r="O30" s="780"/>
    </row>
    <row r="31" customFormat="false" ht="12.8" hidden="false" customHeight="true" outlineLevel="0" collapsed="false">
      <c r="A31" s="768" t="s">
        <v>1800</v>
      </c>
      <c r="B31" s="769" t="n">
        <v>23.9954</v>
      </c>
      <c r="C31" s="770" t="n">
        <v>2.4</v>
      </c>
      <c r="D31" s="778" t="s">
        <v>1755</v>
      </c>
      <c r="E31" s="772"/>
      <c r="F31" s="768" t="str">
        <f aca="false">A31</f>
        <v>БЬЯНКА</v>
      </c>
      <c r="G31" s="768"/>
      <c r="N31" s="780" t="s">
        <v>1758</v>
      </c>
      <c r="O31" s="780"/>
    </row>
    <row r="32" customFormat="false" ht="12.8" hidden="false" customHeight="true" outlineLevel="0" collapsed="false">
      <c r="A32" s="768" t="s">
        <v>1801</v>
      </c>
      <c r="B32" s="769" t="n">
        <v>27.0327</v>
      </c>
      <c r="C32" s="770" t="n">
        <v>2.8</v>
      </c>
      <c r="D32" s="771" t="s">
        <v>1755</v>
      </c>
      <c r="E32" s="772"/>
      <c r="F32" s="768" t="str">
        <f aca="false">A32</f>
        <v>ВАЛЬС</v>
      </c>
      <c r="G32" s="768"/>
      <c r="N32" s="777" t="s">
        <v>1802</v>
      </c>
      <c r="O32" s="777"/>
    </row>
    <row r="33" customFormat="false" ht="12.8" hidden="false" customHeight="true" outlineLevel="0" collapsed="false">
      <c r="A33" s="768" t="s">
        <v>1803</v>
      </c>
      <c r="B33" s="769" t="n">
        <v>22.83</v>
      </c>
      <c r="C33" s="770" t="n">
        <v>2.8</v>
      </c>
      <c r="D33" s="778" t="s">
        <v>1755</v>
      </c>
      <c r="E33" s="772"/>
      <c r="F33" s="768" t="str">
        <f aca="false">A33</f>
        <v>ВЕНА</v>
      </c>
      <c r="G33" s="768"/>
      <c r="N33" s="780" t="s">
        <v>1761</v>
      </c>
      <c r="O33" s="780"/>
    </row>
    <row r="34" customFormat="false" ht="12.8" hidden="false" customHeight="true" outlineLevel="0" collapsed="false">
      <c r="A34" s="768" t="s">
        <v>1804</v>
      </c>
      <c r="B34" s="769" t="n">
        <v>46.76</v>
      </c>
      <c r="C34" s="770" t="n">
        <v>2.4</v>
      </c>
      <c r="D34" s="771" t="s">
        <v>1755</v>
      </c>
      <c r="E34" s="772"/>
      <c r="F34" s="768" t="str">
        <f aca="false">A34</f>
        <v>ВЕНЕЦИЯ</v>
      </c>
      <c r="G34" s="768"/>
      <c r="N34" s="777" t="s">
        <v>1758</v>
      </c>
      <c r="O34" s="777"/>
    </row>
    <row r="35" customFormat="false" ht="12.8" hidden="false" customHeight="true" outlineLevel="0" collapsed="false">
      <c r="A35" s="768" t="s">
        <v>1805</v>
      </c>
      <c r="B35" s="769" t="n">
        <v>34.19844869</v>
      </c>
      <c r="C35" s="770" t="n">
        <v>2.35</v>
      </c>
      <c r="D35" s="778" t="s">
        <v>1755</v>
      </c>
      <c r="E35" s="772"/>
      <c r="F35" s="768" t="str">
        <f aca="false">A35</f>
        <v>ВЕРОНА</v>
      </c>
      <c r="G35" s="768"/>
      <c r="N35" s="780" t="s">
        <v>1758</v>
      </c>
      <c r="O35" s="780"/>
    </row>
    <row r="36" customFormat="false" ht="12.8" hidden="false" customHeight="true" outlineLevel="0" collapsed="false">
      <c r="A36" s="785" t="s">
        <v>1806</v>
      </c>
      <c r="B36" s="769" t="n">
        <v>19.0989</v>
      </c>
      <c r="C36" s="770" t="n">
        <v>2</v>
      </c>
      <c r="D36" s="778" t="s">
        <v>1755</v>
      </c>
      <c r="E36" s="772"/>
      <c r="F36" s="768" t="str">
        <f aca="false">A36</f>
        <v>ВИНТАЖ</v>
      </c>
      <c r="G36" s="785"/>
      <c r="N36" s="780" t="s">
        <v>1768</v>
      </c>
      <c r="O36" s="780"/>
    </row>
    <row r="37" customFormat="false" ht="12.8" hidden="false" customHeight="true" outlineLevel="0" collapsed="false">
      <c r="A37" s="768" t="s">
        <v>1807</v>
      </c>
      <c r="B37" s="769" t="n">
        <v>30.195</v>
      </c>
      <c r="C37" s="770" t="n">
        <v>2.4</v>
      </c>
      <c r="D37" s="778" t="s">
        <v>1772</v>
      </c>
      <c r="E37" s="772"/>
      <c r="F37" s="768" t="str">
        <f aca="false">A37</f>
        <v>ВУАЛЬ</v>
      </c>
      <c r="G37" s="768"/>
      <c r="N37" s="780" t="s">
        <v>1761</v>
      </c>
      <c r="O37" s="780"/>
    </row>
    <row r="38" customFormat="false" ht="12.8" hidden="false" customHeight="true" outlineLevel="0" collapsed="false">
      <c r="A38" s="786" t="s">
        <v>1808</v>
      </c>
      <c r="B38" s="787" t="n">
        <v>25.451</v>
      </c>
      <c r="C38" s="770" t="n">
        <v>2.3</v>
      </c>
      <c r="D38" s="778" t="s">
        <v>1772</v>
      </c>
      <c r="E38" s="772"/>
      <c r="F38" s="768" t="str">
        <f aca="false">A38</f>
        <v>ГАЛА б/о</v>
      </c>
      <c r="G38" s="786"/>
      <c r="N38" s="780" t="s">
        <v>1761</v>
      </c>
      <c r="O38" s="780"/>
    </row>
    <row r="39" customFormat="false" ht="12.8" hidden="false" customHeight="true" outlineLevel="0" collapsed="false">
      <c r="A39" s="768" t="s">
        <v>1809</v>
      </c>
      <c r="B39" s="769" t="n">
        <v>44.8247</v>
      </c>
      <c r="C39" s="770" t="n">
        <v>2.4</v>
      </c>
      <c r="D39" s="778" t="s">
        <v>1755</v>
      </c>
      <c r="E39" s="772"/>
      <c r="F39" s="768" t="str">
        <f aca="false">A39</f>
        <v>ГЛИТТЕР</v>
      </c>
      <c r="G39" s="768"/>
      <c r="N39" s="780" t="s">
        <v>1761</v>
      </c>
      <c r="O39" s="780"/>
    </row>
    <row r="40" customFormat="false" ht="12.8" hidden="false" customHeight="true" outlineLevel="0" collapsed="false">
      <c r="A40" s="768" t="s">
        <v>1810</v>
      </c>
      <c r="B40" s="769" t="n">
        <v>56.1414</v>
      </c>
      <c r="C40" s="770" t="n">
        <v>2.4</v>
      </c>
      <c r="D40" s="778" t="s">
        <v>1755</v>
      </c>
      <c r="E40" s="772"/>
      <c r="F40" s="768" t="str">
        <f aca="false">A40</f>
        <v>ГЛИТТЕР б/о</v>
      </c>
      <c r="G40" s="768"/>
      <c r="N40" s="780" t="s">
        <v>1761</v>
      </c>
      <c r="O40" s="780"/>
    </row>
    <row r="41" customFormat="false" ht="12.8" hidden="false" customHeight="true" outlineLevel="0" collapsed="false">
      <c r="A41" s="768" t="s">
        <v>1811</v>
      </c>
      <c r="B41" s="769" t="n">
        <v>21.1956</v>
      </c>
      <c r="C41" s="770" t="n">
        <v>2</v>
      </c>
      <c r="D41" s="781" t="s">
        <v>1755</v>
      </c>
      <c r="E41" s="772"/>
      <c r="F41" s="768" t="str">
        <f aca="false">A41</f>
        <v>ГУАНА</v>
      </c>
      <c r="G41" s="768"/>
      <c r="N41" s="780" t="s">
        <v>1761</v>
      </c>
      <c r="O41" s="780"/>
    </row>
    <row r="42" customFormat="false" ht="12.8" hidden="false" customHeight="true" outlineLevel="0" collapsed="false">
      <c r="A42" s="768" t="s">
        <v>1812</v>
      </c>
      <c r="B42" s="769" t="n">
        <v>39.1</v>
      </c>
      <c r="C42" s="770" t="n">
        <v>2.4</v>
      </c>
      <c r="D42" s="778" t="s">
        <v>1755</v>
      </c>
      <c r="E42" s="772"/>
      <c r="F42" s="768" t="str">
        <f aca="false">A42</f>
        <v>ДАЛЛАС</v>
      </c>
      <c r="G42" s="768"/>
      <c r="N42" s="788" t="s">
        <v>1761</v>
      </c>
      <c r="O42" s="780"/>
    </row>
    <row r="43" customFormat="false" ht="12.8" hidden="false" customHeight="true" outlineLevel="0" collapsed="false">
      <c r="A43" s="768" t="s">
        <v>1813</v>
      </c>
      <c r="B43" s="769" t="n">
        <v>38.1815</v>
      </c>
      <c r="C43" s="770" t="n">
        <v>2.4</v>
      </c>
      <c r="D43" s="778" t="s">
        <v>1755</v>
      </c>
      <c r="E43" s="772"/>
      <c r="F43" s="768" t="str">
        <f aca="false">A43</f>
        <v>ДЖУНГЛИ</v>
      </c>
      <c r="G43" s="768"/>
      <c r="N43" s="788" t="s">
        <v>1814</v>
      </c>
      <c r="O43" s="780"/>
    </row>
    <row r="44" customFormat="false" ht="12.8" hidden="false" customHeight="true" outlineLevel="0" collapsed="false">
      <c r="A44" s="768" t="s">
        <v>1815</v>
      </c>
      <c r="B44" s="769" t="n">
        <v>13.23</v>
      </c>
      <c r="C44" s="770" t="n">
        <v>2</v>
      </c>
      <c r="D44" s="778" t="s">
        <v>1755</v>
      </c>
      <c r="E44" s="772"/>
      <c r="F44" s="768" t="str">
        <f aca="false">A44</f>
        <v>ДУАН</v>
      </c>
      <c r="G44" s="768"/>
      <c r="N44" s="780" t="s">
        <v>1761</v>
      </c>
      <c r="O44" s="780"/>
    </row>
    <row r="45" customFormat="false" ht="12.8" hidden="false" customHeight="true" outlineLevel="0" collapsed="false">
      <c r="A45" s="768" t="s">
        <v>1816</v>
      </c>
      <c r="B45" s="769" t="n">
        <v>46.0868</v>
      </c>
      <c r="C45" s="770" t="n">
        <v>2.4</v>
      </c>
      <c r="D45" s="783" t="s">
        <v>1755</v>
      </c>
      <c r="E45" s="772"/>
      <c r="F45" s="768" t="str">
        <f aca="false">A45</f>
        <v>ИМПАЛА</v>
      </c>
      <c r="G45" s="768"/>
      <c r="N45" s="780" t="s">
        <v>1761</v>
      </c>
      <c r="O45" s="784"/>
    </row>
    <row r="46" customFormat="false" ht="12.8" hidden="false" customHeight="true" outlineLevel="0" collapsed="false">
      <c r="A46" s="786" t="s">
        <v>1817</v>
      </c>
      <c r="B46" s="787" t="n">
        <v>39.6092</v>
      </c>
      <c r="C46" s="770" t="n">
        <v>2</v>
      </c>
      <c r="D46" s="778" t="s">
        <v>1755</v>
      </c>
      <c r="E46" s="772"/>
      <c r="F46" s="768" t="str">
        <f aca="false">A46</f>
        <v>КАЛИПСО</v>
      </c>
      <c r="G46" s="786"/>
      <c r="N46" s="780" t="s">
        <v>1795</v>
      </c>
      <c r="O46" s="780"/>
    </row>
    <row r="47" customFormat="false" ht="12.8" hidden="false" customHeight="true" outlineLevel="0" collapsed="false">
      <c r="A47" s="789" t="s">
        <v>1818</v>
      </c>
      <c r="B47" s="790" t="n">
        <v>22.3778</v>
      </c>
      <c r="C47" s="770" t="n">
        <v>2.8</v>
      </c>
      <c r="D47" s="791" t="s">
        <v>1755</v>
      </c>
      <c r="E47" s="772"/>
      <c r="F47" s="768" t="str">
        <f aca="false">A47</f>
        <v>КАМЕЛИЯ</v>
      </c>
      <c r="G47" s="789"/>
      <c r="N47" s="784" t="s">
        <v>1768</v>
      </c>
      <c r="O47" s="792"/>
    </row>
    <row r="48" customFormat="false" ht="12.8" hidden="false" customHeight="true" outlineLevel="0" collapsed="false">
      <c r="A48" s="768" t="s">
        <v>1819</v>
      </c>
      <c r="B48" s="769" t="n">
        <v>46.4648</v>
      </c>
      <c r="C48" s="770" t="n">
        <v>2.4</v>
      </c>
      <c r="D48" s="778" t="s">
        <v>1755</v>
      </c>
      <c r="E48" s="772"/>
      <c r="F48" s="768" t="str">
        <f aca="false">A48</f>
        <v>КАРОЛИНА</v>
      </c>
      <c r="G48" s="768"/>
      <c r="N48" s="780" t="s">
        <v>1761</v>
      </c>
      <c r="O48" s="780"/>
    </row>
    <row r="49" customFormat="false" ht="12.8" hidden="false" customHeight="true" outlineLevel="0" collapsed="false">
      <c r="A49" s="768" t="s">
        <v>1820</v>
      </c>
      <c r="B49" s="769" t="n">
        <v>22.3991</v>
      </c>
      <c r="C49" s="770" t="n">
        <v>2</v>
      </c>
      <c r="D49" s="778" t="s">
        <v>1755</v>
      </c>
      <c r="E49" s="772"/>
      <c r="F49" s="768" t="str">
        <f aca="false">A49</f>
        <v>КИМБЕРЛИ</v>
      </c>
      <c r="G49" s="768"/>
      <c r="N49" s="792" t="s">
        <v>1761</v>
      </c>
      <c r="O49" s="780"/>
    </row>
    <row r="50" customFormat="false" ht="12.8" hidden="false" customHeight="true" outlineLevel="0" collapsed="false">
      <c r="A50" s="768" t="s">
        <v>1821</v>
      </c>
      <c r="B50" s="769" t="n">
        <v>9.487</v>
      </c>
      <c r="C50" s="770" t="n">
        <v>2.2</v>
      </c>
      <c r="D50" s="778" t="s">
        <v>1772</v>
      </c>
      <c r="E50" s="772"/>
      <c r="F50" s="768" t="str">
        <f aca="false">A50</f>
        <v>КРИС </v>
      </c>
      <c r="G50" s="768"/>
      <c r="N50" s="780" t="s">
        <v>1768</v>
      </c>
      <c r="O50" s="780"/>
    </row>
    <row r="51" customFormat="false" ht="12.8" hidden="false" customHeight="true" outlineLevel="0" collapsed="false">
      <c r="A51" s="768" t="s">
        <v>1822</v>
      </c>
      <c r="B51" s="769" t="n">
        <v>16.174</v>
      </c>
      <c r="C51" s="770" t="n">
        <v>2.2</v>
      </c>
      <c r="D51" s="778" t="s">
        <v>1772</v>
      </c>
      <c r="E51" s="772"/>
      <c r="F51" s="768" t="str">
        <f aca="false">A51</f>
        <v>КРИС б/о</v>
      </c>
      <c r="G51" s="768"/>
      <c r="N51" s="780" t="s">
        <v>1768</v>
      </c>
      <c r="O51" s="780"/>
    </row>
    <row r="52" customFormat="false" ht="12.8" hidden="false" customHeight="true" outlineLevel="0" collapsed="false">
      <c r="A52" s="768" t="s">
        <v>1823</v>
      </c>
      <c r="B52" s="769" t="n">
        <v>10.68</v>
      </c>
      <c r="C52" s="770" t="n">
        <v>2.2</v>
      </c>
      <c r="D52" s="778" t="s">
        <v>1755</v>
      </c>
      <c r="E52" s="772"/>
      <c r="F52" s="768" t="str">
        <f aca="false">A52</f>
        <v>КРОНА</v>
      </c>
      <c r="G52" s="768"/>
      <c r="N52" s="780" t="s">
        <v>1761</v>
      </c>
      <c r="O52" s="780"/>
    </row>
    <row r="53" customFormat="false" ht="12.8" hidden="false" customHeight="true" outlineLevel="0" collapsed="false">
      <c r="A53" s="768" t="s">
        <v>1824</v>
      </c>
      <c r="B53" s="769" t="n">
        <v>11.8471</v>
      </c>
      <c r="C53" s="770" t="n">
        <v>2</v>
      </c>
      <c r="D53" s="778" t="s">
        <v>1755</v>
      </c>
      <c r="E53" s="772"/>
      <c r="F53" s="768" t="str">
        <f aca="false">A53</f>
        <v>ЛЁН</v>
      </c>
      <c r="G53" s="768"/>
      <c r="N53" s="780" t="s">
        <v>1768</v>
      </c>
      <c r="O53" s="780"/>
    </row>
    <row r="54" customFormat="false" ht="12.8" hidden="false" customHeight="true" outlineLevel="0" collapsed="false">
      <c r="A54" s="768" t="s">
        <v>1825</v>
      </c>
      <c r="B54" s="769" t="n">
        <v>22.3778</v>
      </c>
      <c r="C54" s="770" t="n">
        <v>2</v>
      </c>
      <c r="D54" s="771" t="s">
        <v>1755</v>
      </c>
      <c r="E54" s="772"/>
      <c r="F54" s="768" t="str">
        <f aca="false">A54</f>
        <v>ЛЁН б/о </v>
      </c>
      <c r="G54" s="768"/>
      <c r="N54" s="788" t="s">
        <v>1758</v>
      </c>
      <c r="O54" s="777"/>
    </row>
    <row r="55" customFormat="false" ht="12.8" hidden="false" customHeight="true" outlineLevel="0" collapsed="false">
      <c r="A55" s="768" t="s">
        <v>1826</v>
      </c>
      <c r="B55" s="769" t="n">
        <v>37.4599</v>
      </c>
      <c r="C55" s="770" t="n">
        <v>2.4</v>
      </c>
      <c r="D55" s="781" t="s">
        <v>1755</v>
      </c>
      <c r="E55" s="772"/>
      <c r="F55" s="768" t="str">
        <f aca="false">A55</f>
        <v>ЛИМА ПЕРЛА</v>
      </c>
      <c r="G55" s="768"/>
      <c r="N55" s="780" t="s">
        <v>1768</v>
      </c>
      <c r="O55" s="777"/>
    </row>
    <row r="56" customFormat="false" ht="12.8" hidden="false" customHeight="true" outlineLevel="0" collapsed="false">
      <c r="A56" s="768" t="s">
        <v>1827</v>
      </c>
      <c r="B56" s="769" t="n">
        <v>9.487</v>
      </c>
      <c r="C56" s="770" t="n">
        <v>2.2</v>
      </c>
      <c r="D56" s="781" t="s">
        <v>1755</v>
      </c>
      <c r="E56" s="772"/>
      <c r="F56" s="768" t="str">
        <f aca="false">A56</f>
        <v>ЛИНА</v>
      </c>
      <c r="G56" s="768"/>
      <c r="N56" s="780" t="s">
        <v>1758</v>
      </c>
      <c r="O56" s="777"/>
    </row>
    <row r="57" customFormat="false" ht="12.8" hidden="false" customHeight="true" outlineLevel="0" collapsed="false">
      <c r="A57" s="768" t="s">
        <v>1828</v>
      </c>
      <c r="B57" s="769" t="n">
        <v>16.081</v>
      </c>
      <c r="C57" s="770" t="n">
        <v>2.2</v>
      </c>
      <c r="D57" s="781" t="s">
        <v>1755</v>
      </c>
      <c r="E57" s="772"/>
      <c r="F57" s="768" t="str">
        <f aca="false">A57</f>
        <v>ЛИНА б/о</v>
      </c>
      <c r="G57" s="768"/>
      <c r="N57" s="777" t="s">
        <v>1758</v>
      </c>
      <c r="O57" s="784"/>
    </row>
    <row r="58" customFormat="false" ht="12.8" hidden="false" customHeight="true" outlineLevel="0" collapsed="false">
      <c r="A58" s="768" t="s">
        <v>1829</v>
      </c>
      <c r="B58" s="769" t="n">
        <v>15.75</v>
      </c>
      <c r="C58" s="770" t="n">
        <v>2</v>
      </c>
      <c r="D58" s="781" t="s">
        <v>1755</v>
      </c>
      <c r="E58" s="772"/>
      <c r="F58" s="768" t="str">
        <f aca="false">A58</f>
        <v>ЛЮМИЯ</v>
      </c>
      <c r="G58" s="768"/>
      <c r="N58" s="777" t="s">
        <v>1802</v>
      </c>
      <c r="O58" s="784"/>
    </row>
    <row r="59" customFormat="false" ht="12.8" hidden="false" customHeight="true" outlineLevel="0" collapsed="false">
      <c r="A59" s="768" t="s">
        <v>1830</v>
      </c>
      <c r="B59" s="769" t="n">
        <v>19.4743</v>
      </c>
      <c r="C59" s="770" t="n">
        <v>2</v>
      </c>
      <c r="D59" s="781" t="s">
        <v>1755</v>
      </c>
      <c r="E59" s="772"/>
      <c r="F59" s="768" t="str">
        <f aca="false">A59</f>
        <v>МАНИЛА</v>
      </c>
      <c r="G59" s="768"/>
      <c r="N59" s="784" t="s">
        <v>1795</v>
      </c>
      <c r="O59" s="784"/>
    </row>
    <row r="60" customFormat="false" ht="12.8" hidden="false" customHeight="true" outlineLevel="0" collapsed="false">
      <c r="A60" s="768" t="s">
        <v>1831</v>
      </c>
      <c r="B60" s="769" t="n">
        <v>25.8189</v>
      </c>
      <c r="C60" s="770" t="n">
        <v>2.8</v>
      </c>
      <c r="D60" s="781" t="s">
        <v>1755</v>
      </c>
      <c r="E60" s="772"/>
      <c r="F60" s="768" t="str">
        <f aca="false">A60</f>
        <v>МАРЦИПАН</v>
      </c>
      <c r="G60" s="768"/>
      <c r="N60" s="784" t="s">
        <v>1761</v>
      </c>
      <c r="O60" s="784"/>
    </row>
    <row r="61" customFormat="false" ht="12.8" hidden="false" customHeight="true" outlineLevel="0" collapsed="false">
      <c r="A61" s="768" t="s">
        <v>1832</v>
      </c>
      <c r="B61" s="769" t="n">
        <v>26.2728</v>
      </c>
      <c r="C61" s="770" t="n">
        <v>3</v>
      </c>
      <c r="D61" s="778" t="s">
        <v>1755</v>
      </c>
      <c r="E61" s="772"/>
      <c r="F61" s="768" t="str">
        <f aca="false">A61</f>
        <v>МЕМФИС</v>
      </c>
      <c r="G61" s="768"/>
      <c r="N61" s="784" t="s">
        <v>1761</v>
      </c>
      <c r="O61" s="780"/>
    </row>
    <row r="62" customFormat="false" ht="12.8" hidden="false" customHeight="true" outlineLevel="0" collapsed="false">
      <c r="A62" s="768" t="s">
        <v>1833</v>
      </c>
      <c r="B62" s="769" t="n">
        <v>33.911</v>
      </c>
      <c r="C62" s="770" t="n">
        <v>2.5</v>
      </c>
      <c r="D62" s="781" t="s">
        <v>1755</v>
      </c>
      <c r="E62" s="772"/>
      <c r="F62" s="768" t="str">
        <f aca="false">A62</f>
        <v>МОНТЕ</v>
      </c>
      <c r="G62" s="768"/>
      <c r="N62" s="784" t="s">
        <v>1795</v>
      </c>
      <c r="O62" s="780"/>
    </row>
    <row r="63" customFormat="false" ht="12.8" hidden="false" customHeight="true" outlineLevel="0" collapsed="false">
      <c r="A63" s="768" t="s">
        <v>1834</v>
      </c>
      <c r="B63" s="769" t="n">
        <v>16.848</v>
      </c>
      <c r="C63" s="770" t="n">
        <v>2</v>
      </c>
      <c r="D63" s="781" t="s">
        <v>1755</v>
      </c>
      <c r="E63" s="772"/>
      <c r="F63" s="768" t="str">
        <f aca="false">A63</f>
        <v>НЕВАДА</v>
      </c>
      <c r="G63" s="768"/>
      <c r="N63" s="784" t="s">
        <v>1795</v>
      </c>
      <c r="O63" s="780"/>
    </row>
    <row r="64" customFormat="false" ht="12.8" hidden="false" customHeight="true" outlineLevel="0" collapsed="false">
      <c r="A64" s="793" t="s">
        <v>1835</v>
      </c>
      <c r="B64" s="769" t="n">
        <v>13.219</v>
      </c>
      <c r="C64" s="770" t="n">
        <v>2.2</v>
      </c>
      <c r="D64" s="771" t="s">
        <v>1755</v>
      </c>
      <c r="E64" s="772"/>
      <c r="F64" s="768" t="str">
        <f aca="false">A64</f>
        <v>НИКА</v>
      </c>
      <c r="G64" s="793"/>
      <c r="N64" s="780" t="s">
        <v>1795</v>
      </c>
      <c r="O64" s="777"/>
    </row>
    <row r="65" customFormat="false" ht="12.8" hidden="false" customHeight="true" outlineLevel="0" collapsed="false">
      <c r="A65" s="793" t="s">
        <v>1836</v>
      </c>
      <c r="B65" s="769" t="n">
        <v>28.737</v>
      </c>
      <c r="C65" s="770" t="n">
        <v>2</v>
      </c>
      <c r="D65" s="778" t="s">
        <v>1755</v>
      </c>
      <c r="E65" s="772"/>
      <c r="F65" s="768" t="str">
        <f aca="false">A65</f>
        <v>НОВА</v>
      </c>
      <c r="G65" s="793"/>
      <c r="N65" s="780" t="s">
        <v>1761</v>
      </c>
      <c r="O65" s="780"/>
    </row>
    <row r="66" customFormat="false" ht="12.8" hidden="false" customHeight="true" outlineLevel="0" collapsed="false">
      <c r="A66" s="768" t="s">
        <v>1837</v>
      </c>
      <c r="B66" s="769" t="n">
        <v>21.54</v>
      </c>
      <c r="C66" s="770" t="n">
        <v>2.8</v>
      </c>
      <c r="D66" s="781" t="s">
        <v>1755</v>
      </c>
      <c r="E66" s="772"/>
      <c r="F66" s="768" t="str">
        <f aca="false">A66</f>
        <v>НУАЖ</v>
      </c>
      <c r="G66" s="768"/>
      <c r="N66" s="780" t="s">
        <v>1768</v>
      </c>
      <c r="O66" s="780"/>
    </row>
    <row r="67" customFormat="false" ht="12.8" hidden="false" customHeight="true" outlineLevel="0" collapsed="false">
      <c r="A67" s="768" t="s">
        <v>1838</v>
      </c>
      <c r="B67" s="769" t="n">
        <v>9.2144</v>
      </c>
      <c r="C67" s="770" t="n">
        <v>2</v>
      </c>
      <c r="D67" s="778" t="s">
        <v>1772</v>
      </c>
      <c r="E67" s="772"/>
      <c r="F67" s="768" t="str">
        <f aca="false">A67</f>
        <v>ОМЕГА 200 см</v>
      </c>
      <c r="G67" s="768"/>
      <c r="N67" s="780" t="s">
        <v>1768</v>
      </c>
      <c r="O67" s="780"/>
    </row>
    <row r="68" customFormat="false" ht="12.8" hidden="false" customHeight="true" outlineLevel="0" collapsed="false">
      <c r="A68" s="794" t="s">
        <v>1839</v>
      </c>
      <c r="B68" s="769" t="n">
        <v>11.8087</v>
      </c>
      <c r="C68" s="770" t="n">
        <v>2.5</v>
      </c>
      <c r="D68" s="791" t="s">
        <v>1772</v>
      </c>
      <c r="E68" s="772"/>
      <c r="F68" s="768" t="str">
        <f aca="false">A68</f>
        <v>ОМЕГА 250 см</v>
      </c>
      <c r="G68" s="794"/>
      <c r="N68" s="780" t="s">
        <v>1761</v>
      </c>
      <c r="O68" s="792"/>
    </row>
    <row r="69" customFormat="false" ht="12.8" hidden="false" customHeight="true" outlineLevel="0" collapsed="false">
      <c r="A69" s="768" t="s">
        <v>1840</v>
      </c>
      <c r="B69" s="769" t="n">
        <v>16.8083</v>
      </c>
      <c r="C69" s="770" t="n">
        <v>3</v>
      </c>
      <c r="D69" s="778" t="s">
        <v>1772</v>
      </c>
      <c r="E69" s="772"/>
      <c r="F69" s="768" t="str">
        <f aca="false">A69</f>
        <v>ОМЕГА 300 см белый, серый, бежевый, чёрный</v>
      </c>
      <c r="G69" s="768"/>
      <c r="N69" s="780" t="s">
        <v>1795</v>
      </c>
      <c r="O69" s="780"/>
    </row>
    <row r="70" customFormat="false" ht="12.8" hidden="false" customHeight="true" outlineLevel="0" collapsed="false">
      <c r="A70" s="768" t="s">
        <v>1841</v>
      </c>
      <c r="B70" s="769" t="n">
        <v>21.545</v>
      </c>
      <c r="C70" s="770" t="n">
        <v>3</v>
      </c>
      <c r="D70" s="778" t="s">
        <v>1772</v>
      </c>
      <c r="E70" s="772"/>
      <c r="F70" s="768" t="str">
        <f aca="false">A70</f>
        <v>ОМЕГА 300 см чёрная</v>
      </c>
      <c r="G70" s="768"/>
      <c r="N70" s="780" t="s">
        <v>1761</v>
      </c>
      <c r="O70" s="780"/>
    </row>
    <row r="71" customFormat="false" ht="12.8" hidden="false" customHeight="true" outlineLevel="0" collapsed="false">
      <c r="A71" s="768" t="s">
        <v>1842</v>
      </c>
      <c r="B71" s="769" t="n">
        <v>24.7955</v>
      </c>
      <c r="C71" s="770" t="n">
        <v>2.5</v>
      </c>
      <c r="D71" s="778" t="s">
        <v>1772</v>
      </c>
      <c r="E71" s="772"/>
      <c r="F71" s="768" t="str">
        <f aca="false">A71</f>
        <v>ОМЕГА б/о 250см</v>
      </c>
      <c r="G71" s="768"/>
      <c r="N71" s="792" t="s">
        <v>1761</v>
      </c>
      <c r="O71" s="780"/>
    </row>
    <row r="72" customFormat="false" ht="12.8" hidden="false" customHeight="true" outlineLevel="0" collapsed="false">
      <c r="A72" s="768" t="s">
        <v>1843</v>
      </c>
      <c r="B72" s="769" t="n">
        <v>29.7575</v>
      </c>
      <c r="C72" s="770" t="n">
        <v>3</v>
      </c>
      <c r="D72" s="778" t="s">
        <v>1772</v>
      </c>
      <c r="E72" s="772"/>
      <c r="F72" s="768" t="str">
        <f aca="false">A72</f>
        <v>ОМЕГА б/о 300 см</v>
      </c>
      <c r="G72" s="768"/>
      <c r="N72" s="780" t="s">
        <v>1761</v>
      </c>
      <c r="O72" s="780"/>
    </row>
    <row r="73" customFormat="false" ht="12.8" hidden="false" customHeight="true" outlineLevel="0" collapsed="false">
      <c r="A73" s="768" t="s">
        <v>1844</v>
      </c>
      <c r="B73" s="769" t="n">
        <v>19.2438</v>
      </c>
      <c r="C73" s="770" t="n">
        <v>2.5</v>
      </c>
      <c r="D73" s="781" t="s">
        <v>1772</v>
      </c>
      <c r="E73" s="772"/>
      <c r="F73" s="768" t="str">
        <f aca="false">A73</f>
        <v>ОМЕГА FR 250 см</v>
      </c>
      <c r="G73" s="768"/>
      <c r="N73" s="780" t="s">
        <v>1761</v>
      </c>
      <c r="O73" s="777"/>
    </row>
    <row r="74" customFormat="false" ht="12.8" hidden="false" customHeight="true" outlineLevel="0" collapsed="false">
      <c r="A74" s="768" t="s">
        <v>1845</v>
      </c>
      <c r="B74" s="769" t="n">
        <v>34.7545</v>
      </c>
      <c r="C74" s="770" t="n">
        <v>2.5</v>
      </c>
      <c r="D74" s="778" t="s">
        <v>1772</v>
      </c>
      <c r="E74" s="772"/>
      <c r="F74" s="768" t="str">
        <f aca="false">A74</f>
        <v>ОМЕГА FR б/о 250см</v>
      </c>
      <c r="G74" s="768"/>
      <c r="N74" s="780" t="s">
        <v>1758</v>
      </c>
      <c r="O74" s="780"/>
    </row>
    <row r="75" customFormat="false" ht="12.8" hidden="false" customHeight="true" outlineLevel="0" collapsed="false">
      <c r="A75" s="768" t="s">
        <v>1846</v>
      </c>
      <c r="B75" s="769" t="n">
        <v>8.914</v>
      </c>
      <c r="C75" s="770" t="n">
        <v>2.6</v>
      </c>
      <c r="D75" s="778" t="s">
        <v>1772</v>
      </c>
      <c r="E75" s="772"/>
      <c r="F75" s="768" t="str">
        <f aca="false">A75</f>
        <v>ОМЕГА Лайт</v>
      </c>
      <c r="G75" s="768"/>
      <c r="N75" s="780" t="s">
        <v>1768</v>
      </c>
      <c r="O75" s="780"/>
    </row>
    <row r="76" customFormat="false" ht="12.8" hidden="false" customHeight="true" outlineLevel="0" collapsed="false">
      <c r="A76" s="768" t="s">
        <v>1847</v>
      </c>
      <c r="B76" s="769" t="n">
        <v>24.3</v>
      </c>
      <c r="C76" s="770" t="n">
        <v>3</v>
      </c>
      <c r="D76" s="778" t="s">
        <v>1772</v>
      </c>
      <c r="E76" s="772"/>
      <c r="F76" s="768" t="str">
        <f aca="false">A76</f>
        <v>ОМЕГА Лайт б/о</v>
      </c>
      <c r="G76" s="768"/>
      <c r="N76" s="777" t="s">
        <v>1802</v>
      </c>
      <c r="O76" s="780"/>
    </row>
    <row r="77" customFormat="false" ht="12.8" hidden="false" customHeight="true" outlineLevel="0" collapsed="false">
      <c r="A77" s="768" t="s">
        <v>1848</v>
      </c>
      <c r="B77" s="769" t="n">
        <v>11.8087</v>
      </c>
      <c r="C77" s="770" t="n">
        <v>2.5</v>
      </c>
      <c r="D77" s="778" t="s">
        <v>1772</v>
      </c>
      <c r="E77" s="772"/>
      <c r="F77" s="768" t="str">
        <f aca="false">A77</f>
        <v>ОМЕГА СОФТ </v>
      </c>
      <c r="G77" s="768"/>
      <c r="N77" s="780" t="s">
        <v>1761</v>
      </c>
      <c r="O77" s="780"/>
    </row>
    <row r="78" customFormat="false" ht="12.8" hidden="false" customHeight="true" outlineLevel="0" collapsed="false">
      <c r="A78" s="768" t="s">
        <v>1849</v>
      </c>
      <c r="B78" s="769" t="n">
        <v>21.928</v>
      </c>
      <c r="C78" s="770" t="n">
        <v>2.2</v>
      </c>
      <c r="D78" s="778" t="s">
        <v>1755</v>
      </c>
      <c r="E78" s="772"/>
      <c r="F78" s="768" t="str">
        <f aca="false">A78</f>
        <v>ОСЛО б/о</v>
      </c>
      <c r="G78" s="768"/>
      <c r="N78" s="780" t="s">
        <v>1761</v>
      </c>
      <c r="O78" s="780"/>
    </row>
    <row r="79" customFormat="false" ht="12.8" hidden="false" customHeight="true" outlineLevel="0" collapsed="false">
      <c r="A79" s="768" t="s">
        <v>1850</v>
      </c>
      <c r="B79" s="769" t="n">
        <v>23.6502</v>
      </c>
      <c r="C79" s="770" t="n">
        <v>2</v>
      </c>
      <c r="D79" s="778" t="s">
        <v>1755</v>
      </c>
      <c r="E79" s="772"/>
      <c r="F79" s="768" t="str">
        <f aca="false">A79</f>
        <v>ПЕРГАМ</v>
      </c>
      <c r="G79" s="768"/>
      <c r="N79" s="780" t="s">
        <v>1768</v>
      </c>
      <c r="O79" s="780"/>
    </row>
    <row r="80" customFormat="false" ht="12.8" hidden="false" customHeight="true" outlineLevel="0" collapsed="false">
      <c r="A80" s="794" t="s">
        <v>1851</v>
      </c>
      <c r="B80" s="769" t="n">
        <v>22.5803</v>
      </c>
      <c r="C80" s="770" t="n">
        <v>2.5</v>
      </c>
      <c r="D80" s="778" t="s">
        <v>1772</v>
      </c>
      <c r="E80" s="772"/>
      <c r="F80" s="768" t="str">
        <f aca="false">A80</f>
        <v>ПЕРЛ</v>
      </c>
      <c r="G80" s="794"/>
      <c r="N80" s="780" t="s">
        <v>1761</v>
      </c>
      <c r="O80" s="780"/>
    </row>
    <row r="81" customFormat="false" ht="12.8" hidden="false" customHeight="true" outlineLevel="0" collapsed="false">
      <c r="A81" s="794" t="s">
        <v>1852</v>
      </c>
      <c r="B81" s="769" t="n">
        <v>13.23</v>
      </c>
      <c r="C81" s="770" t="n">
        <v>2.6</v>
      </c>
      <c r="D81" s="778" t="s">
        <v>1772</v>
      </c>
      <c r="E81" s="772"/>
      <c r="F81" s="768" t="str">
        <f aca="false">A81</f>
        <v>ПЕРЛ Лайт</v>
      </c>
      <c r="G81" s="794"/>
      <c r="N81" s="780" t="s">
        <v>1761</v>
      </c>
      <c r="O81" s="780"/>
    </row>
    <row r="82" customFormat="false" ht="12.8" hidden="false" customHeight="true" outlineLevel="0" collapsed="false">
      <c r="A82" s="794" t="s">
        <v>1853</v>
      </c>
      <c r="B82" s="769" t="n">
        <v>4.8897</v>
      </c>
      <c r="C82" s="770" t="n">
        <v>2</v>
      </c>
      <c r="D82" s="778" t="s">
        <v>1772</v>
      </c>
      <c r="E82" s="772"/>
      <c r="F82" s="768" t="str">
        <f aca="false">A82</f>
        <v>ПЛЭЙН</v>
      </c>
      <c r="G82" s="794"/>
      <c r="N82" s="780" t="s">
        <v>1761</v>
      </c>
      <c r="O82" s="780"/>
    </row>
    <row r="83" customFormat="false" ht="12.8" hidden="false" customHeight="true" outlineLevel="0" collapsed="false">
      <c r="A83" s="794" t="s">
        <v>1854</v>
      </c>
      <c r="B83" s="769" t="n">
        <v>12.674</v>
      </c>
      <c r="C83" s="770" t="n">
        <v>2</v>
      </c>
      <c r="D83" s="778" t="s">
        <v>1772</v>
      </c>
      <c r="E83" s="772"/>
      <c r="F83" s="768" t="str">
        <f aca="false">A83</f>
        <v>ПЛЭЙН б/о</v>
      </c>
      <c r="G83" s="794"/>
      <c r="N83" s="780" t="s">
        <v>1795</v>
      </c>
      <c r="O83" s="780"/>
    </row>
    <row r="84" customFormat="false" ht="12.8" hidden="false" customHeight="true" outlineLevel="0" collapsed="false">
      <c r="A84" s="794" t="s">
        <v>1855</v>
      </c>
      <c r="B84" s="769" t="n">
        <v>30.9433</v>
      </c>
      <c r="C84" s="770" t="n">
        <v>2.6</v>
      </c>
      <c r="D84" s="778" t="s">
        <v>1755</v>
      </c>
      <c r="E84" s="772"/>
      <c r="F84" s="768" t="str">
        <f aca="false">A84</f>
        <v>ПРОВАНС</v>
      </c>
      <c r="G84" s="794"/>
      <c r="N84" s="780" t="s">
        <v>1795</v>
      </c>
      <c r="O84" s="780"/>
    </row>
    <row r="85" customFormat="false" ht="12.8" hidden="false" customHeight="true" outlineLevel="0" collapsed="false">
      <c r="A85" s="768" t="s">
        <v>1856</v>
      </c>
      <c r="B85" s="769" t="n">
        <v>8.961</v>
      </c>
      <c r="C85" s="770" t="n">
        <v>1.52</v>
      </c>
      <c r="D85" s="795" t="s">
        <v>1772</v>
      </c>
      <c r="E85" s="772"/>
      <c r="F85" s="768" t="str">
        <f aca="false">A85</f>
        <v>ПРОТЕКТ ПЛЕНКА ПРОЗРАЧНАЯ</v>
      </c>
      <c r="G85" s="768"/>
      <c r="N85" s="780" t="s">
        <v>1814</v>
      </c>
      <c r="O85" s="796"/>
    </row>
    <row r="86" customFormat="false" ht="12.8" hidden="false" customHeight="true" outlineLevel="0" collapsed="false">
      <c r="A86" s="768" t="s">
        <v>1857</v>
      </c>
      <c r="B86" s="769" t="n">
        <v>23.017</v>
      </c>
      <c r="C86" s="770" t="n">
        <v>2</v>
      </c>
      <c r="D86" s="795" t="s">
        <v>1772</v>
      </c>
      <c r="E86" s="772"/>
      <c r="F86" s="768" t="str">
        <f aca="false">A86</f>
        <v>ПУЭБЛО б/о</v>
      </c>
      <c r="G86" s="768"/>
      <c r="N86" s="780" t="s">
        <v>1795</v>
      </c>
      <c r="O86" s="796"/>
    </row>
    <row r="87" customFormat="false" ht="12.8" hidden="false" customHeight="true" outlineLevel="0" collapsed="false">
      <c r="A87" s="768" t="s">
        <v>1858</v>
      </c>
      <c r="B87" s="769" t="n">
        <v>21.4995</v>
      </c>
      <c r="C87" s="770" t="n">
        <v>2</v>
      </c>
      <c r="D87" s="795" t="s">
        <v>1755</v>
      </c>
      <c r="E87" s="772"/>
      <c r="F87" s="768" t="str">
        <f aca="false">A87</f>
        <v>РАПСОДИЯ</v>
      </c>
      <c r="G87" s="768"/>
      <c r="N87" s="780" t="s">
        <v>1795</v>
      </c>
      <c r="O87" s="796"/>
    </row>
    <row r="88" customFormat="false" ht="12.8" hidden="false" customHeight="true" outlineLevel="0" collapsed="false">
      <c r="A88" s="768" t="s">
        <v>1859</v>
      </c>
      <c r="B88" s="769" t="n">
        <v>13.05</v>
      </c>
      <c r="C88" s="770" t="n">
        <v>3</v>
      </c>
      <c r="D88" s="778" t="s">
        <v>1755</v>
      </c>
      <c r="E88" s="772"/>
      <c r="F88" s="768" t="str">
        <f aca="false">A88</f>
        <v>РИКИ</v>
      </c>
      <c r="G88" s="768"/>
      <c r="N88" s="796" t="s">
        <v>1768</v>
      </c>
      <c r="O88" s="780"/>
    </row>
    <row r="89" customFormat="false" ht="12.8" hidden="false" customHeight="true" outlineLevel="0" collapsed="false">
      <c r="A89" s="768" t="s">
        <v>1860</v>
      </c>
      <c r="B89" s="769" t="n">
        <v>12.442</v>
      </c>
      <c r="C89" s="770" t="n">
        <v>2.2</v>
      </c>
      <c r="D89" s="778" t="s">
        <v>1755</v>
      </c>
      <c r="E89" s="772"/>
      <c r="F89" s="768" t="str">
        <f aca="false">A89</f>
        <v>РУАН</v>
      </c>
      <c r="G89" s="768"/>
      <c r="N89" s="796" t="s">
        <v>1761</v>
      </c>
      <c r="O89" s="780"/>
    </row>
    <row r="90" customFormat="false" ht="12.8" hidden="false" customHeight="true" outlineLevel="0" collapsed="false">
      <c r="A90" s="793" t="s">
        <v>1861</v>
      </c>
      <c r="B90" s="787" t="n">
        <v>17.55</v>
      </c>
      <c r="C90" s="770" t="n">
        <v>2.1</v>
      </c>
      <c r="D90" s="778" t="s">
        <v>1755</v>
      </c>
      <c r="E90" s="772"/>
      <c r="F90" s="768" t="str">
        <f aca="false">A90</f>
        <v>САЛЬМА</v>
      </c>
      <c r="G90" s="793"/>
      <c r="N90" s="796" t="s">
        <v>1761</v>
      </c>
      <c r="O90" s="780"/>
    </row>
    <row r="91" customFormat="false" ht="12.8" hidden="false" customHeight="true" outlineLevel="0" collapsed="false">
      <c r="A91" s="793" t="s">
        <v>1862</v>
      </c>
      <c r="B91" s="787" t="n">
        <v>46.6616</v>
      </c>
      <c r="C91" s="770" t="n">
        <v>2.4</v>
      </c>
      <c r="D91" s="778" t="s">
        <v>1755</v>
      </c>
      <c r="E91" s="772"/>
      <c r="F91" s="768" t="str">
        <f aca="false">A91</f>
        <v>САМИРА</v>
      </c>
      <c r="G91" s="793"/>
      <c r="N91" s="780" t="s">
        <v>1795</v>
      </c>
      <c r="O91" s="780"/>
    </row>
    <row r="92" customFormat="false" ht="12.8" hidden="false" customHeight="true" outlineLevel="0" collapsed="false">
      <c r="A92" s="768" t="s">
        <v>1863</v>
      </c>
      <c r="B92" s="769" t="n">
        <v>27.216</v>
      </c>
      <c r="C92" s="770" t="n">
        <v>2.4</v>
      </c>
      <c r="D92" s="771" t="s">
        <v>1755</v>
      </c>
      <c r="E92" s="772"/>
      <c r="F92" s="768" t="str">
        <f aca="false">A92</f>
        <v>САТАРА</v>
      </c>
      <c r="G92" s="768"/>
      <c r="N92" s="780" t="s">
        <v>1814</v>
      </c>
      <c r="O92" s="616"/>
      <c r="P92" s="768"/>
    </row>
    <row r="93" customFormat="false" ht="12.8" hidden="false" customHeight="true" outlineLevel="0" collapsed="false">
      <c r="A93" s="768" t="s">
        <v>1864</v>
      </c>
      <c r="B93" s="787" t="n">
        <v>16.3811</v>
      </c>
      <c r="C93" s="770" t="n">
        <v>2.4</v>
      </c>
      <c r="D93" s="778" t="s">
        <v>1755</v>
      </c>
      <c r="E93" s="772"/>
      <c r="F93" s="768" t="str">
        <f aca="false">A93</f>
        <v>САФАРИ</v>
      </c>
      <c r="G93" s="768"/>
      <c r="N93" s="780" t="s">
        <v>1814</v>
      </c>
      <c r="O93" s="616"/>
      <c r="P93" s="768"/>
    </row>
    <row r="94" customFormat="false" ht="12.8" hidden="false" customHeight="true" outlineLevel="0" collapsed="false">
      <c r="A94" s="768" t="s">
        <v>1865</v>
      </c>
      <c r="B94" s="787" t="n">
        <v>12.5784</v>
      </c>
      <c r="C94" s="770" t="n">
        <v>2.8</v>
      </c>
      <c r="D94" s="778" t="s">
        <v>1755</v>
      </c>
      <c r="E94" s="772"/>
      <c r="F94" s="768" t="str">
        <f aca="false">A94</f>
        <v>СИДЕ</v>
      </c>
      <c r="G94" s="768"/>
      <c r="N94" s="780" t="s">
        <v>1795</v>
      </c>
      <c r="O94" s="616"/>
      <c r="P94" s="768"/>
    </row>
    <row r="95" customFormat="false" ht="12.8" hidden="false" customHeight="true" outlineLevel="0" collapsed="false">
      <c r="A95" s="793" t="s">
        <v>1866</v>
      </c>
      <c r="B95" s="787" t="n">
        <v>23.4016</v>
      </c>
      <c r="C95" s="770" t="n">
        <v>2.8</v>
      </c>
      <c r="D95" s="781" t="s">
        <v>1755</v>
      </c>
      <c r="E95" s="772"/>
      <c r="F95" s="768" t="str">
        <f aca="false">A95</f>
        <v>СИДЕ б/о</v>
      </c>
      <c r="G95" s="793"/>
      <c r="N95" s="780" t="s">
        <v>1795</v>
      </c>
      <c r="O95" s="616"/>
      <c r="P95" s="793"/>
    </row>
    <row r="96" customFormat="false" ht="12.8" hidden="false" customHeight="true" outlineLevel="0" collapsed="false">
      <c r="A96" s="768" t="s">
        <v>1867</v>
      </c>
      <c r="B96" s="769" t="n">
        <v>65.1776</v>
      </c>
      <c r="C96" s="770" t="n">
        <v>2.4</v>
      </c>
      <c r="D96" s="781" t="s">
        <v>1772</v>
      </c>
      <c r="E96" s="772"/>
      <c r="F96" s="768" t="str">
        <f aca="false">A96</f>
        <v>СИЛКСКРИН</v>
      </c>
      <c r="G96" s="768"/>
      <c r="N96" s="780" t="s">
        <v>1795</v>
      </c>
      <c r="O96" s="616"/>
      <c r="P96" s="768"/>
    </row>
    <row r="97" customFormat="false" ht="12.8" hidden="false" customHeight="true" outlineLevel="0" collapsed="false">
      <c r="A97" s="768" t="s">
        <v>1868</v>
      </c>
      <c r="B97" s="769" t="n">
        <v>22.749</v>
      </c>
      <c r="C97" s="770" t="n">
        <v>1.95</v>
      </c>
      <c r="D97" s="778" t="s">
        <v>1755</v>
      </c>
      <c r="E97" s="772"/>
      <c r="F97" s="768" t="str">
        <f aca="false">A97</f>
        <v>СИЛЬВИЯ</v>
      </c>
      <c r="G97" s="768"/>
      <c r="N97" s="780" t="s">
        <v>1795</v>
      </c>
      <c r="O97" s="616"/>
      <c r="P97" s="768"/>
    </row>
    <row r="98" customFormat="false" ht="12.8" hidden="false" customHeight="true" outlineLevel="0" collapsed="false">
      <c r="A98" s="768" t="s">
        <v>1869</v>
      </c>
      <c r="B98" s="769" t="n">
        <v>22.3991</v>
      </c>
      <c r="C98" s="770" t="n">
        <v>2</v>
      </c>
      <c r="D98" s="781" t="s">
        <v>1755</v>
      </c>
      <c r="E98" s="772"/>
      <c r="F98" s="768" t="str">
        <f aca="false">A98</f>
        <v>СКАЗКА</v>
      </c>
      <c r="G98" s="768"/>
      <c r="N98" s="780" t="s">
        <v>1795</v>
      </c>
      <c r="O98" s="616"/>
      <c r="P98" s="768"/>
    </row>
    <row r="99" customFormat="false" ht="12.8" hidden="false" customHeight="true" outlineLevel="0" collapsed="false">
      <c r="A99" s="768" t="s">
        <v>1870</v>
      </c>
      <c r="B99" s="769" t="n">
        <v>22.3991</v>
      </c>
      <c r="C99" s="770" t="n">
        <v>2</v>
      </c>
      <c r="D99" s="781" t="s">
        <v>1755</v>
      </c>
      <c r="E99" s="772"/>
      <c r="F99" s="768" t="str">
        <f aca="false">A99</f>
        <v>СКАНДИ</v>
      </c>
      <c r="G99" s="768"/>
      <c r="N99" s="780" t="s">
        <v>1795</v>
      </c>
      <c r="O99" s="616"/>
      <c r="P99" s="768"/>
    </row>
    <row r="100" customFormat="false" ht="12.8" hidden="false" customHeight="true" outlineLevel="0" collapsed="false">
      <c r="A100" s="768" t="s">
        <v>1871</v>
      </c>
      <c r="B100" s="769" t="n">
        <v>40.124</v>
      </c>
      <c r="C100" s="770" t="n">
        <v>3</v>
      </c>
      <c r="D100" s="781" t="s">
        <v>1755</v>
      </c>
      <c r="E100" s="772"/>
      <c r="F100" s="768" t="str">
        <f aca="false">A100</f>
        <v>СКРИН 1% (300167)</v>
      </c>
      <c r="G100" s="768"/>
      <c r="N100" s="797" t="s">
        <v>1768</v>
      </c>
      <c r="O100" s="780"/>
    </row>
    <row r="101" customFormat="false" ht="12.8" hidden="false" customHeight="true" outlineLevel="0" collapsed="false">
      <c r="A101" s="768" t="s">
        <v>1872</v>
      </c>
      <c r="B101" s="769" t="n">
        <v>38.102</v>
      </c>
      <c r="C101" s="770" t="n">
        <v>3</v>
      </c>
      <c r="D101" s="778" t="s">
        <v>1755</v>
      </c>
      <c r="E101" s="772"/>
      <c r="F101" s="768" t="str">
        <f aca="false">A101</f>
        <v>СКРИН 3% 300см (300157)</v>
      </c>
      <c r="G101" s="768"/>
      <c r="N101" s="797" t="s">
        <v>1768</v>
      </c>
      <c r="O101" s="780"/>
    </row>
    <row r="102" customFormat="false" ht="12.8" hidden="false" customHeight="true" outlineLevel="0" collapsed="false">
      <c r="A102" s="768" t="s">
        <v>1873</v>
      </c>
      <c r="B102" s="769" t="n">
        <v>31.726</v>
      </c>
      <c r="C102" s="770" t="n">
        <v>2.5</v>
      </c>
      <c r="D102" s="778" t="s">
        <v>1755</v>
      </c>
      <c r="E102" s="772"/>
      <c r="F102" s="768" t="str">
        <f aca="false">A102</f>
        <v>СКРИН 3% 250см (300159)</v>
      </c>
      <c r="G102" s="768"/>
      <c r="N102" s="797" t="s">
        <v>1761</v>
      </c>
      <c r="O102" s="780"/>
    </row>
    <row r="103" customFormat="false" ht="12.8" hidden="false" customHeight="true" outlineLevel="0" collapsed="false">
      <c r="A103" s="768" t="s">
        <v>1874</v>
      </c>
      <c r="B103" s="769" t="n">
        <v>25.35</v>
      </c>
      <c r="C103" s="770" t="n">
        <v>2</v>
      </c>
      <c r="D103" s="778" t="s">
        <v>1755</v>
      </c>
      <c r="E103" s="772"/>
      <c r="F103" s="768" t="str">
        <f aca="false">A103</f>
        <v>СКРИН 3% 200см (300170)</v>
      </c>
      <c r="G103" s="768"/>
      <c r="N103" s="797" t="s">
        <v>1795</v>
      </c>
      <c r="O103" s="780"/>
    </row>
    <row r="104" customFormat="false" ht="12.8" hidden="false" customHeight="true" outlineLevel="0" collapsed="false">
      <c r="A104" s="768" t="s">
        <v>1875</v>
      </c>
      <c r="B104" s="769" t="n">
        <v>35.06</v>
      </c>
      <c r="C104" s="770" t="n">
        <v>3</v>
      </c>
      <c r="D104" s="778" t="s">
        <v>1755</v>
      </c>
      <c r="E104" s="772"/>
      <c r="F104" s="768" t="str">
        <f aca="false">A104</f>
        <v>СКРИН 3% ЭКО (300177)</v>
      </c>
      <c r="G104" s="768"/>
      <c r="N104" s="780" t="s">
        <v>1768</v>
      </c>
      <c r="O104" s="780"/>
    </row>
    <row r="105" customFormat="false" ht="12.8" hidden="false" customHeight="true" outlineLevel="0" collapsed="false">
      <c r="A105" s="768" t="s">
        <v>1876</v>
      </c>
      <c r="B105" s="769" t="n">
        <v>28.927</v>
      </c>
      <c r="C105" s="770" t="n">
        <v>2.5</v>
      </c>
      <c r="D105" s="778" t="s">
        <v>1755</v>
      </c>
      <c r="E105" s="772"/>
      <c r="F105" s="768" t="str">
        <f aca="false">A105</f>
        <v>СКРИН 5% 250см (300112)</v>
      </c>
      <c r="G105" s="768"/>
      <c r="N105" s="780" t="s">
        <v>1768</v>
      </c>
      <c r="O105" s="780"/>
    </row>
    <row r="106" customFormat="false" ht="12.8" hidden="false" customHeight="true" outlineLevel="0" collapsed="false">
      <c r="A106" s="768" t="s">
        <v>1877</v>
      </c>
      <c r="B106" s="769" t="n">
        <v>34.836</v>
      </c>
      <c r="C106" s="770" t="n">
        <v>3</v>
      </c>
      <c r="D106" s="795" t="s">
        <v>1755</v>
      </c>
      <c r="E106" s="772"/>
      <c r="F106" s="768" t="str">
        <f aca="false">A106</f>
        <v>СКРИН 5% 300см (300134)</v>
      </c>
      <c r="G106" s="768"/>
      <c r="N106" s="780" t="s">
        <v>1768</v>
      </c>
      <c r="O106" s="796"/>
    </row>
    <row r="107" customFormat="false" ht="12.8" hidden="false" customHeight="true" outlineLevel="0" collapsed="false">
      <c r="A107" s="768" t="s">
        <v>1878</v>
      </c>
      <c r="B107" s="769" t="n">
        <v>23.172</v>
      </c>
      <c r="C107" s="770" t="n">
        <v>2</v>
      </c>
      <c r="D107" s="795" t="s">
        <v>1755</v>
      </c>
      <c r="E107" s="772"/>
      <c r="F107" s="768" t="str">
        <f aca="false">A107</f>
        <v>СКРИН 5% 200см (300171)</v>
      </c>
      <c r="G107" s="768"/>
      <c r="N107" s="796" t="s">
        <v>1761</v>
      </c>
      <c r="O107" s="796"/>
    </row>
    <row r="108" customFormat="false" ht="12.8" hidden="false" customHeight="true" outlineLevel="0" collapsed="false">
      <c r="A108" s="768" t="s">
        <v>1879</v>
      </c>
      <c r="B108" s="769" t="n">
        <v>28.927</v>
      </c>
      <c r="C108" s="770" t="n">
        <v>2.5</v>
      </c>
      <c r="D108" s="781" t="s">
        <v>1772</v>
      </c>
      <c r="E108" s="772"/>
      <c r="F108" s="768" t="str">
        <f aca="false">A108</f>
        <v>СКРИН 5% 250см (0225 белый )</v>
      </c>
      <c r="G108" s="768"/>
      <c r="N108" s="796" t="s">
        <v>1761</v>
      </c>
      <c r="O108" s="780"/>
    </row>
    <row r="109" customFormat="false" ht="12.8" hidden="false" customHeight="true" outlineLevel="0" collapsed="false">
      <c r="A109" s="768" t="s">
        <v>1880</v>
      </c>
      <c r="B109" s="769" t="n">
        <v>34.836</v>
      </c>
      <c r="C109" s="770" t="n">
        <v>3</v>
      </c>
      <c r="D109" s="771" t="s">
        <v>1772</v>
      </c>
      <c r="E109" s="772"/>
      <c r="F109" s="768" t="str">
        <f aca="false">A109</f>
        <v>СКРИН 5% 300см (0225 белый)</v>
      </c>
      <c r="G109" s="768"/>
      <c r="N109" s="796" t="s">
        <v>1761</v>
      </c>
      <c r="O109" s="777"/>
    </row>
    <row r="110" customFormat="false" ht="12.8" hidden="false" customHeight="true" outlineLevel="0" collapsed="false">
      <c r="A110" s="768" t="s">
        <v>1881</v>
      </c>
      <c r="B110" s="769" t="n">
        <v>34.836</v>
      </c>
      <c r="C110" s="770" t="n">
        <v>3</v>
      </c>
      <c r="D110" s="771" t="s">
        <v>1755</v>
      </c>
      <c r="E110" s="772"/>
      <c r="F110" s="768" t="str">
        <f aca="false">A110</f>
        <v>СКРИН 5% 300см (1881 т.серый, 1908 черный, 1608 св.серый, 2261 св.беж)</v>
      </c>
      <c r="G110" s="768"/>
      <c r="N110" s="796" t="s">
        <v>1761</v>
      </c>
      <c r="O110" s="777"/>
    </row>
    <row r="111" customFormat="false" ht="12.8" hidden="false" customHeight="true" outlineLevel="0" collapsed="false">
      <c r="A111" s="768" t="s">
        <v>1882</v>
      </c>
      <c r="B111" s="769" t="n">
        <v>34.836</v>
      </c>
      <c r="C111" s="770" t="n">
        <v>3</v>
      </c>
      <c r="D111" s="778" t="s">
        <v>1755</v>
      </c>
      <c r="E111" s="772"/>
      <c r="F111" s="768" t="str">
        <f aca="false">A111</f>
        <v>СКРИН 5% 300см (1604 св. серый однотонный, 1882 т. серый однотонный)</v>
      </c>
      <c r="G111" s="768"/>
      <c r="N111" s="780" t="s">
        <v>1761</v>
      </c>
      <c r="O111" s="798"/>
    </row>
    <row r="112" customFormat="false" ht="12.8" hidden="false" customHeight="true" outlineLevel="0" collapsed="false">
      <c r="A112" s="794" t="s">
        <v>1883</v>
      </c>
      <c r="B112" s="769" t="n">
        <v>43.079</v>
      </c>
      <c r="C112" s="770" t="n">
        <v>2.5</v>
      </c>
      <c r="D112" s="778" t="s">
        <v>1755</v>
      </c>
      <c r="E112" s="772"/>
      <c r="F112" s="768" t="str">
        <f aca="false">A112</f>
        <v>СКРИН 5% 250см ALU</v>
      </c>
      <c r="G112" s="794"/>
      <c r="N112" s="777" t="s">
        <v>1761</v>
      </c>
      <c r="O112" s="799"/>
    </row>
    <row r="113" customFormat="false" ht="12.8" hidden="false" customHeight="true" outlineLevel="0" collapsed="false">
      <c r="A113" s="800" t="s">
        <v>1884</v>
      </c>
      <c r="B113" s="801" t="n">
        <v>13.23</v>
      </c>
      <c r="C113" s="770" t="n">
        <v>2</v>
      </c>
      <c r="D113" s="781" t="s">
        <v>1755</v>
      </c>
      <c r="E113" s="772"/>
      <c r="F113" s="768" t="str">
        <f aca="false">A113</f>
        <v>СОЛЕЙ</v>
      </c>
      <c r="G113" s="800"/>
      <c r="N113" s="777" t="s">
        <v>1814</v>
      </c>
      <c r="O113" s="802"/>
    </row>
    <row r="114" customFormat="false" ht="12.8" hidden="false" customHeight="true" outlineLevel="0" collapsed="false">
      <c r="A114" s="800" t="s">
        <v>1885</v>
      </c>
      <c r="B114" s="801" t="n">
        <v>14.3335</v>
      </c>
      <c r="C114" s="770" t="n">
        <v>2.4</v>
      </c>
      <c r="D114" s="778" t="s">
        <v>1755</v>
      </c>
      <c r="E114" s="772"/>
      <c r="F114" s="768" t="str">
        <f aca="false">A114</f>
        <v>СОУЛ</v>
      </c>
      <c r="G114" s="800"/>
      <c r="N114" s="798" t="s">
        <v>1761</v>
      </c>
      <c r="O114" s="780"/>
    </row>
    <row r="115" customFormat="false" ht="12.8" hidden="false" customHeight="true" outlineLevel="0" collapsed="false">
      <c r="A115" s="800" t="s">
        <v>1886</v>
      </c>
      <c r="B115" s="801" t="n">
        <v>13.219</v>
      </c>
      <c r="C115" s="770" t="n">
        <v>2</v>
      </c>
      <c r="D115" s="778" t="s">
        <v>1755</v>
      </c>
      <c r="E115" s="772"/>
      <c r="F115" s="768" t="str">
        <f aca="false">A115</f>
        <v>СОФИЯ</v>
      </c>
      <c r="G115" s="800"/>
      <c r="N115" s="799" t="s">
        <v>1814</v>
      </c>
      <c r="O115" s="780"/>
    </row>
    <row r="116" customFormat="false" ht="12.8" hidden="false" customHeight="true" outlineLevel="0" collapsed="false">
      <c r="A116" s="800" t="s">
        <v>1887</v>
      </c>
      <c r="B116" s="801" t="n">
        <v>21.617</v>
      </c>
      <c r="C116" s="770" t="n">
        <v>2.2</v>
      </c>
      <c r="D116" s="778" t="s">
        <v>1755</v>
      </c>
      <c r="E116" s="772"/>
      <c r="F116" s="768" t="str">
        <f aca="false">A116</f>
        <v>СФЕРА б/о</v>
      </c>
      <c r="G116" s="800"/>
      <c r="N116" s="802" t="s">
        <v>1768</v>
      </c>
      <c r="O116" s="780"/>
    </row>
    <row r="117" customFormat="false" ht="12.8" hidden="false" customHeight="true" outlineLevel="0" collapsed="false">
      <c r="A117" s="800" t="s">
        <v>1888</v>
      </c>
      <c r="B117" s="801" t="n">
        <v>23.4384</v>
      </c>
      <c r="C117" s="770" t="n">
        <v>2.5</v>
      </c>
      <c r="D117" s="778" t="s">
        <v>1755</v>
      </c>
      <c r="E117" s="772"/>
      <c r="F117" s="768" t="str">
        <f aca="false">A117</f>
        <v>ТАЛЬНИК</v>
      </c>
      <c r="G117" s="800"/>
      <c r="N117" s="780" t="s">
        <v>1761</v>
      </c>
      <c r="O117" s="780"/>
    </row>
    <row r="118" customFormat="false" ht="12.8" hidden="false" customHeight="true" outlineLevel="0" collapsed="false">
      <c r="A118" s="800" t="s">
        <v>1889</v>
      </c>
      <c r="B118" s="801" t="n">
        <v>42.9878</v>
      </c>
      <c r="C118" s="770" t="n">
        <v>2</v>
      </c>
      <c r="D118" s="781" t="s">
        <v>1755</v>
      </c>
      <c r="E118" s="772"/>
      <c r="F118" s="768" t="str">
        <f aca="false">A118</f>
        <v>ТОЛЕДО</v>
      </c>
      <c r="G118" s="800"/>
      <c r="N118" s="780" t="s">
        <v>1761</v>
      </c>
      <c r="O118" s="780"/>
    </row>
    <row r="119" customFormat="false" ht="12.8" hidden="false" customHeight="true" outlineLevel="0" collapsed="false">
      <c r="A119" s="800" t="s">
        <v>1890</v>
      </c>
      <c r="B119" s="801" t="n">
        <v>13.23</v>
      </c>
      <c r="C119" s="770" t="n">
        <v>2</v>
      </c>
      <c r="D119" s="778" t="s">
        <v>1755</v>
      </c>
      <c r="E119" s="772"/>
      <c r="F119" s="768" t="str">
        <f aca="false">A119</f>
        <v>ТРЕВИ</v>
      </c>
      <c r="G119" s="800"/>
      <c r="N119" s="780" t="s">
        <v>1761</v>
      </c>
      <c r="O119" s="780"/>
    </row>
    <row r="120" customFormat="false" ht="12.8" hidden="false" customHeight="true" outlineLevel="0" collapsed="false">
      <c r="A120" s="800" t="s">
        <v>1891</v>
      </c>
      <c r="B120" s="801" t="n">
        <v>41.8882</v>
      </c>
      <c r="C120" s="770" t="n">
        <v>2.4</v>
      </c>
      <c r="D120" s="778" t="s">
        <v>1755</v>
      </c>
      <c r="E120" s="772"/>
      <c r="F120" s="768" t="str">
        <f aca="false">A120</f>
        <v>ТРОПИК</v>
      </c>
      <c r="G120" s="800"/>
      <c r="N120" s="780" t="s">
        <v>1761</v>
      </c>
      <c r="O120" s="780"/>
    </row>
    <row r="121" customFormat="false" ht="12.8" hidden="false" customHeight="true" outlineLevel="0" collapsed="false">
      <c r="A121" s="800" t="s">
        <v>1892</v>
      </c>
      <c r="B121" s="801" t="n">
        <v>15.75</v>
      </c>
      <c r="C121" s="770" t="n">
        <v>2</v>
      </c>
      <c r="D121" s="778" t="s">
        <v>1755</v>
      </c>
      <c r="E121" s="772"/>
      <c r="F121" s="768" t="str">
        <f aca="false">A121</f>
        <v>ФИЕСТА</v>
      </c>
      <c r="G121" s="800"/>
      <c r="N121" s="780" t="s">
        <v>1761</v>
      </c>
      <c r="O121" s="780"/>
    </row>
    <row r="122" customFormat="false" ht="12.8" hidden="false" customHeight="true" outlineLevel="0" collapsed="false">
      <c r="A122" s="800" t="s">
        <v>1893</v>
      </c>
      <c r="B122" s="801" t="n">
        <v>17.82</v>
      </c>
      <c r="C122" s="770" t="n">
        <v>2</v>
      </c>
      <c r="D122" s="778" t="s">
        <v>1755</v>
      </c>
      <c r="E122" s="772"/>
      <c r="F122" s="768" t="str">
        <f aca="false">A122</f>
        <v>ФЛАЙ</v>
      </c>
      <c r="G122" s="800"/>
      <c r="N122" s="780" t="s">
        <v>1761</v>
      </c>
      <c r="O122" s="780"/>
    </row>
    <row r="123" customFormat="false" ht="12.8" hidden="false" customHeight="true" outlineLevel="0" collapsed="false">
      <c r="A123" s="800" t="s">
        <v>1894</v>
      </c>
      <c r="B123" s="801" t="n">
        <v>22.3991</v>
      </c>
      <c r="C123" s="770" t="n">
        <v>2</v>
      </c>
      <c r="D123" s="778" t="s">
        <v>1755</v>
      </c>
      <c r="E123" s="772"/>
      <c r="F123" s="768" t="str">
        <f aca="false">A123</f>
        <v>ФЛЁР</v>
      </c>
      <c r="G123" s="800"/>
      <c r="N123" s="780" t="s">
        <v>1795</v>
      </c>
      <c r="O123" s="780"/>
    </row>
    <row r="124" customFormat="false" ht="12.8" hidden="false" customHeight="true" outlineLevel="0" collapsed="false">
      <c r="A124" s="800" t="s">
        <v>1895</v>
      </c>
      <c r="B124" s="801" t="n">
        <v>26.8615</v>
      </c>
      <c r="C124" s="770" t="n">
        <v>2</v>
      </c>
      <c r="D124" s="778" t="s">
        <v>1755</v>
      </c>
      <c r="E124" s="772"/>
      <c r="F124" s="768" t="str">
        <f aca="false">A124</f>
        <v>ФЛОРА б/о</v>
      </c>
      <c r="G124" s="800"/>
      <c r="N124" s="780" t="s">
        <v>1761</v>
      </c>
      <c r="O124" s="780"/>
    </row>
    <row r="125" customFormat="false" ht="12.8" hidden="false" customHeight="true" outlineLevel="0" collapsed="false">
      <c r="A125" s="800" t="s">
        <v>1896</v>
      </c>
      <c r="B125" s="801" t="n">
        <v>10.5</v>
      </c>
      <c r="C125" s="770" t="n">
        <v>3</v>
      </c>
      <c r="D125" s="778" t="s">
        <v>1772</v>
      </c>
      <c r="E125" s="772"/>
      <c r="F125" s="768" t="str">
        <f aca="false">A125</f>
        <v>ФОГ</v>
      </c>
      <c r="G125" s="800"/>
      <c r="N125" s="780" t="s">
        <v>1761</v>
      </c>
      <c r="O125" s="780"/>
    </row>
    <row r="126" customFormat="false" ht="12.8" hidden="false" customHeight="true" outlineLevel="0" collapsed="false">
      <c r="A126" s="800" t="s">
        <v>1897</v>
      </c>
      <c r="B126" s="801" t="n">
        <v>16.35</v>
      </c>
      <c r="C126" s="770" t="n">
        <v>3</v>
      </c>
      <c r="D126" s="778" t="s">
        <v>1755</v>
      </c>
      <c r="E126" s="772"/>
      <c r="F126" s="768" t="str">
        <f aca="false">A126</f>
        <v>ФРИДЖ</v>
      </c>
      <c r="G126" s="800"/>
      <c r="N126" s="780" t="s">
        <v>1768</v>
      </c>
      <c r="O126" s="780"/>
    </row>
    <row r="127" customFormat="false" ht="12.8" hidden="false" customHeight="true" outlineLevel="0" collapsed="false">
      <c r="A127" s="800" t="s">
        <v>1898</v>
      </c>
      <c r="B127" s="801" t="n">
        <v>27.2739</v>
      </c>
      <c r="C127" s="770" t="n">
        <v>1.8</v>
      </c>
      <c r="D127" s="781" t="s">
        <v>1755</v>
      </c>
      <c r="E127" s="772"/>
      <c r="F127" s="768" t="str">
        <f aca="false">A127</f>
        <v>ШАНХАЙ</v>
      </c>
      <c r="G127" s="800"/>
      <c r="N127" s="780" t="s">
        <v>1768</v>
      </c>
      <c r="O127" s="780"/>
    </row>
    <row r="128" customFormat="false" ht="12.8" hidden="false" customHeight="true" outlineLevel="0" collapsed="false">
      <c r="A128" s="800" t="s">
        <v>1899</v>
      </c>
      <c r="B128" s="801" t="n">
        <v>15.0065</v>
      </c>
      <c r="C128" s="770" t="n">
        <v>2</v>
      </c>
      <c r="D128" s="781" t="s">
        <v>1772</v>
      </c>
      <c r="E128" s="772"/>
      <c r="F128" s="768" t="str">
        <f aca="false">A128</f>
        <v>ШЁЛК </v>
      </c>
      <c r="G128" s="800"/>
      <c r="N128" s="780" t="s">
        <v>1795</v>
      </c>
      <c r="O128" s="780"/>
    </row>
    <row r="129" customFormat="false" ht="12.8" hidden="false" customHeight="true" outlineLevel="0" collapsed="false">
      <c r="A129" s="800" t="s">
        <v>1900</v>
      </c>
      <c r="B129" s="801" t="n">
        <v>27.1137</v>
      </c>
      <c r="C129" s="770" t="n">
        <v>2</v>
      </c>
      <c r="D129" s="778" t="s">
        <v>1772</v>
      </c>
      <c r="E129" s="772"/>
      <c r="F129" s="768" t="str">
        <f aca="false">A129</f>
        <v>ШЁЛК б/о</v>
      </c>
      <c r="G129" s="800"/>
      <c r="N129" s="780" t="s">
        <v>1768</v>
      </c>
      <c r="O129" s="780"/>
    </row>
    <row r="130" customFormat="false" ht="12.8" hidden="false" customHeight="true" outlineLevel="0" collapsed="false">
      <c r="A130" s="800" t="s">
        <v>1901</v>
      </c>
      <c r="B130" s="801" t="n">
        <v>9.7676</v>
      </c>
      <c r="C130" s="770" t="n">
        <v>2</v>
      </c>
      <c r="D130" s="778" t="s">
        <v>1772</v>
      </c>
      <c r="E130" s="772"/>
      <c r="F130" s="768" t="str">
        <f aca="false">A130</f>
        <v>ШЁЛК II</v>
      </c>
      <c r="G130" s="800"/>
      <c r="N130" s="780" t="s">
        <v>1761</v>
      </c>
      <c r="O130" s="780"/>
    </row>
    <row r="131" customFormat="false" ht="12.8" hidden="false" customHeight="true" outlineLevel="0" collapsed="false">
      <c r="A131" s="800" t="s">
        <v>1902</v>
      </c>
      <c r="B131" s="801" t="n">
        <v>20.9105</v>
      </c>
      <c r="C131" s="770" t="n">
        <v>1.8</v>
      </c>
      <c r="D131" s="778" t="s">
        <v>1755</v>
      </c>
      <c r="E131" s="772"/>
      <c r="F131" s="768" t="str">
        <f aca="false">A131</f>
        <v>ШИКАТАН Путь самурая</v>
      </c>
      <c r="G131" s="800"/>
      <c r="N131" s="780" t="s">
        <v>1795</v>
      </c>
      <c r="O131" s="780"/>
    </row>
    <row r="132" customFormat="false" ht="12.8" hidden="false" customHeight="true" outlineLevel="0" collapsed="false">
      <c r="A132" s="800" t="s">
        <v>1903</v>
      </c>
      <c r="B132" s="801" t="n">
        <v>20.9105</v>
      </c>
      <c r="C132" s="770" t="n">
        <v>1.8</v>
      </c>
      <c r="D132" s="778" t="s">
        <v>1755</v>
      </c>
      <c r="E132" s="772"/>
      <c r="F132" s="768" t="str">
        <f aca="false">A132</f>
        <v>ШИКАТАН Чайная церемония </v>
      </c>
      <c r="G132" s="800"/>
      <c r="N132" s="780" t="s">
        <v>1761</v>
      </c>
      <c r="O132" s="780"/>
    </row>
    <row r="133" customFormat="false" ht="12.8" hidden="false" customHeight="true" outlineLevel="0" collapsed="false">
      <c r="A133" s="800" t="s">
        <v>1904</v>
      </c>
      <c r="B133" s="801" t="n">
        <v>11.664</v>
      </c>
      <c r="C133" s="770" t="n">
        <v>2.2</v>
      </c>
      <c r="D133" s="778" t="s">
        <v>1755</v>
      </c>
      <c r="E133" s="772"/>
      <c r="F133" s="768" t="str">
        <f aca="false">A133</f>
        <v>ЭЛЬБА</v>
      </c>
      <c r="G133" s="800"/>
      <c r="N133" s="780" t="s">
        <v>1795</v>
      </c>
      <c r="O133" s="780"/>
    </row>
    <row r="134" customFormat="false" ht="12.8" hidden="false" customHeight="true" outlineLevel="0" collapsed="false">
      <c r="A134" s="800" t="s">
        <v>1905</v>
      </c>
      <c r="B134" s="801" t="n">
        <v>17.7327</v>
      </c>
      <c r="C134" s="770" t="n">
        <v>3</v>
      </c>
      <c r="D134" s="778" t="s">
        <v>1755</v>
      </c>
      <c r="E134" s="772"/>
      <c r="F134" s="768" t="str">
        <f aca="false">A134</f>
        <v>ЮТА</v>
      </c>
      <c r="G134" s="800"/>
      <c r="N134" s="780" t="s">
        <v>1768</v>
      </c>
      <c r="O134" s="780"/>
    </row>
    <row r="135" customFormat="false" ht="12.8" hidden="false" customHeight="true" outlineLevel="0" collapsed="false">
      <c r="A135" s="800" t="s">
        <v>1906</v>
      </c>
      <c r="B135" s="801" t="n">
        <v>28.305</v>
      </c>
      <c r="C135" s="770" t="n">
        <v>2.9</v>
      </c>
      <c r="D135" s="778" t="s">
        <v>1755</v>
      </c>
      <c r="E135" s="772"/>
      <c r="F135" s="768" t="str">
        <f aca="false">A135</f>
        <v>ЮТА б/о</v>
      </c>
      <c r="G135" s="800"/>
      <c r="N135" s="780" t="s">
        <v>1795</v>
      </c>
      <c r="O135" s="780"/>
    </row>
    <row r="136" customFormat="false" ht="12.8" hidden="false" customHeight="true" outlineLevel="0" collapsed="false">
      <c r="A136" s="800" t="s">
        <v>1907</v>
      </c>
      <c r="B136" s="801" t="n">
        <v>37.886</v>
      </c>
      <c r="C136" s="770" t="n">
        <v>2.3</v>
      </c>
      <c r="D136" s="778" t="s">
        <v>1755</v>
      </c>
      <c r="E136" s="772"/>
      <c r="F136" s="768" t="str">
        <f aca="false">A136</f>
        <v>ЯМАЙКА</v>
      </c>
      <c r="G136" s="800"/>
      <c r="N136" s="780" t="s">
        <v>1768</v>
      </c>
      <c r="O136" s="780"/>
    </row>
    <row r="137" customFormat="false" ht="12.8" hidden="false" customHeight="true" outlineLevel="0" collapsed="false">
      <c r="A137" s="800" t="s">
        <v>1908</v>
      </c>
      <c r="B137" s="801" t="n">
        <v>65.27247213</v>
      </c>
      <c r="C137" s="770" t="n">
        <v>2.5</v>
      </c>
      <c r="D137" s="778" t="s">
        <v>1755</v>
      </c>
      <c r="E137" s="772"/>
      <c r="F137" s="768" t="str">
        <f aca="false">A137</f>
        <v>АЛИСА б/о</v>
      </c>
      <c r="G137" s="800"/>
      <c r="N137" s="780" t="s">
        <v>1761</v>
      </c>
      <c r="O137" s="780"/>
    </row>
    <row r="138" customFormat="false" ht="12.8" hidden="false" customHeight="true" outlineLevel="0" collapsed="false">
      <c r="A138" s="800" t="s">
        <v>1909</v>
      </c>
      <c r="B138" s="801" t="n">
        <v>21.35581521</v>
      </c>
      <c r="C138" s="770" t="n">
        <v>2</v>
      </c>
      <c r="D138" s="778" t="s">
        <v>1772</v>
      </c>
      <c r="E138" s="772"/>
      <c r="F138" s="768" t="str">
        <f aca="false">A138</f>
        <v>ЖЕМЧУГ</v>
      </c>
      <c r="G138" s="800"/>
      <c r="N138" s="780" t="s">
        <v>1761</v>
      </c>
      <c r="O138" s="780"/>
    </row>
    <row r="139" customFormat="false" ht="12.8" hidden="false" customHeight="true" outlineLevel="0" collapsed="false">
      <c r="A139" s="800" t="s">
        <v>1910</v>
      </c>
      <c r="B139" s="801" t="n">
        <v>62.83242058</v>
      </c>
      <c r="C139" s="770" t="n">
        <v>2.5</v>
      </c>
      <c r="D139" s="778" t="s">
        <v>1755</v>
      </c>
      <c r="E139" s="772"/>
      <c r="F139" s="768" t="str">
        <f aca="false">A139</f>
        <v>ПРИНЦ б/о</v>
      </c>
      <c r="G139" s="800"/>
      <c r="N139" s="780" t="s">
        <v>1761</v>
      </c>
      <c r="O139" s="780"/>
    </row>
    <row r="140" customFormat="false" ht="12.8" hidden="false" customHeight="true" outlineLevel="0" collapsed="false">
      <c r="A140" s="800"/>
      <c r="B140" s="801"/>
      <c r="C140" s="770"/>
      <c r="D140" s="778"/>
      <c r="E140" s="772"/>
      <c r="F140" s="768"/>
      <c r="G140" s="800"/>
      <c r="N140" s="780" t="s">
        <v>1795</v>
      </c>
      <c r="O140" s="780"/>
    </row>
    <row r="141" customFormat="false" ht="12.8" hidden="false" customHeight="true" outlineLevel="0" collapsed="false">
      <c r="A141" s="800"/>
      <c r="B141" s="801"/>
      <c r="C141" s="770"/>
      <c r="D141" s="778"/>
      <c r="E141" s="772"/>
      <c r="F141" s="768"/>
      <c r="G141" s="800"/>
      <c r="N141" s="780" t="s">
        <v>1761</v>
      </c>
      <c r="O141" s="780"/>
    </row>
    <row r="142" customFormat="false" ht="12.8" hidden="false" customHeight="true" outlineLevel="0" collapsed="false">
      <c r="A142" s="800"/>
      <c r="B142" s="801"/>
      <c r="C142" s="770"/>
      <c r="D142" s="778"/>
      <c r="E142" s="772"/>
      <c r="F142" s="768"/>
      <c r="G142" s="800"/>
      <c r="N142" s="780" t="s">
        <v>1761</v>
      </c>
      <c r="O142" s="780"/>
    </row>
    <row r="143" customFormat="false" ht="12.8" hidden="false" customHeight="true" outlineLevel="0" collapsed="false">
      <c r="A143" s="800"/>
      <c r="B143" s="801"/>
      <c r="C143" s="770"/>
      <c r="D143" s="778"/>
      <c r="E143" s="772"/>
      <c r="F143" s="768"/>
      <c r="G143" s="800"/>
      <c r="N143" s="780" t="s">
        <v>1768</v>
      </c>
      <c r="O143" s="780"/>
    </row>
    <row r="144" customFormat="false" ht="12.8" hidden="false" customHeight="true" outlineLevel="0" collapsed="false">
      <c r="A144" s="800"/>
      <c r="B144" s="801"/>
      <c r="C144" s="770"/>
      <c r="D144" s="778"/>
      <c r="E144" s="772"/>
      <c r="F144" s="768"/>
      <c r="G144" s="800"/>
      <c r="N144" s="780" t="s">
        <v>1768</v>
      </c>
      <c r="O144" s="780"/>
    </row>
    <row r="145" customFormat="false" ht="12.8" hidden="false" customHeight="true" outlineLevel="0" collapsed="false">
      <c r="A145" s="800"/>
      <c r="B145" s="769"/>
      <c r="C145" s="770"/>
      <c r="D145" s="778"/>
      <c r="E145" s="772"/>
      <c r="F145" s="768"/>
      <c r="G145" s="800"/>
      <c r="N145" s="780" t="s">
        <v>1768</v>
      </c>
      <c r="O145" s="780"/>
    </row>
    <row r="146" customFormat="false" ht="12.8" hidden="false" customHeight="true" outlineLevel="0" collapsed="false">
      <c r="A146" s="800"/>
      <c r="B146" s="801"/>
      <c r="C146" s="770"/>
      <c r="D146" s="781"/>
      <c r="E146" s="772"/>
      <c r="F146" s="768"/>
      <c r="G146" s="800"/>
      <c r="N146" s="780" t="s">
        <v>1768</v>
      </c>
      <c r="O146" s="780"/>
    </row>
    <row r="147" customFormat="false" ht="12.8" hidden="false" customHeight="true" outlineLevel="0" collapsed="false">
      <c r="A147" s="768"/>
      <c r="B147" s="769"/>
      <c r="C147" s="770"/>
      <c r="D147" s="778"/>
      <c r="E147" s="772"/>
      <c r="F147" s="768"/>
      <c r="G147" s="768"/>
      <c r="N147" s="780" t="s">
        <v>1761</v>
      </c>
      <c r="O147" s="780"/>
    </row>
    <row r="148" customFormat="false" ht="12.8" hidden="false" customHeight="true" outlineLevel="0" collapsed="false">
      <c r="A148" s="800"/>
      <c r="B148" s="801"/>
      <c r="C148" s="770"/>
      <c r="D148" s="778"/>
      <c r="E148" s="772"/>
      <c r="F148" s="768"/>
      <c r="G148" s="800"/>
      <c r="N148" s="780" t="s">
        <v>1761</v>
      </c>
      <c r="O148" s="780"/>
    </row>
    <row r="149" customFormat="false" ht="12.8" hidden="false" customHeight="true" outlineLevel="0" collapsed="false">
      <c r="A149" s="800"/>
      <c r="B149" s="801"/>
      <c r="C149" s="770"/>
      <c r="D149" s="778"/>
      <c r="E149" s="772"/>
      <c r="F149" s="768"/>
      <c r="G149" s="800"/>
      <c r="N149" s="780" t="s">
        <v>1795</v>
      </c>
      <c r="O149" s="780"/>
    </row>
    <row r="150" customFormat="false" ht="12.8" hidden="false" customHeight="true" outlineLevel="0" collapsed="false">
      <c r="A150" s="800"/>
      <c r="B150" s="801"/>
      <c r="C150" s="770"/>
      <c r="D150" s="778"/>
      <c r="E150" s="772"/>
      <c r="F150" s="768"/>
      <c r="G150" s="800"/>
      <c r="N150" s="780" t="s">
        <v>1814</v>
      </c>
      <c r="O150" s="780"/>
    </row>
    <row r="151" customFormat="false" ht="12.8" hidden="false" customHeight="true" outlineLevel="0" collapsed="false">
      <c r="A151" s="800"/>
      <c r="B151" s="801"/>
      <c r="C151" s="770"/>
      <c r="D151" s="778"/>
      <c r="E151" s="772"/>
      <c r="F151" s="768"/>
      <c r="G151" s="800"/>
      <c r="N151" s="780" t="s">
        <v>1768</v>
      </c>
      <c r="O151" s="780"/>
    </row>
    <row r="152" customFormat="false" ht="12.8" hidden="false" customHeight="true" outlineLevel="0" collapsed="false">
      <c r="A152" s="800"/>
      <c r="B152" s="801"/>
      <c r="C152" s="770"/>
      <c r="D152" s="781"/>
      <c r="E152" s="772"/>
      <c r="F152" s="768"/>
      <c r="G152" s="800"/>
      <c r="N152" s="780" t="s">
        <v>1761</v>
      </c>
      <c r="O152" s="780"/>
    </row>
    <row r="153" customFormat="false" ht="12.8" hidden="false" customHeight="true" outlineLevel="0" collapsed="false">
      <c r="A153" s="800"/>
      <c r="B153" s="801"/>
      <c r="C153" s="770"/>
      <c r="D153" s="778"/>
      <c r="E153" s="772"/>
      <c r="F153" s="768"/>
      <c r="G153" s="800"/>
      <c r="N153" s="780" t="s">
        <v>1761</v>
      </c>
      <c r="O153" s="780"/>
    </row>
    <row r="154" customFormat="false" ht="12.8" hidden="false" customHeight="true" outlineLevel="0" collapsed="false">
      <c r="A154" s="800"/>
      <c r="B154" s="801"/>
      <c r="C154" s="770"/>
      <c r="D154" s="778"/>
      <c r="E154" s="772"/>
      <c r="F154" s="768"/>
      <c r="G154" s="800"/>
      <c r="N154" s="780" t="s">
        <v>1768</v>
      </c>
      <c r="O154" s="780"/>
    </row>
    <row r="155" customFormat="false" ht="12.8" hidden="false" customHeight="true" outlineLevel="0" collapsed="false">
      <c r="A155" s="800"/>
      <c r="B155" s="801"/>
      <c r="C155" s="770"/>
      <c r="D155" s="781"/>
      <c r="E155" s="772"/>
      <c r="F155" s="768"/>
      <c r="G155" s="800"/>
      <c r="N155" s="780" t="s">
        <v>1761</v>
      </c>
      <c r="O155" s="780"/>
    </row>
    <row r="156" customFormat="false" ht="12.8" hidden="false" customHeight="true" outlineLevel="0" collapsed="false">
      <c r="A156" s="800"/>
      <c r="B156" s="801"/>
      <c r="C156" s="770"/>
      <c r="D156" s="781"/>
      <c r="E156" s="772"/>
      <c r="F156" s="768"/>
      <c r="G156" s="800"/>
      <c r="N156" s="780" t="s">
        <v>1761</v>
      </c>
      <c r="O156" s="780"/>
    </row>
    <row r="157" customFormat="false" ht="12.8" hidden="false" customHeight="true" outlineLevel="0" collapsed="false">
      <c r="A157" s="800"/>
      <c r="B157" s="801"/>
      <c r="C157" s="770"/>
      <c r="D157" s="781"/>
      <c r="E157" s="772"/>
      <c r="F157" s="768"/>
      <c r="G157" s="800"/>
      <c r="N157" s="780" t="s">
        <v>1761</v>
      </c>
      <c r="O157" s="780"/>
    </row>
    <row r="158" customFormat="false" ht="12.8" hidden="false" customHeight="true" outlineLevel="0" collapsed="false">
      <c r="A158" s="800"/>
      <c r="B158" s="801"/>
      <c r="C158" s="770"/>
      <c r="D158" s="781"/>
      <c r="E158" s="772"/>
      <c r="F158" s="768"/>
      <c r="G158" s="800"/>
      <c r="N158" s="780" t="s">
        <v>1761</v>
      </c>
      <c r="O158" s="780"/>
    </row>
    <row r="159" customFormat="false" ht="12.8" hidden="false" customHeight="true" outlineLevel="0" collapsed="false">
      <c r="A159" s="800"/>
      <c r="B159" s="801"/>
      <c r="C159" s="770"/>
      <c r="D159" s="781"/>
      <c r="E159" s="772"/>
      <c r="F159" s="768"/>
      <c r="G159" s="800"/>
      <c r="N159" s="780" t="s">
        <v>1761</v>
      </c>
      <c r="O159" s="780"/>
    </row>
    <row r="160" customFormat="false" ht="12.8" hidden="false" customHeight="true" outlineLevel="0" collapsed="false">
      <c r="A160" s="800"/>
      <c r="B160" s="801"/>
      <c r="C160" s="770"/>
      <c r="D160" s="781"/>
      <c r="E160" s="772"/>
      <c r="F160" s="768"/>
      <c r="G160" s="800"/>
      <c r="N160" s="780" t="s">
        <v>1761</v>
      </c>
      <c r="O160" s="798"/>
    </row>
    <row r="161" customFormat="false" ht="12.8" hidden="false" customHeight="true" outlineLevel="0" collapsed="false">
      <c r="A161" s="803"/>
      <c r="B161" s="804"/>
      <c r="C161" s="770"/>
      <c r="D161" s="772"/>
      <c r="E161" s="772"/>
      <c r="F161" s="768"/>
      <c r="G161" s="803"/>
      <c r="N161" s="780" t="s">
        <v>1761</v>
      </c>
    </row>
    <row r="162" customFormat="false" ht="12.8" hidden="false" customHeight="true" outlineLevel="0" collapsed="false">
      <c r="A162" s="803"/>
      <c r="B162" s="804"/>
      <c r="C162" s="770"/>
      <c r="D162" s="772"/>
      <c r="E162" s="772"/>
      <c r="F162" s="768"/>
      <c r="G162" s="803"/>
      <c r="N162" s="780" t="s">
        <v>1795</v>
      </c>
    </row>
    <row r="163" customFormat="false" ht="12.8" hidden="false" customHeight="true" outlineLevel="0" collapsed="false">
      <c r="A163" s="803"/>
      <c r="B163" s="804"/>
      <c r="C163" s="770"/>
      <c r="D163" s="772"/>
      <c r="E163" s="772"/>
      <c r="F163" s="768"/>
      <c r="G163" s="803"/>
      <c r="N163" s="798" t="s">
        <v>1795</v>
      </c>
    </row>
    <row r="164" customFormat="false" ht="12.8" hidden="false" customHeight="true" outlineLevel="0" collapsed="false">
      <c r="F164" s="768"/>
    </row>
    <row r="165" customFormat="false" ht="12.8" hidden="false" customHeight="true" outlineLevel="0" collapsed="false">
      <c r="F165" s="768"/>
    </row>
    <row r="166" customFormat="false" ht="12.8" hidden="false" customHeight="true" outlineLevel="0" collapsed="false">
      <c r="F166" s="768"/>
    </row>
    <row r="167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H18 E51" type="list">
      <formula1>'цены ткани Amigo'!$H$6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6"/>
  <sheetViews>
    <sheetView showFormulas="false" showGridLines="true" showRowColHeaders="true" showZeros="true" rightToLeft="false" tabSelected="false" showOutlineSymbols="true" defaultGridColor="true" view="normal" topLeftCell="A112" colorId="64" zoomScale="110" zoomScaleNormal="110" zoomScalePageLayoutView="100" workbookViewId="0">
      <selection pane="topLeft" activeCell="C284" activeCellId="0" sqref="C284"/>
    </sheetView>
  </sheetViews>
  <sheetFormatPr defaultColWidth="8.8046875" defaultRowHeight="12.8" zeroHeight="false" outlineLevelRow="0" outlineLevelCol="0"/>
  <cols>
    <col collapsed="false" customWidth="true" hidden="false" outlineLevel="0" max="1" min="1" style="637" width="9.56"/>
    <col collapsed="false" customWidth="true" hidden="false" outlineLevel="0" max="2" min="2" style="637" width="13.33"/>
    <col collapsed="false" customWidth="true" hidden="false" outlineLevel="0" max="3" min="3" style="637" width="48.55"/>
    <col collapsed="false" customWidth="true" hidden="false" outlineLevel="0" max="4" min="4" style="637" width="53.45"/>
    <col collapsed="false" customWidth="true" hidden="false" outlineLevel="0" max="5" min="5" style="637" width="12.56"/>
    <col collapsed="false" customWidth="true" hidden="false" outlineLevel="0" max="6" min="6" style="637" width="10.77"/>
    <col collapsed="false" customWidth="false" hidden="false" outlineLevel="0" max="1024" min="7" style="637" width="8.79"/>
  </cols>
  <sheetData>
    <row r="1" s="806" customFormat="true" ht="13.8" hidden="false" customHeight="false" outlineLevel="0" collapsed="false">
      <c r="A1" s="637"/>
      <c r="B1" s="637"/>
      <c r="C1" s="637"/>
      <c r="D1" s="805" t="s">
        <v>1911</v>
      </c>
      <c r="E1" s="321"/>
    </row>
    <row r="2" s="806" customFormat="true" ht="13.8" hidden="false" customHeight="false" outlineLevel="0" collapsed="false">
      <c r="A2" s="637"/>
      <c r="B2" s="637"/>
      <c r="C2" s="637"/>
      <c r="D2" s="807" t="s">
        <v>1912</v>
      </c>
      <c r="E2" s="321"/>
    </row>
    <row r="3" s="806" customFormat="true" ht="13.8" hidden="false" customHeight="false" outlineLevel="0" collapsed="false">
      <c r="A3" s="637"/>
      <c r="B3" s="637"/>
      <c r="C3" s="637"/>
      <c r="D3" s="807" t="s">
        <v>1913</v>
      </c>
      <c r="E3" s="321"/>
    </row>
    <row r="4" s="806" customFormat="true" ht="13.8" hidden="false" customHeight="false" outlineLevel="0" collapsed="false">
      <c r="A4" s="637"/>
      <c r="B4" s="637"/>
      <c r="C4" s="637"/>
      <c r="D4" s="808" t="s">
        <v>1914</v>
      </c>
      <c r="E4" s="321"/>
    </row>
    <row r="5" s="806" customFormat="true" ht="13.8" hidden="false" customHeight="false" outlineLevel="0" collapsed="false">
      <c r="A5" s="637"/>
      <c r="B5" s="637"/>
      <c r="C5" s="637"/>
      <c r="D5" s="637"/>
      <c r="E5" s="637"/>
    </row>
    <row r="6" customFormat="false" ht="15" hidden="false" customHeight="false" outlineLevel="0" collapsed="false">
      <c r="B6" s="809" t="s">
        <v>1915</v>
      </c>
      <c r="E6" s="810"/>
    </row>
    <row r="7" customFormat="false" ht="15" hidden="false" customHeight="false" outlineLevel="0" collapsed="false">
      <c r="A7" s="810"/>
      <c r="B7" s="811" t="s">
        <v>1916</v>
      </c>
      <c r="E7" s="810"/>
    </row>
    <row r="8" customFormat="false" ht="15" hidden="false" customHeight="false" outlineLevel="0" collapsed="false">
      <c r="A8" s="805"/>
      <c r="B8" s="809" t="s">
        <v>1917</v>
      </c>
      <c r="D8" s="812" t="s">
        <v>1918</v>
      </c>
      <c r="E8" s="813" t="n">
        <v>44693</v>
      </c>
    </row>
    <row r="9" customFormat="false" ht="6" hidden="false" customHeight="true" outlineLevel="0" collapsed="false">
      <c r="D9" s="810"/>
      <c r="E9" s="321"/>
    </row>
    <row r="10" customFormat="false" ht="12.8" hidden="false" customHeight="false" outlineLevel="0" collapsed="false">
      <c r="B10" s="814" t="s">
        <v>1919</v>
      </c>
    </row>
    <row r="11" customFormat="false" ht="12.8" hidden="false" customHeight="false" outlineLevel="0" collapsed="false">
      <c r="B11" s="815" t="s">
        <v>1920</v>
      </c>
    </row>
    <row r="12" customFormat="false" ht="12.8" hidden="false" customHeight="false" outlineLevel="0" collapsed="false">
      <c r="B12" s="815" t="s">
        <v>1921</v>
      </c>
    </row>
    <row r="13" customFormat="false" ht="12.8" hidden="false" customHeight="false" outlineLevel="0" collapsed="false">
      <c r="A13" s="816"/>
      <c r="B13" s="817" t="s">
        <v>1922</v>
      </c>
    </row>
    <row r="14" customFormat="false" ht="12.8" hidden="false" customHeight="false" outlineLevel="0" collapsed="false">
      <c r="A14" s="816"/>
      <c r="B14" s="817" t="s">
        <v>1923</v>
      </c>
    </row>
    <row r="15" customFormat="false" ht="12.8" hidden="false" customHeight="false" outlineLevel="0" collapsed="false">
      <c r="B15" s="818" t="s">
        <v>1924</v>
      </c>
      <c r="C15" s="818" t="s">
        <v>1925</v>
      </c>
      <c r="D15" s="818" t="s">
        <v>1926</v>
      </c>
      <c r="E15" s="819" t="s">
        <v>1927</v>
      </c>
    </row>
    <row r="16" customFormat="false" ht="13.8" hidden="false" customHeight="false" outlineLevel="0" collapsed="false">
      <c r="B16" s="820" t="s">
        <v>1928</v>
      </c>
      <c r="C16" s="820"/>
      <c r="D16" s="820"/>
      <c r="E16" s="820"/>
    </row>
    <row r="17" customFormat="false" ht="15" hidden="false" customHeight="true" outlineLevel="0" collapsed="false">
      <c r="A17" s="821"/>
      <c r="B17" s="822" t="n">
        <v>9020810</v>
      </c>
      <c r="C17" s="650" t="s">
        <v>1929</v>
      </c>
      <c r="D17" s="823" t="s">
        <v>1930</v>
      </c>
      <c r="E17" s="824" t="n">
        <v>2174.172</v>
      </c>
      <c r="F17" s="483"/>
    </row>
    <row r="18" customFormat="false" ht="15" hidden="false" customHeight="true" outlineLevel="0" collapsed="false">
      <c r="A18" s="821"/>
      <c r="B18" s="822" t="n">
        <v>9020673</v>
      </c>
      <c r="C18" s="650" t="s">
        <v>1931</v>
      </c>
      <c r="D18" s="823" t="s">
        <v>1932</v>
      </c>
      <c r="E18" s="824" t="n">
        <v>499.7772</v>
      </c>
      <c r="F18" s="483"/>
    </row>
    <row r="19" customFormat="false" ht="35.25" hidden="false" customHeight="true" outlineLevel="0" collapsed="false">
      <c r="A19" s="825"/>
      <c r="B19" s="826" t="s">
        <v>1933</v>
      </c>
      <c r="C19" s="826"/>
      <c r="D19" s="826"/>
      <c r="E19" s="826"/>
      <c r="F19" s="483"/>
    </row>
    <row r="20" customFormat="false" ht="12.8" hidden="false" customHeight="false" outlineLevel="0" collapsed="false">
      <c r="B20" s="827" t="s">
        <v>1924</v>
      </c>
      <c r="C20" s="827" t="s">
        <v>1925</v>
      </c>
      <c r="D20" s="827" t="s">
        <v>1926</v>
      </c>
      <c r="E20" s="828" t="s">
        <v>1927</v>
      </c>
      <c r="F20" s="483"/>
    </row>
    <row r="21" customFormat="false" ht="13.8" hidden="false" customHeight="false" outlineLevel="0" collapsed="false">
      <c r="B21" s="829" t="s">
        <v>1934</v>
      </c>
      <c r="C21" s="829"/>
      <c r="D21" s="829"/>
      <c r="E21" s="829"/>
      <c r="F21" s="483"/>
    </row>
    <row r="22" customFormat="false" ht="15" hidden="false" customHeight="true" outlineLevel="0" collapsed="false">
      <c r="A22" s="821"/>
      <c r="B22" s="822" t="n">
        <v>9013776</v>
      </c>
      <c r="C22" s="650" t="s">
        <v>1935</v>
      </c>
      <c r="D22" s="823" t="s">
        <v>1936</v>
      </c>
      <c r="E22" s="824" t="n">
        <v>917.67</v>
      </c>
      <c r="F22" s="483"/>
    </row>
    <row r="23" customFormat="false" ht="13.8" hidden="false" customHeight="false" outlineLevel="0" collapsed="false">
      <c r="B23" s="829" t="s">
        <v>1937</v>
      </c>
      <c r="C23" s="829"/>
      <c r="D23" s="829"/>
      <c r="E23" s="829"/>
      <c r="F23" s="483"/>
    </row>
    <row r="24" customFormat="false" ht="12.8" hidden="false" customHeight="false" outlineLevel="0" collapsed="false">
      <c r="B24" s="822" t="n">
        <v>1003296</v>
      </c>
      <c r="C24" s="650" t="s">
        <v>1938</v>
      </c>
      <c r="D24" s="823" t="s">
        <v>1939</v>
      </c>
      <c r="E24" s="824" t="n">
        <v>30057.222</v>
      </c>
      <c r="F24" s="483"/>
    </row>
    <row r="25" customFormat="false" ht="15" hidden="false" customHeight="true" outlineLevel="0" collapsed="false">
      <c r="A25" s="821"/>
      <c r="B25" s="822" t="n">
        <v>1003310</v>
      </c>
      <c r="C25" s="650" t="s">
        <v>842</v>
      </c>
      <c r="D25" s="823" t="s">
        <v>1939</v>
      </c>
      <c r="E25" s="824" t="n">
        <v>36424.44</v>
      </c>
      <c r="F25" s="483"/>
    </row>
    <row r="26" customFormat="false" ht="19.7" hidden="false" customHeight="false" outlineLevel="0" collapsed="false">
      <c r="A26" s="821"/>
      <c r="B26" s="822" t="n">
        <v>9021028</v>
      </c>
      <c r="C26" s="650" t="s">
        <v>1940</v>
      </c>
      <c r="D26" s="823" t="s">
        <v>1941</v>
      </c>
      <c r="E26" s="824" t="n">
        <v>2335.1172</v>
      </c>
      <c r="F26" s="483"/>
    </row>
    <row r="27" customFormat="false" ht="15" hidden="false" customHeight="true" outlineLevel="0" collapsed="false">
      <c r="A27" s="821"/>
      <c r="B27" s="822" t="n">
        <v>9021016</v>
      </c>
      <c r="C27" s="650" t="s">
        <v>1931</v>
      </c>
      <c r="D27" s="823" t="s">
        <v>1942</v>
      </c>
      <c r="E27" s="824" t="n">
        <v>965.6712</v>
      </c>
      <c r="F27" s="483"/>
    </row>
    <row r="28" customFormat="false" ht="15" hidden="false" customHeight="true" outlineLevel="0" collapsed="false">
      <c r="A28" s="821"/>
      <c r="B28" s="822" t="n">
        <v>9021131</v>
      </c>
      <c r="C28" s="650" t="s">
        <v>1943</v>
      </c>
      <c r="D28" s="823" t="s">
        <v>1944</v>
      </c>
      <c r="E28" s="824" t="n">
        <v>561.8964</v>
      </c>
      <c r="F28" s="483"/>
    </row>
    <row r="29" customFormat="false" ht="13.8" hidden="false" customHeight="false" outlineLevel="0" collapsed="false">
      <c r="B29" s="829" t="s">
        <v>1945</v>
      </c>
      <c r="C29" s="829"/>
      <c r="D29" s="829"/>
      <c r="E29" s="829"/>
      <c r="F29" s="483"/>
    </row>
    <row r="30" customFormat="false" ht="12.8" hidden="false" customHeight="false" outlineLevel="0" collapsed="false">
      <c r="B30" s="827" t="s">
        <v>1924</v>
      </c>
      <c r="C30" s="827" t="s">
        <v>1925</v>
      </c>
      <c r="D30" s="827" t="s">
        <v>1926</v>
      </c>
      <c r="E30" s="828" t="s">
        <v>1927</v>
      </c>
      <c r="F30" s="483"/>
    </row>
    <row r="31" customFormat="false" ht="19.7" hidden="false" customHeight="false" outlineLevel="0" collapsed="false">
      <c r="A31" s="821"/>
      <c r="B31" s="822" t="n">
        <v>9020676</v>
      </c>
      <c r="C31" s="650" t="s">
        <v>1946</v>
      </c>
      <c r="D31" s="823" t="s">
        <v>1947</v>
      </c>
      <c r="E31" s="824" t="n">
        <v>336.0084</v>
      </c>
      <c r="F31" s="483"/>
    </row>
    <row r="32" customFormat="false" ht="19.7" hidden="false" customHeight="false" outlineLevel="0" collapsed="false">
      <c r="A32" s="821"/>
      <c r="B32" s="822" t="n">
        <v>9014333</v>
      </c>
      <c r="C32" s="650" t="s">
        <v>1948</v>
      </c>
      <c r="D32" s="823" t="s">
        <v>1949</v>
      </c>
      <c r="E32" s="824" t="n">
        <v>1538.862</v>
      </c>
      <c r="F32" s="483"/>
    </row>
    <row r="33" customFormat="false" ht="5.25" hidden="false" customHeight="true" outlineLevel="0" collapsed="false">
      <c r="A33" s="821"/>
      <c r="B33" s="830"/>
      <c r="C33" s="831"/>
      <c r="D33" s="831"/>
      <c r="E33" s="831"/>
      <c r="F33" s="483"/>
    </row>
    <row r="34" customFormat="false" ht="13.8" hidden="false" customHeight="false" outlineLevel="0" collapsed="false">
      <c r="B34" s="829" t="s">
        <v>1950</v>
      </c>
      <c r="C34" s="829"/>
      <c r="D34" s="829"/>
      <c r="E34" s="829"/>
      <c r="F34" s="483"/>
    </row>
    <row r="35" customFormat="false" ht="12.8" hidden="false" customHeight="false" outlineLevel="0" collapsed="false">
      <c r="B35" s="822" t="s">
        <v>1951</v>
      </c>
      <c r="C35" s="650" t="s">
        <v>1952</v>
      </c>
      <c r="D35" s="832" t="s">
        <v>1953</v>
      </c>
      <c r="E35" s="833" t="n">
        <v>27770.106</v>
      </c>
      <c r="F35" s="483"/>
    </row>
    <row r="36" customFormat="false" ht="12.8" hidden="false" customHeight="false" outlineLevel="0" collapsed="false">
      <c r="B36" s="822" t="n">
        <v>1001547</v>
      </c>
      <c r="C36" s="650" t="s">
        <v>571</v>
      </c>
      <c r="D36" s="832" t="s">
        <v>1954</v>
      </c>
      <c r="E36" s="833" t="n">
        <v>27770.106</v>
      </c>
      <c r="F36" s="483"/>
    </row>
    <row r="37" customFormat="false" ht="12.8" hidden="false" customHeight="false" outlineLevel="0" collapsed="false">
      <c r="B37" s="822" t="n">
        <v>1001550</v>
      </c>
      <c r="C37" s="650" t="s">
        <v>573</v>
      </c>
      <c r="D37" s="832" t="s">
        <v>1955</v>
      </c>
      <c r="E37" s="833" t="n">
        <v>27770.106</v>
      </c>
      <c r="F37" s="483"/>
    </row>
    <row r="38" customFormat="false" ht="12.8" hidden="false" customHeight="false" outlineLevel="0" collapsed="false">
      <c r="B38" s="822" t="n">
        <v>1001551</v>
      </c>
      <c r="C38" s="650" t="s">
        <v>669</v>
      </c>
      <c r="D38" s="832" t="s">
        <v>1956</v>
      </c>
      <c r="E38" s="833" t="n">
        <v>28433.652</v>
      </c>
      <c r="F38" s="483"/>
    </row>
    <row r="39" customFormat="false" ht="13.8" hidden="false" customHeight="false" outlineLevel="0" collapsed="false">
      <c r="B39" s="829" t="s">
        <v>1957</v>
      </c>
      <c r="C39" s="829"/>
      <c r="D39" s="829"/>
      <c r="E39" s="829"/>
      <c r="F39" s="483"/>
    </row>
    <row r="40" customFormat="false" ht="12.8" hidden="false" customHeight="false" outlineLevel="0" collapsed="false">
      <c r="B40" s="822" t="s">
        <v>1958</v>
      </c>
      <c r="C40" s="650" t="s">
        <v>1959</v>
      </c>
      <c r="D40" s="832" t="s">
        <v>1960</v>
      </c>
      <c r="E40" s="833" t="n">
        <v>42325.764</v>
      </c>
      <c r="F40" s="483"/>
    </row>
    <row r="41" customFormat="false" ht="12.8" hidden="false" customHeight="false" outlineLevel="0" collapsed="false">
      <c r="B41" s="822" t="n">
        <v>1001573</v>
      </c>
      <c r="C41" s="650" t="s">
        <v>575</v>
      </c>
      <c r="D41" s="832" t="s">
        <v>1961</v>
      </c>
      <c r="E41" s="833" t="n">
        <v>41577.51</v>
      </c>
      <c r="F41" s="483"/>
    </row>
    <row r="42" customFormat="false" ht="12.8" hidden="false" customHeight="false" outlineLevel="0" collapsed="false">
      <c r="B42" s="822" t="n">
        <v>1001577</v>
      </c>
      <c r="C42" s="650" t="s">
        <v>577</v>
      </c>
      <c r="D42" s="832" t="s">
        <v>1962</v>
      </c>
      <c r="E42" s="833" t="n">
        <v>39925.704</v>
      </c>
      <c r="F42" s="483"/>
    </row>
    <row r="43" customFormat="false" ht="12.8" hidden="false" customHeight="false" outlineLevel="0" collapsed="false">
      <c r="B43" s="822" t="n">
        <v>1001581</v>
      </c>
      <c r="C43" s="650" t="s">
        <v>673</v>
      </c>
      <c r="D43" s="832" t="s">
        <v>1963</v>
      </c>
      <c r="E43" s="833" t="n">
        <v>40744.548</v>
      </c>
      <c r="F43" s="483"/>
    </row>
    <row r="44" customFormat="false" ht="13.8" hidden="false" customHeight="false" outlineLevel="0" collapsed="false">
      <c r="B44" s="829" t="s">
        <v>1964</v>
      </c>
      <c r="C44" s="829"/>
      <c r="D44" s="829"/>
      <c r="E44" s="829"/>
      <c r="F44" s="483"/>
    </row>
    <row r="45" customFormat="false" ht="12.8" hidden="false" customHeight="false" outlineLevel="0" collapsed="false">
      <c r="B45" s="827" t="s">
        <v>1924</v>
      </c>
      <c r="C45" s="827" t="s">
        <v>1925</v>
      </c>
      <c r="D45" s="827" t="s">
        <v>1926</v>
      </c>
      <c r="E45" s="828" t="s">
        <v>1927</v>
      </c>
      <c r="F45" s="483"/>
    </row>
    <row r="46" customFormat="false" ht="12.8" hidden="false" customHeight="false" outlineLevel="0" collapsed="false">
      <c r="B46" s="822" t="n">
        <v>9016654</v>
      </c>
      <c r="C46" s="650" t="s">
        <v>1965</v>
      </c>
      <c r="D46" s="823" t="s">
        <v>1966</v>
      </c>
      <c r="E46" s="833" t="n">
        <v>889.434</v>
      </c>
      <c r="F46" s="483"/>
    </row>
    <row r="47" customFormat="false" ht="12.8" hidden="false" customHeight="false" outlineLevel="0" collapsed="false">
      <c r="B47" s="822" t="n">
        <v>9016655</v>
      </c>
      <c r="C47" s="650" t="s">
        <v>551</v>
      </c>
      <c r="D47" s="823" t="s">
        <v>1966</v>
      </c>
      <c r="E47" s="833" t="n">
        <v>889.434</v>
      </c>
      <c r="F47" s="483"/>
    </row>
    <row r="48" customFormat="false" ht="12.8" hidden="false" customHeight="false" outlineLevel="0" collapsed="false">
      <c r="B48" s="822" t="n">
        <v>9132143</v>
      </c>
      <c r="C48" s="650" t="s">
        <v>1967</v>
      </c>
      <c r="D48" s="823" t="s">
        <v>1968</v>
      </c>
      <c r="E48" s="833" t="n">
        <v>187.0635</v>
      </c>
      <c r="F48" s="483"/>
    </row>
    <row r="49" customFormat="false" ht="12.8" hidden="false" customHeight="false" outlineLevel="0" collapsed="false">
      <c r="B49" s="822" t="n">
        <v>9132142</v>
      </c>
      <c r="C49" s="650" t="s">
        <v>1969</v>
      </c>
      <c r="D49" s="823" t="s">
        <v>1968</v>
      </c>
      <c r="E49" s="833" t="n">
        <v>265.4184</v>
      </c>
      <c r="F49" s="483"/>
    </row>
    <row r="50" customFormat="false" ht="12.8" hidden="false" customHeight="false" outlineLevel="0" collapsed="false">
      <c r="B50" s="822" t="n">
        <v>9147330</v>
      </c>
      <c r="C50" s="650" t="s">
        <v>1970</v>
      </c>
      <c r="D50" s="823" t="s">
        <v>1968</v>
      </c>
      <c r="E50" s="833" t="n">
        <v>155.298</v>
      </c>
      <c r="F50" s="483"/>
    </row>
    <row r="51" customFormat="false" ht="12.8" hidden="false" customHeight="false" outlineLevel="0" collapsed="false">
      <c r="B51" s="822" t="n">
        <v>9147544</v>
      </c>
      <c r="C51" s="650" t="s">
        <v>1971</v>
      </c>
      <c r="D51" s="823" t="s">
        <v>1968</v>
      </c>
      <c r="E51" s="833" t="n">
        <v>155.298</v>
      </c>
      <c r="F51" s="483"/>
    </row>
    <row r="52" customFormat="false" ht="12.8" hidden="false" customHeight="false" outlineLevel="0" collapsed="false">
      <c r="B52" s="822" t="s">
        <v>1972</v>
      </c>
      <c r="C52" s="650" t="s">
        <v>1973</v>
      </c>
      <c r="D52" s="823" t="s">
        <v>1974</v>
      </c>
      <c r="E52" s="833" t="n">
        <v>225.888</v>
      </c>
      <c r="F52" s="483"/>
    </row>
    <row r="53" customFormat="false" ht="12.8" hidden="false" customHeight="false" outlineLevel="0" collapsed="false">
      <c r="B53" s="822" t="s">
        <v>1975</v>
      </c>
      <c r="C53" s="650" t="s">
        <v>1976</v>
      </c>
      <c r="D53" s="823" t="s">
        <v>1977</v>
      </c>
      <c r="E53" s="833" t="n">
        <v>249.8886</v>
      </c>
      <c r="F53" s="483"/>
    </row>
    <row r="54" customFormat="false" ht="12.8" hidden="false" customHeight="false" outlineLevel="0" collapsed="false">
      <c r="B54" s="822" t="n">
        <v>9500340</v>
      </c>
      <c r="C54" s="650" t="s">
        <v>1978</v>
      </c>
      <c r="D54" s="823" t="s">
        <v>1979</v>
      </c>
      <c r="E54" s="833" t="n">
        <v>232.947</v>
      </c>
      <c r="F54" s="483"/>
    </row>
    <row r="55" customFormat="false" ht="12.8" hidden="false" customHeight="false" outlineLevel="0" collapsed="false">
      <c r="B55" s="822" t="n">
        <v>9500341</v>
      </c>
      <c r="C55" s="650" t="s">
        <v>1980</v>
      </c>
      <c r="D55" s="823" t="s">
        <v>1981</v>
      </c>
      <c r="E55" s="833" t="n">
        <v>310.596</v>
      </c>
      <c r="F55" s="483"/>
    </row>
    <row r="56" customFormat="false" ht="16.85" hidden="false" customHeight="false" outlineLevel="0" collapsed="false">
      <c r="B56" s="822" t="n">
        <v>9013763</v>
      </c>
      <c r="C56" s="650" t="s">
        <v>1982</v>
      </c>
      <c r="D56" s="823" t="s">
        <v>1983</v>
      </c>
      <c r="E56" s="833" t="n">
        <v>770.8428</v>
      </c>
      <c r="F56" s="483"/>
    </row>
    <row r="57" customFormat="false" ht="12.8" hidden="false" customHeight="false" outlineLevel="0" collapsed="false">
      <c r="B57" s="822" t="n">
        <v>9500669</v>
      </c>
      <c r="C57" s="650" t="s">
        <v>1984</v>
      </c>
      <c r="D57" s="823" t="s">
        <v>1985</v>
      </c>
      <c r="E57" s="833" t="n">
        <v>360.009</v>
      </c>
      <c r="F57" s="483"/>
    </row>
    <row r="58" customFormat="false" ht="12.8" hidden="false" customHeight="false" outlineLevel="0" collapsed="false">
      <c r="B58" s="822" t="n">
        <v>9500683</v>
      </c>
      <c r="C58" s="650" t="s">
        <v>1986</v>
      </c>
      <c r="D58" s="823" t="s">
        <v>1987</v>
      </c>
      <c r="E58" s="833" t="n">
        <v>1447.095</v>
      </c>
      <c r="F58" s="483"/>
    </row>
    <row r="59" customFormat="false" ht="12.8" hidden="false" customHeight="false" outlineLevel="0" collapsed="false">
      <c r="B59" s="822" t="n">
        <v>9500685</v>
      </c>
      <c r="C59" s="650" t="s">
        <v>1988</v>
      </c>
      <c r="D59" s="823" t="s">
        <v>1987</v>
      </c>
      <c r="E59" s="833" t="n">
        <v>1447.095</v>
      </c>
      <c r="F59" s="483"/>
    </row>
    <row r="60" customFormat="false" ht="12.8" hidden="false" customHeight="false" outlineLevel="0" collapsed="false">
      <c r="B60" s="822" t="n">
        <v>9500687</v>
      </c>
      <c r="C60" s="650" t="s">
        <v>1989</v>
      </c>
      <c r="D60" s="823" t="s">
        <v>1990</v>
      </c>
      <c r="E60" s="833" t="n">
        <v>3783.624</v>
      </c>
      <c r="F60" s="483"/>
    </row>
    <row r="61" customFormat="false" ht="12.8" hidden="false" customHeight="false" outlineLevel="0" collapsed="false">
      <c r="B61" s="822" t="n">
        <v>9147334</v>
      </c>
      <c r="C61" s="650" t="s">
        <v>1991</v>
      </c>
      <c r="D61" s="823" t="s">
        <v>1992</v>
      </c>
      <c r="E61" s="833" t="n">
        <v>529.425</v>
      </c>
      <c r="F61" s="483"/>
    </row>
    <row r="62" customFormat="false" ht="12.8" hidden="false" customHeight="false" outlineLevel="0" collapsed="false">
      <c r="B62" s="822" t="n">
        <v>9500688</v>
      </c>
      <c r="C62" s="650" t="s">
        <v>1993</v>
      </c>
      <c r="D62" s="834" t="s">
        <v>1994</v>
      </c>
      <c r="E62" s="833" t="n">
        <v>1013.6724</v>
      </c>
      <c r="F62" s="483"/>
    </row>
    <row r="63" customFormat="false" ht="12.8" hidden="false" customHeight="false" outlineLevel="0" collapsed="false">
      <c r="B63" s="822" t="n">
        <v>9129631</v>
      </c>
      <c r="C63" s="650" t="s">
        <v>1995</v>
      </c>
      <c r="D63" s="834" t="s">
        <v>1996</v>
      </c>
      <c r="E63" s="833" t="n">
        <v>2408.5308</v>
      </c>
      <c r="F63" s="483"/>
    </row>
    <row r="64" customFormat="false" ht="15.8" hidden="false" customHeight="true" outlineLevel="0" collapsed="false">
      <c r="B64" s="835" t="s">
        <v>1997</v>
      </c>
      <c r="C64" s="835"/>
      <c r="D64" s="835"/>
      <c r="E64" s="835"/>
      <c r="F64" s="483"/>
    </row>
    <row r="65" customFormat="false" ht="12.8" hidden="false" customHeight="false" outlineLevel="0" collapsed="false">
      <c r="B65" s="836" t="s">
        <v>1998</v>
      </c>
      <c r="C65" s="837"/>
      <c r="D65" s="838"/>
      <c r="E65" s="839"/>
      <c r="F65" s="483"/>
    </row>
    <row r="66" customFormat="false" ht="12.8" hidden="false" customHeight="false" outlineLevel="0" collapsed="false">
      <c r="B66" s="822" t="n">
        <v>9162145</v>
      </c>
      <c r="C66" s="650" t="s">
        <v>1999</v>
      </c>
      <c r="D66" s="840"/>
      <c r="E66" s="833" t="n">
        <v>669.1932</v>
      </c>
      <c r="F66" s="483"/>
    </row>
    <row r="67" customFormat="false" ht="12.8" hidden="false" customHeight="false" outlineLevel="0" collapsed="false">
      <c r="B67" s="822" t="n">
        <v>9162144</v>
      </c>
      <c r="C67" s="650" t="s">
        <v>2000</v>
      </c>
      <c r="D67" s="823"/>
      <c r="E67" s="833" t="n">
        <v>513.8952</v>
      </c>
      <c r="F67" s="483"/>
    </row>
    <row r="68" customFormat="false" ht="15" hidden="false" customHeight="true" outlineLevel="0" collapsed="false">
      <c r="B68" s="822" t="n">
        <v>9500736</v>
      </c>
      <c r="C68" s="650" t="s">
        <v>2001</v>
      </c>
      <c r="D68" s="823" t="s">
        <v>2002</v>
      </c>
      <c r="E68" s="833" t="n">
        <v>326.1258</v>
      </c>
      <c r="F68" s="483"/>
    </row>
    <row r="69" customFormat="false" ht="15" hidden="false" customHeight="true" outlineLevel="0" collapsed="false">
      <c r="B69" s="822" t="n">
        <v>9137018</v>
      </c>
      <c r="C69" s="650" t="s">
        <v>2003</v>
      </c>
      <c r="D69" s="823" t="s">
        <v>2004</v>
      </c>
      <c r="E69" s="833" t="n">
        <v>669.1932</v>
      </c>
      <c r="F69" s="483"/>
    </row>
    <row r="70" customFormat="false" ht="13.8" hidden="false" customHeight="false" outlineLevel="0" collapsed="false">
      <c r="B70" s="829" t="s">
        <v>2005</v>
      </c>
      <c r="C70" s="829"/>
      <c r="D70" s="829"/>
      <c r="E70" s="829"/>
      <c r="F70" s="483"/>
    </row>
    <row r="71" customFormat="false" ht="15" hidden="false" customHeight="true" outlineLevel="0" collapsed="false">
      <c r="B71" s="841" t="n">
        <v>1001789</v>
      </c>
      <c r="C71" s="650" t="s">
        <v>2006</v>
      </c>
      <c r="D71" s="842" t="s">
        <v>2007</v>
      </c>
      <c r="E71" s="833" t="n">
        <v>35097.348</v>
      </c>
      <c r="F71" s="483"/>
    </row>
    <row r="72" customFormat="false" ht="12.8" hidden="false" customHeight="false" outlineLevel="0" collapsed="false">
      <c r="B72" s="822" t="n">
        <v>1001788</v>
      </c>
      <c r="C72" s="650" t="s">
        <v>2008</v>
      </c>
      <c r="D72" s="842" t="s">
        <v>2007</v>
      </c>
      <c r="E72" s="833" t="n">
        <v>36509.148</v>
      </c>
      <c r="F72" s="483"/>
    </row>
    <row r="73" customFormat="false" ht="13.8" hidden="false" customHeight="false" outlineLevel="0" collapsed="false">
      <c r="B73" s="829" t="s">
        <v>2009</v>
      </c>
      <c r="C73" s="829"/>
      <c r="D73" s="829"/>
      <c r="E73" s="829"/>
      <c r="F73" s="483"/>
    </row>
    <row r="74" customFormat="false" ht="12.8" hidden="false" customHeight="false" outlineLevel="0" collapsed="false">
      <c r="B74" s="822" t="n">
        <v>1003141</v>
      </c>
      <c r="C74" s="650" t="s">
        <v>2010</v>
      </c>
      <c r="D74" s="832" t="s">
        <v>2011</v>
      </c>
      <c r="E74" s="833" t="n">
        <v>43652.856</v>
      </c>
      <c r="F74" s="483"/>
    </row>
    <row r="75" customFormat="false" ht="12.8" hidden="false" customHeight="false" outlineLevel="0" collapsed="false">
      <c r="B75" s="822" t="n">
        <v>1001786</v>
      </c>
      <c r="C75" s="650" t="s">
        <v>2012</v>
      </c>
      <c r="D75" s="832" t="s">
        <v>2011</v>
      </c>
      <c r="E75" s="833" t="n">
        <v>44739.942</v>
      </c>
      <c r="F75" s="483"/>
    </row>
    <row r="76" customFormat="false" ht="13.8" hidden="false" customHeight="false" outlineLevel="0" collapsed="false">
      <c r="B76" s="829" t="s">
        <v>2013</v>
      </c>
      <c r="C76" s="829"/>
      <c r="D76" s="829"/>
      <c r="E76" s="829"/>
      <c r="F76" s="483"/>
    </row>
    <row r="77" customFormat="false" ht="12.8" hidden="false" customHeight="false" outlineLevel="0" collapsed="false">
      <c r="B77" s="822" t="n">
        <v>1003044</v>
      </c>
      <c r="C77" s="650" t="s">
        <v>2014</v>
      </c>
      <c r="D77" s="842" t="s">
        <v>2015</v>
      </c>
      <c r="E77" s="833" t="n">
        <v>49893.012</v>
      </c>
      <c r="F77" s="483"/>
    </row>
    <row r="78" customFormat="false" ht="12.8" hidden="false" customHeight="false" outlineLevel="0" collapsed="false">
      <c r="B78" s="822" t="n">
        <v>1003046</v>
      </c>
      <c r="C78" s="650" t="s">
        <v>2016</v>
      </c>
      <c r="D78" s="842" t="s">
        <v>2015</v>
      </c>
      <c r="E78" s="833" t="n">
        <v>57629.676</v>
      </c>
      <c r="F78" s="483"/>
    </row>
    <row r="79" customFormat="false" ht="13.8" hidden="false" customHeight="false" outlineLevel="0" collapsed="false">
      <c r="B79" s="829" t="s">
        <v>2017</v>
      </c>
      <c r="C79" s="829"/>
      <c r="D79" s="829"/>
      <c r="E79" s="829"/>
      <c r="F79" s="483"/>
    </row>
    <row r="80" customFormat="false" ht="12.8" hidden="false" customHeight="false" outlineLevel="0" collapsed="false">
      <c r="B80" s="822" t="n">
        <v>1032537</v>
      </c>
      <c r="C80" s="650" t="s">
        <v>2018</v>
      </c>
      <c r="D80" s="832" t="s">
        <v>2019</v>
      </c>
      <c r="E80" s="824" t="n">
        <v>36085.608</v>
      </c>
      <c r="F80" s="483"/>
    </row>
    <row r="81" customFormat="false" ht="13.8" hidden="false" customHeight="false" outlineLevel="0" collapsed="false">
      <c r="B81" s="829" t="s">
        <v>2020</v>
      </c>
      <c r="C81" s="829"/>
      <c r="D81" s="829"/>
      <c r="E81" s="829"/>
      <c r="F81" s="483"/>
    </row>
    <row r="82" customFormat="false" ht="12.8" hidden="false" customHeight="false" outlineLevel="0" collapsed="false">
      <c r="B82" s="827" t="s">
        <v>1924</v>
      </c>
      <c r="C82" s="827" t="s">
        <v>1925</v>
      </c>
      <c r="D82" s="827" t="s">
        <v>1926</v>
      </c>
      <c r="E82" s="828" t="s">
        <v>1927</v>
      </c>
      <c r="F82" s="483"/>
    </row>
    <row r="83" customFormat="false" ht="12.8" hidden="false" customHeight="false" outlineLevel="0" collapsed="false">
      <c r="B83" s="822" t="n">
        <v>9707125</v>
      </c>
      <c r="C83" s="650" t="s">
        <v>2021</v>
      </c>
      <c r="D83" s="823" t="s">
        <v>2022</v>
      </c>
      <c r="E83" s="833" t="n">
        <v>343.0674</v>
      </c>
      <c r="F83" s="483"/>
    </row>
    <row r="84" customFormat="false" ht="12.8" hidden="false" customHeight="false" outlineLevel="0" collapsed="false">
      <c r="B84" s="822" t="n">
        <v>9707033</v>
      </c>
      <c r="C84" s="650" t="s">
        <v>2023</v>
      </c>
      <c r="D84" s="823" t="s">
        <v>2024</v>
      </c>
      <c r="E84" s="833" t="n">
        <v>155.298</v>
      </c>
      <c r="F84" s="483"/>
    </row>
    <row r="85" customFormat="false" ht="12.8" hidden="false" customHeight="false" outlineLevel="0" collapsed="false">
      <c r="B85" s="822" t="n">
        <v>9751013</v>
      </c>
      <c r="C85" s="650" t="s">
        <v>2025</v>
      </c>
      <c r="D85" s="823" t="s">
        <v>2024</v>
      </c>
      <c r="E85" s="833" t="n">
        <v>467.3058</v>
      </c>
      <c r="F85" s="483"/>
    </row>
    <row r="86" customFormat="false" ht="12.8" hidden="false" customHeight="false" outlineLevel="0" collapsed="false">
      <c r="B86" s="822" t="s">
        <v>2026</v>
      </c>
      <c r="C86" s="650" t="s">
        <v>2027</v>
      </c>
      <c r="D86" s="823" t="s">
        <v>2028</v>
      </c>
      <c r="E86" s="833" t="n">
        <v>265.4184</v>
      </c>
      <c r="F86" s="483"/>
    </row>
    <row r="87" customFormat="false" ht="12.8" hidden="false" customHeight="false" outlineLevel="0" collapsed="false">
      <c r="B87" s="822" t="s">
        <v>2029</v>
      </c>
      <c r="C87" s="650" t="s">
        <v>2030</v>
      </c>
      <c r="D87" s="823" t="s">
        <v>2028</v>
      </c>
      <c r="E87" s="833" t="n">
        <v>296.478</v>
      </c>
      <c r="F87" s="483"/>
    </row>
    <row r="88" customFormat="false" ht="12.8" hidden="false" customHeight="false" outlineLevel="0" collapsed="false">
      <c r="B88" s="822" t="n">
        <v>9910014</v>
      </c>
      <c r="C88" s="650" t="s">
        <v>2031</v>
      </c>
      <c r="D88" s="823" t="s">
        <v>1992</v>
      </c>
      <c r="E88" s="833" t="n">
        <v>889.434</v>
      </c>
      <c r="F88" s="483"/>
    </row>
    <row r="89" customFormat="false" ht="15" hidden="false" customHeight="true" outlineLevel="0" collapsed="false">
      <c r="B89" s="822" t="n">
        <v>9410665</v>
      </c>
      <c r="C89" s="650" t="s">
        <v>2032</v>
      </c>
      <c r="D89" s="823" t="s">
        <v>2033</v>
      </c>
      <c r="E89" s="833" t="n">
        <v>1013.6724</v>
      </c>
      <c r="F89" s="483"/>
    </row>
    <row r="90" customFormat="false" ht="12.8" hidden="false" customHeight="false" outlineLevel="0" collapsed="false">
      <c r="B90" s="822" t="n">
        <v>9410651</v>
      </c>
      <c r="C90" s="650" t="s">
        <v>1066</v>
      </c>
      <c r="D90" s="823" t="s">
        <v>2033</v>
      </c>
      <c r="E90" s="833" t="n">
        <v>1571.3334</v>
      </c>
      <c r="F90" s="483"/>
    </row>
    <row r="91" customFormat="false" ht="12.8" hidden="false" customHeight="false" outlineLevel="0" collapsed="false">
      <c r="B91" s="822" t="n">
        <v>9410635</v>
      </c>
      <c r="C91" s="650" t="s">
        <v>1067</v>
      </c>
      <c r="D91" s="823" t="s">
        <v>2033</v>
      </c>
      <c r="E91" s="833" t="n">
        <v>821.6676</v>
      </c>
      <c r="F91" s="483"/>
    </row>
    <row r="92" customFormat="false" ht="19.25" hidden="false" customHeight="false" outlineLevel="0" collapsed="false">
      <c r="B92" s="822" t="n">
        <v>9002541</v>
      </c>
      <c r="C92" s="650" t="s">
        <v>2034</v>
      </c>
      <c r="D92" s="823" t="s">
        <v>2033</v>
      </c>
      <c r="E92" s="833" t="n">
        <v>2730.4212</v>
      </c>
      <c r="F92" s="483"/>
    </row>
    <row r="93" customFormat="false" ht="12.8" hidden="false" customHeight="false" outlineLevel="0" collapsed="false">
      <c r="B93" s="822" t="n">
        <v>9002519</v>
      </c>
      <c r="C93" s="650" t="s">
        <v>1068</v>
      </c>
      <c r="D93" s="823" t="s">
        <v>2035</v>
      </c>
      <c r="E93" s="833" t="n">
        <v>499.7772</v>
      </c>
      <c r="F93" s="483"/>
    </row>
    <row r="94" customFormat="false" ht="12.8" hidden="false" customHeight="false" outlineLevel="0" collapsed="false">
      <c r="B94" s="822" t="n">
        <v>9128101</v>
      </c>
      <c r="C94" s="650" t="s">
        <v>2036</v>
      </c>
      <c r="D94" s="834" t="s">
        <v>2037</v>
      </c>
      <c r="E94" s="833" t="n">
        <v>889.434</v>
      </c>
      <c r="F94" s="483"/>
    </row>
    <row r="95" customFormat="false" ht="12.8" hidden="false" customHeight="false" outlineLevel="0" collapsed="false">
      <c r="B95" s="822" t="n">
        <v>9013592</v>
      </c>
      <c r="C95" s="650" t="s">
        <v>2038</v>
      </c>
      <c r="D95" s="834" t="s">
        <v>2039</v>
      </c>
      <c r="E95" s="833" t="n">
        <v>1828.281</v>
      </c>
      <c r="F95" s="483"/>
    </row>
    <row r="96" customFormat="false" ht="12.8" hidden="false" customHeight="false" outlineLevel="0" collapsed="false">
      <c r="B96" s="822" t="n">
        <v>9420800</v>
      </c>
      <c r="C96" s="650" t="s">
        <v>2040</v>
      </c>
      <c r="D96" s="834" t="s">
        <v>2041</v>
      </c>
      <c r="E96" s="833" t="n">
        <v>1524.744</v>
      </c>
      <c r="F96" s="483"/>
    </row>
    <row r="97" customFormat="false" ht="19.25" hidden="false" customHeight="false" outlineLevel="0" collapsed="false">
      <c r="B97" s="822" t="n">
        <v>9018455</v>
      </c>
      <c r="C97" s="650" t="s">
        <v>1064</v>
      </c>
      <c r="D97" s="834" t="s">
        <v>2042</v>
      </c>
      <c r="E97" s="833" t="n">
        <v>1078.6152</v>
      </c>
      <c r="F97" s="483"/>
    </row>
    <row r="98" customFormat="false" ht="19.25" hidden="false" customHeight="false" outlineLevel="0" collapsed="false">
      <c r="B98" s="822" t="n">
        <v>9016628</v>
      </c>
      <c r="C98" s="650" t="s">
        <v>1065</v>
      </c>
      <c r="D98" s="834" t="s">
        <v>2042</v>
      </c>
      <c r="E98" s="833" t="n">
        <v>4574.232</v>
      </c>
      <c r="F98" s="483"/>
    </row>
    <row r="99" customFormat="false" ht="9.75" hidden="false" customHeight="true" outlineLevel="0" collapsed="false">
      <c r="B99" s="843"/>
      <c r="C99" s="842"/>
      <c r="D99" s="842"/>
      <c r="E99" s="844"/>
      <c r="F99" s="483"/>
    </row>
    <row r="100" customFormat="false" ht="12.8" hidden="false" customHeight="false" outlineLevel="0" collapsed="false">
      <c r="B100" s="827" t="s">
        <v>1924</v>
      </c>
      <c r="C100" s="827" t="s">
        <v>1925</v>
      </c>
      <c r="D100" s="827" t="s">
        <v>1926</v>
      </c>
      <c r="E100" s="828" t="s">
        <v>1927</v>
      </c>
      <c r="F100" s="483"/>
    </row>
    <row r="101" customFormat="false" ht="13.8" hidden="false" customHeight="false" outlineLevel="0" collapsed="false">
      <c r="B101" s="829" t="s">
        <v>2043</v>
      </c>
      <c r="C101" s="829"/>
      <c r="D101" s="829"/>
      <c r="E101" s="829"/>
      <c r="F101" s="483"/>
    </row>
    <row r="102" customFormat="false" ht="12.8" hidden="false" customHeight="false" outlineLevel="0" collapsed="false">
      <c r="A102" s="816"/>
      <c r="B102" s="845" t="s">
        <v>2044</v>
      </c>
      <c r="C102" s="650" t="s">
        <v>2045</v>
      </c>
      <c r="D102" s="842" t="s">
        <v>2046</v>
      </c>
      <c r="E102" s="846" t="n">
        <v>43144.608</v>
      </c>
      <c r="F102" s="483"/>
    </row>
    <row r="103" customFormat="false" ht="12.8" hidden="false" customHeight="false" outlineLevel="0" collapsed="false">
      <c r="A103" s="816"/>
      <c r="B103" s="845" t="s">
        <v>2047</v>
      </c>
      <c r="C103" s="650" t="s">
        <v>2048</v>
      </c>
      <c r="D103" s="823" t="s">
        <v>2046</v>
      </c>
      <c r="E103" s="846" t="n">
        <v>56754.36</v>
      </c>
      <c r="F103" s="483"/>
    </row>
    <row r="104" customFormat="false" ht="12.8" hidden="false" customHeight="false" outlineLevel="0" collapsed="false">
      <c r="A104" s="816"/>
      <c r="B104" s="845" t="s">
        <v>2049</v>
      </c>
      <c r="C104" s="650" t="s">
        <v>2050</v>
      </c>
      <c r="D104" s="823" t="s">
        <v>2046</v>
      </c>
      <c r="E104" s="846" t="n">
        <v>63827.478</v>
      </c>
      <c r="F104" s="483"/>
    </row>
    <row r="105" customFormat="false" ht="12.8" hidden="false" customHeight="false" outlineLevel="0" collapsed="false">
      <c r="A105" s="816"/>
      <c r="B105" s="845" t="s">
        <v>2051</v>
      </c>
      <c r="C105" s="650" t="s">
        <v>2052</v>
      </c>
      <c r="D105" s="823" t="s">
        <v>2053</v>
      </c>
      <c r="E105" s="846" t="n">
        <v>43243.434</v>
      </c>
      <c r="F105" s="483"/>
    </row>
    <row r="106" customFormat="false" ht="9" hidden="false" customHeight="true" outlineLevel="0" collapsed="false">
      <c r="B106" s="843"/>
      <c r="C106" s="842"/>
      <c r="D106" s="842"/>
      <c r="E106" s="847"/>
      <c r="F106" s="483"/>
    </row>
    <row r="107" customFormat="false" ht="35.25" hidden="false" customHeight="true" outlineLevel="0" collapsed="false">
      <c r="A107" s="821"/>
      <c r="B107" s="848" t="s">
        <v>2054</v>
      </c>
      <c r="C107" s="848"/>
      <c r="D107" s="848"/>
      <c r="E107" s="848"/>
      <c r="F107" s="483"/>
    </row>
    <row r="108" customFormat="false" ht="12.8" hidden="false" customHeight="false" outlineLevel="0" collapsed="false">
      <c r="B108" s="818" t="s">
        <v>1924</v>
      </c>
      <c r="C108" s="818" t="s">
        <v>1925</v>
      </c>
      <c r="D108" s="818" t="s">
        <v>1926</v>
      </c>
      <c r="E108" s="819" t="s">
        <v>2055</v>
      </c>
      <c r="F108" s="483"/>
    </row>
    <row r="109" customFormat="false" ht="13.8" hidden="false" customHeight="false" outlineLevel="0" collapsed="false">
      <c r="B109" s="820" t="s">
        <v>2056</v>
      </c>
      <c r="C109" s="820"/>
      <c r="D109" s="820"/>
      <c r="E109" s="820"/>
      <c r="F109" s="483"/>
    </row>
    <row r="110" customFormat="false" ht="16.85" hidden="false" customHeight="false" outlineLevel="0" collapsed="false">
      <c r="B110" s="822" t="n">
        <v>1241162</v>
      </c>
      <c r="C110" s="650" t="s">
        <v>2057</v>
      </c>
      <c r="D110" s="823" t="s">
        <v>2058</v>
      </c>
      <c r="E110" s="618" t="n">
        <v>21021.1764705882</v>
      </c>
      <c r="F110" s="483"/>
    </row>
    <row r="111" customFormat="false" ht="12.8" hidden="false" customHeight="false" outlineLevel="0" collapsed="false">
      <c r="B111" s="818" t="s">
        <v>1924</v>
      </c>
      <c r="C111" s="818" t="s">
        <v>1925</v>
      </c>
      <c r="D111" s="818" t="s">
        <v>1926</v>
      </c>
      <c r="E111" s="819" t="s">
        <v>1927</v>
      </c>
      <c r="F111" s="483"/>
    </row>
    <row r="112" customFormat="false" ht="13.8" hidden="false" customHeight="false" outlineLevel="0" collapsed="false">
      <c r="B112" s="820" t="s">
        <v>2059</v>
      </c>
      <c r="C112" s="820"/>
      <c r="D112" s="820"/>
      <c r="E112" s="820"/>
      <c r="F112" s="483"/>
    </row>
    <row r="113" customFormat="false" ht="12.8" hidden="false" customHeight="false" outlineLevel="0" collapsed="false">
      <c r="B113" s="822" t="n">
        <v>1002362</v>
      </c>
      <c r="C113" s="650" t="s">
        <v>2060</v>
      </c>
      <c r="D113" s="823" t="s">
        <v>2061</v>
      </c>
      <c r="E113" s="824" t="n">
        <v>18861.648</v>
      </c>
      <c r="F113" s="483"/>
    </row>
    <row r="114" customFormat="false" ht="12.8" hidden="false" customHeight="false" outlineLevel="0" collapsed="false">
      <c r="B114" s="822" t="n">
        <v>9018478</v>
      </c>
      <c r="C114" s="650" t="s">
        <v>2062</v>
      </c>
      <c r="D114" s="823" t="s">
        <v>2063</v>
      </c>
      <c r="E114" s="824" t="n">
        <v>280.9482</v>
      </c>
      <c r="F114" s="483"/>
    </row>
    <row r="115" customFormat="false" ht="15" hidden="false" customHeight="true" outlineLevel="0" collapsed="false">
      <c r="B115" s="822" t="n">
        <v>9162132</v>
      </c>
      <c r="C115" s="650" t="s">
        <v>2064</v>
      </c>
      <c r="D115" s="823" t="s">
        <v>2065</v>
      </c>
      <c r="E115" s="824" t="n">
        <v>343.0674</v>
      </c>
      <c r="F115" s="483"/>
    </row>
    <row r="116" customFormat="false" ht="12.8" hidden="false" customHeight="false" outlineLevel="0" collapsed="false">
      <c r="B116" s="822" t="n">
        <v>9013508</v>
      </c>
      <c r="C116" s="650" t="s">
        <v>2066</v>
      </c>
      <c r="D116" s="823" t="s">
        <v>2067</v>
      </c>
      <c r="E116" s="824" t="n">
        <v>823.0794</v>
      </c>
      <c r="F116" s="483"/>
    </row>
    <row r="117" customFormat="false" ht="12.8" hidden="false" customHeight="false" outlineLevel="0" collapsed="false">
      <c r="B117" s="822" t="n">
        <v>9008096</v>
      </c>
      <c r="C117" s="650" t="s">
        <v>2068</v>
      </c>
      <c r="D117" s="823" t="s">
        <v>2069</v>
      </c>
      <c r="E117" s="824" t="n">
        <v>777.9018</v>
      </c>
      <c r="F117" s="483"/>
    </row>
    <row r="118" customFormat="false" ht="12.8" hidden="false" customHeight="false" outlineLevel="0" collapsed="false">
      <c r="B118" s="822" t="n">
        <v>9008097</v>
      </c>
      <c r="C118" s="650" t="s">
        <v>2070</v>
      </c>
      <c r="D118" s="823" t="s">
        <v>2071</v>
      </c>
      <c r="E118" s="824" t="n">
        <v>777.9018</v>
      </c>
      <c r="F118" s="483"/>
    </row>
    <row r="119" customFormat="false" ht="12.8" hidden="false" customHeight="false" outlineLevel="0" collapsed="false">
      <c r="B119" s="822" t="n">
        <v>9013933</v>
      </c>
      <c r="C119" s="650" t="s">
        <v>2072</v>
      </c>
      <c r="D119" s="823" t="s">
        <v>2073</v>
      </c>
      <c r="E119" s="824" t="n">
        <v>389.6568</v>
      </c>
      <c r="F119" s="483"/>
    </row>
    <row r="120" customFormat="false" ht="12.8" hidden="false" customHeight="false" outlineLevel="0" collapsed="false">
      <c r="B120" s="822" t="n">
        <v>9705799</v>
      </c>
      <c r="C120" s="650" t="s">
        <v>2074</v>
      </c>
      <c r="D120" s="823" t="s">
        <v>1968</v>
      </c>
      <c r="E120" s="824" t="n">
        <v>1776.0444</v>
      </c>
      <c r="F120" s="483"/>
    </row>
    <row r="121" customFormat="false" ht="12.8" hidden="false" customHeight="false" outlineLevel="0" collapsed="false">
      <c r="B121" s="822" t="n">
        <v>9705800</v>
      </c>
      <c r="C121" s="650" t="s">
        <v>2075</v>
      </c>
      <c r="D121" s="823" t="s">
        <v>1968</v>
      </c>
      <c r="E121" s="824" t="n">
        <v>1321.4448</v>
      </c>
      <c r="F121" s="483"/>
    </row>
    <row r="122" s="850" customFormat="true" ht="4.5" hidden="false" customHeight="true" outlineLevel="0" collapsed="false">
      <c r="A122" s="849"/>
      <c r="B122" s="822"/>
      <c r="C122" s="650"/>
      <c r="D122" s="842"/>
      <c r="E122" s="833"/>
      <c r="F122" s="483"/>
    </row>
    <row r="123" s="850" customFormat="true" ht="12.8" hidden="false" customHeight="false" outlineLevel="0" collapsed="false">
      <c r="A123" s="849"/>
      <c r="B123" s="818" t="s">
        <v>1924</v>
      </c>
      <c r="C123" s="818" t="s">
        <v>1925</v>
      </c>
      <c r="D123" s="818" t="s">
        <v>1926</v>
      </c>
      <c r="E123" s="819" t="s">
        <v>1927</v>
      </c>
      <c r="F123" s="483"/>
    </row>
    <row r="124" customFormat="false" ht="13.8" hidden="false" customHeight="false" outlineLevel="0" collapsed="false">
      <c r="B124" s="820" t="s">
        <v>2076</v>
      </c>
      <c r="C124" s="820"/>
      <c r="D124" s="820"/>
      <c r="E124" s="820"/>
      <c r="F124" s="483"/>
    </row>
    <row r="125" customFormat="false" ht="12.8" hidden="false" customHeight="false" outlineLevel="0" collapsed="false">
      <c r="B125" s="822" t="n">
        <v>9018584</v>
      </c>
      <c r="C125" s="851" t="s">
        <v>2077</v>
      </c>
      <c r="D125" s="823" t="s">
        <v>2078</v>
      </c>
      <c r="E125" s="824" t="n">
        <v>170.8278</v>
      </c>
      <c r="F125" s="483"/>
    </row>
    <row r="126" customFormat="false" ht="12.8" hidden="false" customHeight="false" outlineLevel="0" collapsed="false">
      <c r="B126" s="822" t="n">
        <v>9018594</v>
      </c>
      <c r="C126" s="851" t="s">
        <v>2079</v>
      </c>
      <c r="D126" s="823" t="s">
        <v>2080</v>
      </c>
      <c r="E126" s="824" t="n">
        <v>703.0764</v>
      </c>
      <c r="F126" s="483"/>
    </row>
    <row r="127" customFormat="false" ht="12.8" hidden="false" customHeight="false" outlineLevel="0" collapsed="false">
      <c r="B127" s="822" t="n">
        <v>9018585</v>
      </c>
      <c r="C127" s="851" t="s">
        <v>2081</v>
      </c>
      <c r="D127" s="823" t="s">
        <v>1949</v>
      </c>
      <c r="E127" s="824" t="n">
        <v>170.8278</v>
      </c>
      <c r="F127" s="483"/>
    </row>
    <row r="128" customFormat="false" ht="12.8" hidden="false" customHeight="false" outlineLevel="0" collapsed="false">
      <c r="B128" s="822" t="n">
        <v>9018595</v>
      </c>
      <c r="C128" s="851" t="s">
        <v>2082</v>
      </c>
      <c r="D128" s="823" t="s">
        <v>2083</v>
      </c>
      <c r="E128" s="824" t="n">
        <v>1543.0974</v>
      </c>
      <c r="F128" s="483"/>
    </row>
    <row r="129" customFormat="false" ht="12.8" hidden="false" customHeight="false" outlineLevel="0" collapsed="false">
      <c r="B129" s="822" t="n">
        <v>9018583</v>
      </c>
      <c r="C129" s="851" t="s">
        <v>2084</v>
      </c>
      <c r="D129" s="823" t="s">
        <v>2085</v>
      </c>
      <c r="E129" s="824" t="n">
        <v>170.8278</v>
      </c>
      <c r="F129" s="483"/>
    </row>
    <row r="130" customFormat="false" ht="12.8" hidden="false" customHeight="false" outlineLevel="0" collapsed="false">
      <c r="B130" s="822" t="n">
        <v>9018591</v>
      </c>
      <c r="C130" s="851" t="s">
        <v>2086</v>
      </c>
      <c r="D130" s="823" t="s">
        <v>2087</v>
      </c>
      <c r="E130" s="824" t="n">
        <v>700.2528</v>
      </c>
      <c r="F130" s="483"/>
    </row>
    <row r="131" customFormat="false" ht="12.8" hidden="false" customHeight="false" outlineLevel="0" collapsed="false">
      <c r="B131" s="822" t="n">
        <v>9018586</v>
      </c>
      <c r="C131" s="851" t="s">
        <v>2088</v>
      </c>
      <c r="D131" s="823" t="s">
        <v>2089</v>
      </c>
      <c r="E131" s="824" t="n">
        <v>170.8278</v>
      </c>
      <c r="F131" s="483"/>
    </row>
    <row r="132" customFormat="false" ht="12.8" hidden="false" customHeight="false" outlineLevel="0" collapsed="false">
      <c r="B132" s="822" t="n">
        <v>9018593</v>
      </c>
      <c r="C132" s="851" t="s">
        <v>2090</v>
      </c>
      <c r="D132" s="823" t="s">
        <v>2091</v>
      </c>
      <c r="E132" s="824" t="n">
        <v>703.0764</v>
      </c>
      <c r="F132" s="483"/>
    </row>
    <row r="133" customFormat="false" ht="12.8" hidden="false" customHeight="false" outlineLevel="0" collapsed="false">
      <c r="B133" s="822" t="n">
        <v>9018588</v>
      </c>
      <c r="C133" s="851" t="s">
        <v>2092</v>
      </c>
      <c r="D133" s="823" t="s">
        <v>2093</v>
      </c>
      <c r="E133" s="824" t="n">
        <v>170.8278</v>
      </c>
      <c r="F133" s="483"/>
    </row>
    <row r="134" customFormat="false" ht="12.8" hidden="false" customHeight="false" outlineLevel="0" collapsed="false">
      <c r="B134" s="822" t="n">
        <v>9018598</v>
      </c>
      <c r="C134" s="851" t="s">
        <v>2094</v>
      </c>
      <c r="D134" s="823" t="s">
        <v>2095</v>
      </c>
      <c r="E134" s="824" t="n">
        <v>1183.0884</v>
      </c>
      <c r="F134" s="483"/>
    </row>
    <row r="135" customFormat="false" ht="12.8" hidden="false" customHeight="false" outlineLevel="0" collapsed="false">
      <c r="B135" s="822" t="n">
        <v>9018607</v>
      </c>
      <c r="C135" s="851" t="s">
        <v>2096</v>
      </c>
      <c r="D135" s="823" t="s">
        <v>2097</v>
      </c>
      <c r="E135" s="824" t="n">
        <v>170.8278</v>
      </c>
      <c r="F135" s="483"/>
    </row>
    <row r="136" customFormat="false" ht="12.8" hidden="false" customHeight="false" outlineLevel="0" collapsed="false">
      <c r="B136" s="822" t="n">
        <v>9018605</v>
      </c>
      <c r="C136" s="851" t="s">
        <v>2098</v>
      </c>
      <c r="D136" s="823" t="s">
        <v>2099</v>
      </c>
      <c r="E136" s="824" t="n">
        <v>1543.0974</v>
      </c>
      <c r="F136" s="483"/>
    </row>
    <row r="137" customFormat="false" ht="12.8" hidden="false" customHeight="false" outlineLevel="0" collapsed="false">
      <c r="B137" s="822" t="n">
        <v>9018474</v>
      </c>
      <c r="C137" s="851" t="s">
        <v>2100</v>
      </c>
      <c r="D137" s="823" t="s">
        <v>2101</v>
      </c>
      <c r="E137" s="824" t="n">
        <v>170.8278</v>
      </c>
      <c r="F137" s="483"/>
    </row>
    <row r="138" customFormat="false" ht="12.8" hidden="false" customHeight="false" outlineLevel="0" collapsed="false">
      <c r="B138" s="822" t="n">
        <v>9018476</v>
      </c>
      <c r="C138" s="851" t="s">
        <v>2102</v>
      </c>
      <c r="D138" s="823" t="s">
        <v>2103</v>
      </c>
      <c r="E138" s="824" t="n">
        <v>703.0764</v>
      </c>
      <c r="F138" s="483"/>
    </row>
    <row r="139" customFormat="false" ht="12.8" hidden="false" customHeight="false" outlineLevel="0" collapsed="false">
      <c r="B139" s="822" t="n">
        <v>9018475</v>
      </c>
      <c r="C139" s="851" t="s">
        <v>2104</v>
      </c>
      <c r="D139" s="823" t="s">
        <v>2105</v>
      </c>
      <c r="E139" s="824" t="n">
        <v>170.8278</v>
      </c>
      <c r="F139" s="483"/>
    </row>
    <row r="140" customFormat="false" ht="12.8" hidden="false" customHeight="false" outlineLevel="0" collapsed="false">
      <c r="B140" s="822" t="n">
        <v>9018477</v>
      </c>
      <c r="C140" s="851" t="s">
        <v>2106</v>
      </c>
      <c r="D140" s="823" t="s">
        <v>2107</v>
      </c>
      <c r="E140" s="824" t="n">
        <v>703.0764</v>
      </c>
      <c r="F140" s="483"/>
    </row>
    <row r="141" customFormat="false" ht="12.8" hidden="false" customHeight="false" outlineLevel="0" collapsed="false">
      <c r="B141" s="822" t="n">
        <v>9018587</v>
      </c>
      <c r="C141" s="851" t="s">
        <v>2108</v>
      </c>
      <c r="D141" s="823" t="s">
        <v>2105</v>
      </c>
      <c r="E141" s="824" t="n">
        <v>170.8278</v>
      </c>
      <c r="F141" s="483"/>
    </row>
    <row r="142" customFormat="false" ht="12.8" hidden="false" customHeight="false" outlineLevel="0" collapsed="false">
      <c r="B142" s="822" t="n">
        <v>9018597</v>
      </c>
      <c r="C142" s="851" t="s">
        <v>2109</v>
      </c>
      <c r="D142" s="823" t="s">
        <v>2107</v>
      </c>
      <c r="E142" s="824" t="n">
        <v>703.0764</v>
      </c>
      <c r="F142" s="483"/>
    </row>
    <row r="143" customFormat="false" ht="12.8" hidden="false" customHeight="false" outlineLevel="0" collapsed="false">
      <c r="B143" s="822" t="n">
        <v>9018590</v>
      </c>
      <c r="C143" s="851" t="s">
        <v>2110</v>
      </c>
      <c r="D143" s="823" t="s">
        <v>2093</v>
      </c>
      <c r="E143" s="824" t="n">
        <v>170.8278</v>
      </c>
      <c r="F143" s="483"/>
    </row>
    <row r="144" customFormat="false" ht="12.8" hidden="false" customHeight="false" outlineLevel="0" collapsed="false">
      <c r="B144" s="822" t="n">
        <v>9018600</v>
      </c>
      <c r="C144" s="851" t="s">
        <v>2111</v>
      </c>
      <c r="D144" s="823" t="s">
        <v>2112</v>
      </c>
      <c r="E144" s="824" t="n">
        <v>808.9614</v>
      </c>
      <c r="F144" s="483"/>
    </row>
    <row r="145" customFormat="false" ht="7.5" hidden="false" customHeight="true" outlineLevel="0" collapsed="false">
      <c r="B145" s="843"/>
      <c r="C145" s="842"/>
      <c r="D145" s="823"/>
      <c r="F145" s="483"/>
    </row>
    <row r="146" customFormat="false" ht="35.25" hidden="false" customHeight="true" outlineLevel="0" collapsed="false">
      <c r="A146" s="821"/>
      <c r="B146" s="852" t="s">
        <v>2113</v>
      </c>
      <c r="C146" s="852"/>
      <c r="D146" s="852"/>
      <c r="E146" s="852"/>
      <c r="F146" s="483"/>
    </row>
    <row r="147" customFormat="false" ht="19.7" hidden="false" customHeight="false" outlineLevel="0" collapsed="false">
      <c r="A147" s="821"/>
      <c r="B147" s="853" t="s">
        <v>1924</v>
      </c>
      <c r="C147" s="853" t="s">
        <v>1925</v>
      </c>
      <c r="D147" s="853" t="s">
        <v>1926</v>
      </c>
      <c r="E147" s="854" t="s">
        <v>1927</v>
      </c>
      <c r="F147" s="483"/>
    </row>
    <row r="148" customFormat="false" ht="15" hidden="false" customHeight="true" outlineLevel="0" collapsed="false">
      <c r="B148" s="855" t="s">
        <v>2114</v>
      </c>
      <c r="C148" s="855"/>
      <c r="D148" s="855"/>
      <c r="E148" s="855"/>
      <c r="F148" s="483"/>
    </row>
    <row r="149" customFormat="false" ht="15" hidden="false" customHeight="true" outlineLevel="0" collapsed="false">
      <c r="B149" s="822" t="n">
        <v>1000029</v>
      </c>
      <c r="C149" s="650" t="s">
        <v>2115</v>
      </c>
      <c r="D149" s="823" t="s">
        <v>2116</v>
      </c>
      <c r="E149" s="824" t="n">
        <v>16969.836</v>
      </c>
      <c r="F149" s="483"/>
    </row>
    <row r="150" customFormat="false" ht="12.8" hidden="false" customHeight="false" outlineLevel="0" collapsed="false">
      <c r="B150" s="822" t="n">
        <v>1000030</v>
      </c>
      <c r="C150" s="650" t="s">
        <v>2117</v>
      </c>
      <c r="D150" s="823" t="s">
        <v>2116</v>
      </c>
      <c r="E150" s="824" t="n">
        <v>16292.172</v>
      </c>
      <c r="F150" s="483"/>
    </row>
    <row r="151" customFormat="false" ht="12.8" hidden="false" customHeight="false" outlineLevel="0" collapsed="false">
      <c r="B151" s="822" t="n">
        <v>1000032</v>
      </c>
      <c r="C151" s="650" t="s">
        <v>2118</v>
      </c>
      <c r="D151" s="823" t="s">
        <v>2119</v>
      </c>
      <c r="E151" s="824" t="n">
        <v>18565.17</v>
      </c>
      <c r="F151" s="483"/>
    </row>
    <row r="152" customFormat="false" ht="12.8" hidden="false" customHeight="false" outlineLevel="0" collapsed="false">
      <c r="B152" s="822" t="n">
        <v>1000031</v>
      </c>
      <c r="C152" s="650" t="s">
        <v>2120</v>
      </c>
      <c r="D152" s="823" t="s">
        <v>2119</v>
      </c>
      <c r="E152" s="824" t="n">
        <v>19384.014</v>
      </c>
      <c r="F152" s="483"/>
    </row>
    <row r="153" customFormat="false" ht="12.8" hidden="false" customHeight="false" outlineLevel="0" collapsed="false">
      <c r="B153" s="822" t="n">
        <v>9163030</v>
      </c>
      <c r="C153" s="650" t="s">
        <v>2121</v>
      </c>
      <c r="D153" s="823" t="s">
        <v>2122</v>
      </c>
      <c r="E153" s="824" t="n">
        <v>2880.072</v>
      </c>
      <c r="F153" s="483"/>
    </row>
    <row r="154" customFormat="false" ht="19.7" hidden="false" customHeight="false" outlineLevel="0" collapsed="false">
      <c r="A154" s="821"/>
      <c r="B154" s="853" t="s">
        <v>1924</v>
      </c>
      <c r="C154" s="853" t="s">
        <v>1925</v>
      </c>
      <c r="D154" s="853" t="s">
        <v>1926</v>
      </c>
      <c r="E154" s="854" t="s">
        <v>1927</v>
      </c>
      <c r="F154" s="483"/>
    </row>
    <row r="155" customFormat="false" ht="15" hidden="false" customHeight="true" outlineLevel="0" collapsed="false">
      <c r="B155" s="855" t="s">
        <v>2123</v>
      </c>
      <c r="C155" s="855"/>
      <c r="D155" s="855"/>
      <c r="E155" s="855"/>
      <c r="F155" s="483"/>
    </row>
    <row r="156" customFormat="false" ht="21" hidden="false" customHeight="true" outlineLevel="0" collapsed="false">
      <c r="B156" s="822" t="n">
        <v>1003293</v>
      </c>
      <c r="C156" s="650" t="s">
        <v>2124</v>
      </c>
      <c r="D156" s="823" t="s">
        <v>2125</v>
      </c>
      <c r="E156" s="824" t="n">
        <v>23760.594</v>
      </c>
      <c r="F156" s="483"/>
    </row>
    <row r="157" customFormat="false" ht="15" hidden="false" customHeight="true" outlineLevel="0" collapsed="false">
      <c r="B157" s="822"/>
      <c r="C157" s="650"/>
      <c r="D157" s="823"/>
      <c r="E157" s="833"/>
      <c r="F157" s="483"/>
    </row>
    <row r="158" customFormat="false" ht="15" hidden="false" customHeight="true" outlineLevel="0" collapsed="false">
      <c r="C158" s="856" t="s">
        <v>2126</v>
      </c>
      <c r="D158" s="857"/>
      <c r="E158" s="857"/>
      <c r="F158" s="483"/>
    </row>
    <row r="159" customFormat="false" ht="15" hidden="false" customHeight="true" outlineLevel="0" collapsed="false">
      <c r="B159" s="845" t="n">
        <v>9021217</v>
      </c>
      <c r="C159" s="650" t="s">
        <v>2127</v>
      </c>
      <c r="D159" s="842" t="s">
        <v>2128</v>
      </c>
      <c r="E159" s="833" t="n">
        <v>12212.07</v>
      </c>
      <c r="F159" s="483"/>
    </row>
    <row r="160" customFormat="false" ht="15" hidden="false" customHeight="true" outlineLevel="0" collapsed="false">
      <c r="A160" s="858" t="s">
        <v>2129</v>
      </c>
      <c r="B160" s="859" t="n">
        <v>9018685</v>
      </c>
      <c r="C160" s="860" t="s">
        <v>2130</v>
      </c>
      <c r="D160" s="837" t="s">
        <v>2131</v>
      </c>
      <c r="E160" s="861" t="n">
        <v>3529.5</v>
      </c>
      <c r="F160" s="483"/>
    </row>
    <row r="161" s="850" customFormat="true" ht="15" hidden="false" customHeight="true" outlineLevel="0" collapsed="false">
      <c r="A161" s="849" t="s">
        <v>2132</v>
      </c>
      <c r="B161" s="822" t="n">
        <v>9018608</v>
      </c>
      <c r="C161" s="650" t="s">
        <v>2133</v>
      </c>
      <c r="D161" s="842" t="s">
        <v>2134</v>
      </c>
      <c r="E161" s="833" t="n">
        <v>3714.4458</v>
      </c>
      <c r="F161" s="483"/>
    </row>
    <row r="162" s="850" customFormat="true" ht="15" hidden="false" customHeight="true" outlineLevel="0" collapsed="false">
      <c r="B162" s="845" t="n">
        <v>9018620</v>
      </c>
      <c r="C162" s="851" t="s">
        <v>2135</v>
      </c>
      <c r="D162" s="842" t="s">
        <v>2136</v>
      </c>
      <c r="E162" s="833" t="n">
        <v>5802.498</v>
      </c>
      <c r="F162" s="483"/>
    </row>
    <row r="163" s="850" customFormat="true" ht="15" hidden="false" customHeight="true" outlineLevel="0" collapsed="false">
      <c r="A163" s="858" t="s">
        <v>2132</v>
      </c>
      <c r="B163" s="862" t="n">
        <v>1822445</v>
      </c>
      <c r="C163" s="863" t="s">
        <v>2137</v>
      </c>
      <c r="D163" s="838" t="s">
        <v>2138</v>
      </c>
      <c r="E163" s="861" t="n">
        <v>6677.814</v>
      </c>
      <c r="F163" s="483"/>
    </row>
    <row r="164" s="850" customFormat="true" ht="24" hidden="false" customHeight="true" outlineLevel="0" collapsed="false">
      <c r="B164" s="845" t="n">
        <v>9016736</v>
      </c>
      <c r="C164" s="851" t="s">
        <v>2139</v>
      </c>
      <c r="D164" s="842" t="s">
        <v>2140</v>
      </c>
      <c r="E164" s="833" t="n">
        <v>340.2438</v>
      </c>
      <c r="F164" s="483"/>
    </row>
    <row r="165" customFormat="false" ht="12.8" hidden="false" customHeight="false" outlineLevel="0" collapsed="false">
      <c r="B165" s="818" t="s">
        <v>1924</v>
      </c>
      <c r="C165" s="818" t="s">
        <v>1925</v>
      </c>
      <c r="D165" s="818" t="s">
        <v>1926</v>
      </c>
      <c r="E165" s="819" t="s">
        <v>1927</v>
      </c>
      <c r="F165" s="483"/>
    </row>
    <row r="166" customFormat="false" ht="13.8" hidden="false" customHeight="false" outlineLevel="0" collapsed="false">
      <c r="B166" s="820" t="s">
        <v>2141</v>
      </c>
      <c r="C166" s="820"/>
      <c r="D166" s="820"/>
      <c r="E166" s="820"/>
      <c r="F166" s="483"/>
    </row>
    <row r="167" customFormat="false" ht="12.8" hidden="false" customHeight="false" outlineLevel="0" collapsed="false">
      <c r="B167" s="822" t="n">
        <v>1002823</v>
      </c>
      <c r="C167" s="650" t="s">
        <v>2142</v>
      </c>
      <c r="D167" s="823" t="s">
        <v>2143</v>
      </c>
      <c r="E167" s="824" t="n">
        <v>20979.348</v>
      </c>
      <c r="F167" s="483"/>
    </row>
    <row r="168" customFormat="false" ht="15" hidden="false" customHeight="true" outlineLevel="0" collapsed="false">
      <c r="B168" s="845" t="n">
        <v>1822445</v>
      </c>
      <c r="C168" s="851" t="s">
        <v>2137</v>
      </c>
      <c r="D168" s="823" t="s">
        <v>2144</v>
      </c>
      <c r="E168" s="824" t="n">
        <v>6677.814</v>
      </c>
      <c r="F168" s="483"/>
    </row>
    <row r="169" customFormat="false" ht="12.8" hidden="false" customHeight="false" outlineLevel="0" collapsed="false">
      <c r="B169" s="822" t="n">
        <v>9014529</v>
      </c>
      <c r="C169" s="650" t="s">
        <v>2145</v>
      </c>
      <c r="D169" s="864"/>
      <c r="E169" s="824" t="n">
        <v>950.1414</v>
      </c>
      <c r="F169" s="483"/>
    </row>
    <row r="170" customFormat="false" ht="12.8" hidden="false" customHeight="false" outlineLevel="0" collapsed="false">
      <c r="B170" s="822" t="n">
        <v>9014536</v>
      </c>
      <c r="C170" s="650" t="s">
        <v>2146</v>
      </c>
      <c r="D170" s="864"/>
      <c r="E170" s="824" t="n">
        <v>240.7119</v>
      </c>
      <c r="F170" s="483"/>
    </row>
    <row r="171" customFormat="false" ht="9" hidden="false" customHeight="true" outlineLevel="0" collapsed="false">
      <c r="B171" s="843"/>
      <c r="C171" s="842"/>
      <c r="D171" s="823"/>
      <c r="E171" s="847"/>
      <c r="F171" s="483"/>
    </row>
    <row r="172" customFormat="false" ht="19.7" hidden="false" customHeight="false" outlineLevel="0" collapsed="false">
      <c r="A172" s="821"/>
      <c r="B172" s="865" t="s">
        <v>2147</v>
      </c>
      <c r="C172" s="865"/>
      <c r="D172" s="865"/>
      <c r="E172" s="865"/>
      <c r="F172" s="483"/>
    </row>
    <row r="173" customFormat="false" ht="19.7" hidden="false" customHeight="false" outlineLevel="0" collapsed="false">
      <c r="A173" s="821"/>
      <c r="B173" s="866" t="s">
        <v>1924</v>
      </c>
      <c r="C173" s="866" t="s">
        <v>1925</v>
      </c>
      <c r="D173" s="866" t="s">
        <v>1926</v>
      </c>
      <c r="E173" s="867" t="s">
        <v>1927</v>
      </c>
      <c r="F173" s="483"/>
    </row>
    <row r="174" customFormat="false" ht="19.7" hidden="false" customHeight="false" outlineLevel="0" collapsed="false">
      <c r="A174" s="821"/>
      <c r="B174" s="868" t="s">
        <v>2148</v>
      </c>
      <c r="C174" s="868"/>
      <c r="D174" s="868"/>
      <c r="E174" s="868"/>
      <c r="F174" s="483"/>
    </row>
    <row r="175" customFormat="false" ht="15" hidden="false" customHeight="true" outlineLevel="0" collapsed="false">
      <c r="B175" s="822" t="n">
        <v>1870071</v>
      </c>
      <c r="C175" s="650" t="s">
        <v>2149</v>
      </c>
      <c r="D175" s="823" t="s">
        <v>2150</v>
      </c>
      <c r="E175" s="824" t="n">
        <v>19482.84</v>
      </c>
      <c r="F175" s="483"/>
    </row>
    <row r="176" customFormat="false" ht="15" hidden="false" customHeight="true" outlineLevel="0" collapsed="false">
      <c r="B176" s="822" t="n">
        <v>1870116</v>
      </c>
      <c r="C176" s="650" t="s">
        <v>2151</v>
      </c>
      <c r="D176" s="823" t="s">
        <v>2152</v>
      </c>
      <c r="E176" s="824" t="n">
        <v>8590.803</v>
      </c>
      <c r="F176" s="483"/>
    </row>
    <row r="177" customFormat="false" ht="15" hidden="false" customHeight="true" outlineLevel="0" collapsed="false">
      <c r="B177" s="869" t="n">
        <v>1822445</v>
      </c>
      <c r="C177" s="648" t="s">
        <v>2153</v>
      </c>
      <c r="D177" s="823" t="s">
        <v>2154</v>
      </c>
      <c r="E177" s="824" t="n">
        <v>6677.814</v>
      </c>
      <c r="F177" s="483"/>
    </row>
    <row r="178" customFormat="false" ht="15" hidden="false" customHeight="true" outlineLevel="0" collapsed="false">
      <c r="B178" s="822" t="n">
        <v>1870195</v>
      </c>
      <c r="C178" s="650" t="s">
        <v>2155</v>
      </c>
      <c r="D178" s="823" t="s">
        <v>2156</v>
      </c>
      <c r="E178" s="824" t="n">
        <v>9091.992</v>
      </c>
      <c r="F178" s="483"/>
    </row>
    <row r="179" customFormat="false" ht="15" hidden="false" customHeight="true" outlineLevel="0" collapsed="false">
      <c r="B179" s="822" t="n">
        <v>1870149</v>
      </c>
      <c r="C179" s="650" t="s">
        <v>2157</v>
      </c>
      <c r="D179" s="823" t="s">
        <v>2158</v>
      </c>
      <c r="E179" s="824" t="n">
        <v>9755.538</v>
      </c>
      <c r="F179" s="483"/>
    </row>
    <row r="180" customFormat="false" ht="15" hidden="false" customHeight="true" outlineLevel="0" collapsed="false">
      <c r="B180" s="822" t="n">
        <v>9014006</v>
      </c>
      <c r="C180" s="650" t="s">
        <v>2159</v>
      </c>
      <c r="D180" s="870" t="s">
        <v>2160</v>
      </c>
      <c r="E180" s="824" t="n">
        <v>965.6712</v>
      </c>
      <c r="F180" s="483"/>
    </row>
    <row r="181" customFormat="false" ht="15" hidden="false" customHeight="true" outlineLevel="0" collapsed="false">
      <c r="B181" s="822" t="n">
        <v>1870156</v>
      </c>
      <c r="C181" s="650" t="s">
        <v>2161</v>
      </c>
      <c r="D181" s="823" t="s">
        <v>2162</v>
      </c>
      <c r="E181" s="824" t="n">
        <v>29718.39</v>
      </c>
      <c r="F181" s="483"/>
    </row>
    <row r="182" customFormat="false" ht="9.75" hidden="false" customHeight="true" outlineLevel="0" collapsed="false">
      <c r="B182" s="843"/>
      <c r="C182" s="842"/>
      <c r="D182" s="823"/>
      <c r="F182" s="483"/>
    </row>
    <row r="183" customFormat="false" ht="19.7" hidden="false" customHeight="false" outlineLevel="0" collapsed="false">
      <c r="A183" s="821"/>
      <c r="B183" s="871" t="s">
        <v>2163</v>
      </c>
      <c r="C183" s="871"/>
      <c r="D183" s="871"/>
      <c r="E183" s="871"/>
      <c r="F183" s="483"/>
    </row>
    <row r="184" customFormat="false" ht="19.7" hidden="false" customHeight="false" outlineLevel="0" collapsed="false">
      <c r="A184" s="821"/>
      <c r="B184" s="872" t="s">
        <v>2164</v>
      </c>
      <c r="C184" s="872"/>
      <c r="D184" s="872"/>
      <c r="E184" s="872"/>
      <c r="F184" s="483"/>
    </row>
    <row r="185" customFormat="false" ht="12.8" hidden="false" customHeight="false" outlineLevel="0" collapsed="false">
      <c r="B185" s="822" t="n">
        <v>1870144</v>
      </c>
      <c r="C185" s="650" t="s">
        <v>2165</v>
      </c>
      <c r="D185" s="823" t="s">
        <v>2166</v>
      </c>
      <c r="E185" s="824" t="n">
        <v>16009.812</v>
      </c>
      <c r="F185" s="483"/>
    </row>
    <row r="186" customFormat="false" ht="12.8" hidden="false" customHeight="false" outlineLevel="0" collapsed="false">
      <c r="B186" s="822" t="n">
        <v>1870139</v>
      </c>
      <c r="C186" s="650" t="s">
        <v>2167</v>
      </c>
      <c r="D186" s="823" t="s">
        <v>2168</v>
      </c>
      <c r="E186" s="824" t="n">
        <v>17407.494</v>
      </c>
      <c r="F186" s="483"/>
    </row>
    <row r="187" customFormat="false" ht="12.8" hidden="false" customHeight="false" outlineLevel="0" collapsed="false">
      <c r="B187" s="822" t="n">
        <v>1870158</v>
      </c>
      <c r="C187" s="650" t="s">
        <v>2169</v>
      </c>
      <c r="D187" s="823" t="s">
        <v>2170</v>
      </c>
      <c r="E187" s="824" t="n">
        <v>47351.772</v>
      </c>
      <c r="F187" s="483"/>
    </row>
    <row r="188" customFormat="false" ht="12.8" hidden="false" customHeight="false" outlineLevel="0" collapsed="false">
      <c r="B188" s="822" t="n">
        <v>1870162</v>
      </c>
      <c r="C188" s="650" t="s">
        <v>2171</v>
      </c>
      <c r="D188" s="823" t="s">
        <v>2172</v>
      </c>
      <c r="E188" s="824" t="n">
        <v>87051.588</v>
      </c>
      <c r="F188" s="483"/>
    </row>
    <row r="189" customFormat="false" ht="19.7" hidden="false" customHeight="false" outlineLevel="0" collapsed="false">
      <c r="A189" s="821"/>
      <c r="B189" s="872" t="s">
        <v>2173</v>
      </c>
      <c r="C189" s="872"/>
      <c r="D189" s="872"/>
      <c r="E189" s="872"/>
      <c r="F189" s="483"/>
    </row>
    <row r="190" customFormat="false" ht="12.8" hidden="false" customHeight="false" outlineLevel="0" collapsed="false">
      <c r="B190" s="822" t="n">
        <v>1870133</v>
      </c>
      <c r="C190" s="650" t="s">
        <v>2174</v>
      </c>
      <c r="D190" s="823" t="s">
        <v>2175</v>
      </c>
      <c r="E190" s="824" t="n">
        <v>3176.55</v>
      </c>
      <c r="F190" s="483"/>
    </row>
    <row r="191" customFormat="false" ht="19.7" hidden="false" customHeight="false" outlineLevel="0" collapsed="false">
      <c r="A191" s="821"/>
      <c r="B191" s="872" t="s">
        <v>2176</v>
      </c>
      <c r="C191" s="872"/>
      <c r="D191" s="872"/>
      <c r="E191" s="872"/>
      <c r="F191" s="483"/>
    </row>
    <row r="192" customFormat="false" ht="12.8" hidden="false" customHeight="false" outlineLevel="0" collapsed="false">
      <c r="B192" s="822" t="n">
        <v>1810153</v>
      </c>
      <c r="C192" s="650" t="s">
        <v>2177</v>
      </c>
      <c r="D192" s="823" t="s">
        <v>2178</v>
      </c>
      <c r="E192" s="824" t="n">
        <v>10023.78</v>
      </c>
      <c r="F192" s="483"/>
    </row>
    <row r="193" customFormat="false" ht="12.8" hidden="false" customHeight="false" outlineLevel="0" collapsed="false">
      <c r="B193" s="822" t="n">
        <v>1810261</v>
      </c>
      <c r="C193" s="650" t="s">
        <v>2179</v>
      </c>
      <c r="D193" s="823" t="s">
        <v>2180</v>
      </c>
      <c r="E193" s="824" t="n">
        <v>12600.315</v>
      </c>
      <c r="F193" s="483"/>
    </row>
    <row r="194" customFormat="false" ht="7.5" hidden="false" customHeight="true" outlineLevel="0" collapsed="false">
      <c r="B194" s="843"/>
      <c r="C194" s="842"/>
      <c r="D194" s="823"/>
      <c r="E194" s="847"/>
      <c r="F194" s="483"/>
    </row>
    <row r="195" customFormat="false" ht="35.25" hidden="false" customHeight="true" outlineLevel="0" collapsed="false">
      <c r="A195" s="821"/>
      <c r="B195" s="852" t="s">
        <v>2181</v>
      </c>
      <c r="C195" s="852"/>
      <c r="D195" s="852"/>
      <c r="E195" s="852"/>
      <c r="F195" s="483"/>
    </row>
    <row r="196" customFormat="false" ht="19.7" hidden="false" customHeight="false" outlineLevel="0" collapsed="false">
      <c r="A196" s="821"/>
      <c r="B196" s="853" t="s">
        <v>1924</v>
      </c>
      <c r="C196" s="853" t="s">
        <v>1925</v>
      </c>
      <c r="D196" s="853" t="s">
        <v>1926</v>
      </c>
      <c r="E196" s="854" t="s">
        <v>1927</v>
      </c>
      <c r="F196" s="483"/>
    </row>
    <row r="197" customFormat="false" ht="15" hidden="false" customHeight="true" outlineLevel="0" collapsed="false">
      <c r="B197" s="855" t="s">
        <v>2182</v>
      </c>
      <c r="C197" s="855"/>
      <c r="D197" s="855"/>
      <c r="E197" s="855"/>
      <c r="F197" s="483"/>
    </row>
    <row r="198" customFormat="false" ht="12.8" hidden="false" customHeight="false" outlineLevel="0" collapsed="false">
      <c r="B198" s="822" t="s">
        <v>2183</v>
      </c>
      <c r="C198" s="650" t="s">
        <v>2184</v>
      </c>
      <c r="D198" s="823" t="s">
        <v>2185</v>
      </c>
      <c r="E198" s="833" t="n">
        <v>1482.39</v>
      </c>
      <c r="F198" s="483"/>
    </row>
    <row r="199" customFormat="false" ht="12.8" hidden="false" customHeight="false" outlineLevel="0" collapsed="false">
      <c r="B199" s="822" t="s">
        <v>2186</v>
      </c>
      <c r="C199" s="650" t="s">
        <v>2187</v>
      </c>
      <c r="D199" s="823" t="s">
        <v>2185</v>
      </c>
      <c r="E199" s="833" t="n">
        <v>1380.7404</v>
      </c>
      <c r="F199" s="483"/>
    </row>
    <row r="200" customFormat="false" ht="6.75" hidden="false" customHeight="true" outlineLevel="0" collapsed="false">
      <c r="B200" s="843"/>
      <c r="C200" s="842"/>
      <c r="D200" s="823"/>
      <c r="E200" s="847"/>
      <c r="F200" s="483"/>
    </row>
    <row r="201" customFormat="false" ht="19.7" hidden="false" customHeight="false" outlineLevel="0" collapsed="false">
      <c r="A201" s="821"/>
      <c r="B201" s="873" t="s">
        <v>2188</v>
      </c>
      <c r="C201" s="874"/>
      <c r="D201" s="874"/>
      <c r="E201" s="874"/>
      <c r="F201" s="483"/>
    </row>
    <row r="202" customFormat="false" ht="12.8" hidden="false" customHeight="false" outlineLevel="0" collapsed="false">
      <c r="A202" s="875"/>
      <c r="B202" s="822" t="n">
        <v>9163251</v>
      </c>
      <c r="C202" s="650" t="s">
        <v>2189</v>
      </c>
      <c r="D202" s="823" t="s">
        <v>2190</v>
      </c>
      <c r="E202" s="824" t="n">
        <v>109.4145</v>
      </c>
      <c r="F202" s="483"/>
    </row>
    <row r="203" customFormat="false" ht="12.8" hidden="false" customHeight="false" outlineLevel="0" collapsed="false">
      <c r="A203" s="875"/>
      <c r="B203" s="822" t="n">
        <v>9163254</v>
      </c>
      <c r="C203" s="650" t="s">
        <v>2191</v>
      </c>
      <c r="D203" s="823" t="s">
        <v>2192</v>
      </c>
      <c r="E203" s="824" t="n">
        <v>124.2384</v>
      </c>
      <c r="F203" s="483"/>
    </row>
    <row r="204" customFormat="false" ht="12.8" hidden="false" customHeight="false" outlineLevel="0" collapsed="false">
      <c r="B204" s="822" t="n">
        <v>9163252</v>
      </c>
      <c r="C204" s="650" t="s">
        <v>2193</v>
      </c>
      <c r="D204" s="823" t="s">
        <v>2194</v>
      </c>
      <c r="E204" s="824" t="n">
        <v>109.4145</v>
      </c>
      <c r="F204" s="483"/>
    </row>
    <row r="205" customFormat="false" ht="15" hidden="false" customHeight="true" outlineLevel="0" collapsed="false">
      <c r="B205" s="822" t="n">
        <v>9163255</v>
      </c>
      <c r="C205" s="650" t="s">
        <v>2195</v>
      </c>
      <c r="D205" s="823" t="s">
        <v>2196</v>
      </c>
      <c r="E205" s="824" t="n">
        <v>124.2384</v>
      </c>
      <c r="F205" s="483"/>
    </row>
    <row r="206" customFormat="false" ht="12.8" hidden="false" customHeight="false" outlineLevel="0" collapsed="false">
      <c r="B206" s="822" t="n">
        <v>9163253</v>
      </c>
      <c r="C206" s="650" t="s">
        <v>2197</v>
      </c>
      <c r="D206" s="823" t="s">
        <v>2198</v>
      </c>
      <c r="E206" s="824" t="n">
        <v>124.2384</v>
      </c>
      <c r="F206" s="483"/>
    </row>
    <row r="207" customFormat="false" ht="12.8" hidden="false" customHeight="false" outlineLevel="0" collapsed="false">
      <c r="B207" s="822" t="n">
        <v>9163256</v>
      </c>
      <c r="C207" s="650" t="s">
        <v>2199</v>
      </c>
      <c r="D207" s="823" t="s">
        <v>2200</v>
      </c>
      <c r="E207" s="824" t="n">
        <v>124.2384</v>
      </c>
      <c r="F207" s="483"/>
    </row>
    <row r="208" customFormat="false" ht="19.7" hidden="false" customHeight="false" outlineLevel="0" collapsed="false">
      <c r="A208" s="821"/>
      <c r="B208" s="873" t="s">
        <v>2201</v>
      </c>
      <c r="C208" s="874"/>
      <c r="D208" s="874"/>
      <c r="E208" s="874"/>
      <c r="F208" s="483"/>
    </row>
    <row r="209" customFormat="false" ht="15" hidden="false" customHeight="true" outlineLevel="0" collapsed="false">
      <c r="B209" s="822" t="n">
        <v>9163260</v>
      </c>
      <c r="C209" s="650" t="s">
        <v>2202</v>
      </c>
      <c r="D209" s="823" t="s">
        <v>2175</v>
      </c>
      <c r="E209" s="824" t="n">
        <v>141.18</v>
      </c>
      <c r="F209" s="483"/>
    </row>
    <row r="210" customFormat="false" ht="15" hidden="false" customHeight="true" outlineLevel="0" collapsed="false">
      <c r="B210" s="822" t="n">
        <v>9163262</v>
      </c>
      <c r="C210" s="650" t="s">
        <v>2203</v>
      </c>
      <c r="D210" s="823" t="s">
        <v>2175</v>
      </c>
      <c r="E210" s="824" t="n">
        <v>170.8278</v>
      </c>
      <c r="F210" s="483"/>
    </row>
    <row r="211" customFormat="false" ht="19.7" hidden="false" customHeight="false" outlineLevel="0" collapsed="false">
      <c r="A211" s="821"/>
      <c r="B211" s="873" t="s">
        <v>2204</v>
      </c>
      <c r="C211" s="874"/>
      <c r="D211" s="874"/>
      <c r="E211" s="874"/>
      <c r="F211" s="483"/>
    </row>
    <row r="212" customFormat="false" ht="15" hidden="false" customHeight="true" outlineLevel="0" collapsed="false">
      <c r="A212" s="876"/>
      <c r="B212" s="822" t="n">
        <v>9162159</v>
      </c>
      <c r="C212" s="650" t="s">
        <v>2205</v>
      </c>
      <c r="D212" s="823" t="s">
        <v>2206</v>
      </c>
      <c r="E212" s="824" t="n">
        <v>132.0033</v>
      </c>
      <c r="F212" s="483"/>
    </row>
    <row r="213" customFormat="false" ht="15" hidden="false" customHeight="true" outlineLevel="0" collapsed="false">
      <c r="B213" s="822" t="n">
        <v>9162176</v>
      </c>
      <c r="C213" s="650" t="s">
        <v>2207</v>
      </c>
      <c r="D213" s="823" t="s">
        <v>2206</v>
      </c>
      <c r="E213" s="824" t="n">
        <v>132.0033</v>
      </c>
      <c r="F213" s="483"/>
    </row>
    <row r="214" customFormat="false" ht="15" hidden="false" customHeight="true" outlineLevel="0" collapsed="false">
      <c r="B214" s="822" t="n">
        <v>9162267</v>
      </c>
      <c r="C214" s="650" t="s">
        <v>2208</v>
      </c>
      <c r="D214" s="823" t="s">
        <v>2206</v>
      </c>
      <c r="E214" s="824" t="n">
        <v>257.6535</v>
      </c>
      <c r="F214" s="483"/>
    </row>
    <row r="215" customFormat="false" ht="15" hidden="false" customHeight="true" outlineLevel="0" collapsed="false">
      <c r="B215" s="822" t="n">
        <v>9162135</v>
      </c>
      <c r="C215" s="650" t="s">
        <v>2209</v>
      </c>
      <c r="D215" s="823" t="s">
        <v>2206</v>
      </c>
      <c r="E215" s="824" t="n">
        <v>170.8278</v>
      </c>
      <c r="F215" s="483"/>
    </row>
    <row r="216" customFormat="false" ht="15" hidden="false" customHeight="true" outlineLevel="0" collapsed="false">
      <c r="B216" s="822" t="n">
        <v>9162138</v>
      </c>
      <c r="C216" s="650" t="s">
        <v>2210</v>
      </c>
      <c r="D216" s="823" t="s">
        <v>2206</v>
      </c>
      <c r="E216" s="824" t="n">
        <v>163.0629</v>
      </c>
      <c r="F216" s="483"/>
    </row>
    <row r="217" customFormat="false" ht="15" hidden="false" customHeight="true" outlineLevel="0" collapsed="false">
      <c r="B217" s="822" t="n">
        <v>1781001</v>
      </c>
      <c r="C217" s="650" t="s">
        <v>2211</v>
      </c>
      <c r="D217" s="823" t="s">
        <v>2206</v>
      </c>
      <c r="E217" s="824" t="n">
        <v>163.0629</v>
      </c>
      <c r="F217" s="483"/>
    </row>
    <row r="218" customFormat="false" ht="15" hidden="false" customHeight="true" outlineLevel="0" collapsed="false">
      <c r="A218" s="822"/>
      <c r="B218" s="822" t="n">
        <v>1781003</v>
      </c>
      <c r="C218" s="650" t="s">
        <v>2212</v>
      </c>
      <c r="D218" s="823" t="s">
        <v>2206</v>
      </c>
      <c r="E218" s="824" t="n">
        <v>163.0629</v>
      </c>
      <c r="F218" s="483"/>
    </row>
    <row r="219" customFormat="false" ht="15" hidden="false" customHeight="true" outlineLevel="0" collapsed="false">
      <c r="B219" s="822" t="n">
        <v>9162137</v>
      </c>
      <c r="C219" s="650" t="s">
        <v>2213</v>
      </c>
      <c r="D219" s="823" t="s">
        <v>2206</v>
      </c>
      <c r="E219" s="824" t="n">
        <v>156.0039</v>
      </c>
      <c r="F219" s="483"/>
    </row>
    <row r="220" customFormat="false" ht="15" hidden="false" customHeight="true" outlineLevel="0" collapsed="false">
      <c r="B220" s="822" t="n">
        <v>1781002</v>
      </c>
      <c r="C220" s="650" t="s">
        <v>2214</v>
      </c>
      <c r="D220" s="823" t="s">
        <v>2206</v>
      </c>
      <c r="E220" s="824" t="n">
        <v>156.0039</v>
      </c>
      <c r="F220" s="483"/>
    </row>
    <row r="221" customFormat="false" ht="15" hidden="false" customHeight="true" outlineLevel="0" collapsed="false">
      <c r="B221" s="822" t="n">
        <v>9162143</v>
      </c>
      <c r="C221" s="650" t="s">
        <v>2215</v>
      </c>
      <c r="D221" s="823" t="s">
        <v>2206</v>
      </c>
      <c r="E221" s="824" t="n">
        <v>124.2384</v>
      </c>
      <c r="F221" s="483"/>
    </row>
    <row r="222" customFormat="false" ht="15" hidden="false" customHeight="true" outlineLevel="0" collapsed="false">
      <c r="B222" s="822" t="n">
        <v>9162142</v>
      </c>
      <c r="C222" s="650" t="s">
        <v>2216</v>
      </c>
      <c r="D222" s="823" t="s">
        <v>2206</v>
      </c>
      <c r="E222" s="824" t="n">
        <v>116.4735</v>
      </c>
      <c r="F222" s="483"/>
    </row>
    <row r="223" customFormat="false" ht="15" hidden="false" customHeight="true" outlineLevel="0" collapsed="false">
      <c r="B223" s="822" t="n">
        <v>9162141</v>
      </c>
      <c r="C223" s="650" t="s">
        <v>2217</v>
      </c>
      <c r="D223" s="823" t="s">
        <v>2206</v>
      </c>
      <c r="E223" s="824" t="n">
        <v>124.2384</v>
      </c>
      <c r="F223" s="483"/>
    </row>
    <row r="224" customFormat="false" ht="15" hidden="false" customHeight="true" outlineLevel="0" collapsed="false">
      <c r="B224" s="822" t="n">
        <v>9162140</v>
      </c>
      <c r="C224" s="650" t="s">
        <v>2218</v>
      </c>
      <c r="D224" s="823" t="s">
        <v>2206</v>
      </c>
      <c r="E224" s="824" t="n">
        <v>116.4735</v>
      </c>
      <c r="F224" s="483"/>
    </row>
    <row r="225" customFormat="false" ht="15" hidden="false" customHeight="true" outlineLevel="0" collapsed="false">
      <c r="B225" s="822" t="n">
        <v>1781000</v>
      </c>
      <c r="C225" s="650" t="s">
        <v>2219</v>
      </c>
      <c r="D225" s="823" t="s">
        <v>2206</v>
      </c>
      <c r="E225" s="824" t="n">
        <v>116.4735</v>
      </c>
      <c r="F225" s="483"/>
    </row>
    <row r="226" customFormat="false" ht="19.7" hidden="false" customHeight="false" outlineLevel="0" collapsed="false">
      <c r="A226" s="821"/>
      <c r="B226" s="873" t="s">
        <v>2220</v>
      </c>
      <c r="C226" s="874"/>
      <c r="D226" s="874"/>
      <c r="E226" s="874"/>
      <c r="F226" s="483"/>
    </row>
    <row r="227" customFormat="false" ht="12.8" hidden="false" customHeight="false" outlineLevel="0" collapsed="false">
      <c r="B227" s="822" t="n">
        <v>9162257</v>
      </c>
      <c r="C227" s="650" t="s">
        <v>2221</v>
      </c>
      <c r="D227" s="823" t="s">
        <v>2206</v>
      </c>
      <c r="E227" s="824" t="n">
        <v>141.18</v>
      </c>
      <c r="F227" s="483"/>
    </row>
    <row r="228" customFormat="false" ht="12.8" hidden="false" customHeight="false" outlineLevel="0" collapsed="false">
      <c r="B228" s="822" t="n">
        <v>9162258</v>
      </c>
      <c r="C228" s="650" t="s">
        <v>2222</v>
      </c>
      <c r="D228" s="823" t="s">
        <v>2206</v>
      </c>
      <c r="E228" s="824" t="n">
        <v>141.18</v>
      </c>
      <c r="F228" s="483"/>
    </row>
    <row r="229" customFormat="false" ht="7.2" hidden="false" customHeight="true" outlineLevel="0" collapsed="false">
      <c r="F229" s="483"/>
    </row>
    <row r="230" customFormat="false" ht="34.95" hidden="false" customHeight="true" outlineLevel="0" collapsed="false">
      <c r="B230" s="829" t="s">
        <v>2223</v>
      </c>
      <c r="C230" s="829"/>
      <c r="D230" s="829"/>
      <c r="E230" s="829"/>
      <c r="F230" s="483"/>
    </row>
    <row r="231" customFormat="false" ht="12.8" hidden="false" customHeight="false" outlineLevel="0" collapsed="false">
      <c r="B231" s="827" t="s">
        <v>1924</v>
      </c>
      <c r="C231" s="827" t="s">
        <v>1925</v>
      </c>
      <c r="D231" s="827" t="s">
        <v>1926</v>
      </c>
      <c r="E231" s="828" t="s">
        <v>1927</v>
      </c>
      <c r="F231" s="483"/>
    </row>
    <row r="232" customFormat="false" ht="13.8" hidden="false" customHeight="false" outlineLevel="0" collapsed="false">
      <c r="B232" s="829" t="s">
        <v>2224</v>
      </c>
      <c r="C232" s="829"/>
      <c r="D232" s="829"/>
      <c r="E232" s="829"/>
      <c r="F232" s="483"/>
    </row>
    <row r="233" customFormat="false" ht="24" hidden="false" customHeight="true" outlineLevel="0" collapsed="false">
      <c r="B233" s="822" t="n">
        <v>9025918</v>
      </c>
      <c r="C233" s="650" t="s">
        <v>2225</v>
      </c>
      <c r="D233" s="823" t="s">
        <v>2226</v>
      </c>
      <c r="E233" s="824" t="n">
        <v>9060.9324</v>
      </c>
      <c r="F233" s="483"/>
    </row>
    <row r="234" customFormat="false" ht="15" hidden="false" customHeight="true" outlineLevel="0" collapsed="false">
      <c r="B234" s="822" t="n">
        <v>9025940</v>
      </c>
      <c r="C234" s="650" t="s">
        <v>2227</v>
      </c>
      <c r="D234" s="823"/>
      <c r="E234" s="824" t="n">
        <v>703.0764</v>
      </c>
      <c r="F234" s="483"/>
    </row>
    <row r="235" customFormat="false" ht="15" hidden="false" customHeight="true" outlineLevel="0" collapsed="false">
      <c r="B235" s="822" t="n">
        <v>9025941</v>
      </c>
      <c r="C235" s="650" t="s">
        <v>2228</v>
      </c>
      <c r="D235" s="823"/>
      <c r="E235" s="824" t="n">
        <v>1212.7362</v>
      </c>
      <c r="F235" s="483"/>
    </row>
    <row r="236" customFormat="false" ht="15" hidden="false" customHeight="true" outlineLevel="0" collapsed="false">
      <c r="B236" s="822" t="n">
        <v>9025942</v>
      </c>
      <c r="C236" s="650" t="s">
        <v>2229</v>
      </c>
      <c r="D236" s="823" t="s">
        <v>2230</v>
      </c>
      <c r="E236" s="824" t="n">
        <v>624.0156</v>
      </c>
      <c r="F236" s="483"/>
    </row>
    <row r="237" customFormat="false" ht="15" hidden="false" customHeight="true" outlineLevel="0" collapsed="false">
      <c r="B237" s="822" t="n">
        <v>9025943</v>
      </c>
      <c r="C237" s="650" t="s">
        <v>2231</v>
      </c>
      <c r="D237" s="823" t="s">
        <v>2232</v>
      </c>
      <c r="E237" s="824" t="n">
        <v>232.947</v>
      </c>
      <c r="F237" s="483"/>
    </row>
    <row r="238" customFormat="false" ht="15" hidden="false" customHeight="true" outlineLevel="0" collapsed="false">
      <c r="B238" s="822" t="n">
        <v>9025944</v>
      </c>
      <c r="C238" s="650" t="s">
        <v>2233</v>
      </c>
      <c r="D238" s="823" t="s">
        <v>2234</v>
      </c>
      <c r="E238" s="824" t="n">
        <v>232.947</v>
      </c>
      <c r="F238" s="483"/>
    </row>
    <row r="239" customFormat="false" ht="15" hidden="false" customHeight="true" outlineLevel="0" collapsed="false">
      <c r="B239" s="822" t="n">
        <v>9025945</v>
      </c>
      <c r="C239" s="650" t="s">
        <v>2235</v>
      </c>
      <c r="D239" s="823" t="s">
        <v>2236</v>
      </c>
      <c r="E239" s="824" t="n">
        <v>232.947</v>
      </c>
      <c r="F239" s="483"/>
    </row>
    <row r="240" customFormat="false" ht="15" hidden="false" customHeight="true" outlineLevel="0" collapsed="false">
      <c r="B240" s="822" t="n">
        <v>9025946</v>
      </c>
      <c r="C240" s="650" t="s">
        <v>2237</v>
      </c>
      <c r="D240" s="823" t="s">
        <v>2238</v>
      </c>
      <c r="E240" s="824" t="n">
        <v>232.947</v>
      </c>
      <c r="F240" s="483"/>
    </row>
    <row r="241" customFormat="false" ht="15" hidden="false" customHeight="true" outlineLevel="0" collapsed="false">
      <c r="B241" s="822" t="n">
        <v>9025947</v>
      </c>
      <c r="C241" s="650" t="s">
        <v>2239</v>
      </c>
      <c r="D241" s="823" t="s">
        <v>2240</v>
      </c>
      <c r="E241" s="824" t="n">
        <v>232.947</v>
      </c>
      <c r="F241" s="483"/>
    </row>
    <row r="242" customFormat="false" ht="15" hidden="false" customHeight="true" outlineLevel="0" collapsed="false">
      <c r="B242" s="822" t="n">
        <v>9025948</v>
      </c>
      <c r="C242" s="650" t="s">
        <v>2241</v>
      </c>
      <c r="D242" s="823" t="s">
        <v>2242</v>
      </c>
      <c r="E242" s="824" t="n">
        <v>232.947</v>
      </c>
      <c r="F242" s="483"/>
    </row>
    <row r="243" customFormat="false" ht="15" hidden="false" customHeight="true" outlineLevel="0" collapsed="false">
      <c r="B243" s="822" t="n">
        <v>9025949</v>
      </c>
      <c r="C243" s="650" t="s">
        <v>2243</v>
      </c>
      <c r="D243" s="823" t="s">
        <v>2244</v>
      </c>
      <c r="E243" s="824" t="n">
        <v>187.7694</v>
      </c>
      <c r="F243" s="483"/>
    </row>
    <row r="244" customFormat="false" ht="15" hidden="false" customHeight="true" outlineLevel="0" collapsed="false">
      <c r="B244" s="822" t="n">
        <v>9025950</v>
      </c>
      <c r="C244" s="650" t="s">
        <v>2245</v>
      </c>
      <c r="D244" s="823" t="s">
        <v>2246</v>
      </c>
      <c r="E244" s="824" t="n">
        <v>201.8874</v>
      </c>
      <c r="F244" s="483"/>
    </row>
    <row r="245" customFormat="false" ht="15" hidden="false" customHeight="true" outlineLevel="0" collapsed="false">
      <c r="B245" s="822" t="n">
        <v>9025951</v>
      </c>
      <c r="C245" s="650" t="s">
        <v>2247</v>
      </c>
      <c r="D245" s="823" t="s">
        <v>2248</v>
      </c>
      <c r="E245" s="824" t="n">
        <v>201.8874</v>
      </c>
      <c r="F245" s="483"/>
    </row>
    <row r="246" customFormat="false" ht="15" hidden="false" customHeight="true" outlineLevel="0" collapsed="false">
      <c r="B246" s="822" t="n">
        <v>9025952</v>
      </c>
      <c r="C246" s="650" t="s">
        <v>2249</v>
      </c>
      <c r="D246" s="823" t="s">
        <v>2250</v>
      </c>
      <c r="E246" s="824" t="n">
        <v>201.8874</v>
      </c>
      <c r="F246" s="483"/>
    </row>
    <row r="247" customFormat="false" ht="15" hidden="false" customHeight="true" outlineLevel="0" collapsed="false">
      <c r="B247" s="822" t="n">
        <v>9025953</v>
      </c>
      <c r="C247" s="650" t="s">
        <v>2251</v>
      </c>
      <c r="D247" s="823" t="s">
        <v>2252</v>
      </c>
      <c r="E247" s="824" t="n">
        <v>201.8874</v>
      </c>
      <c r="F247" s="483"/>
    </row>
    <row r="248" customFormat="false" ht="15" hidden="false" customHeight="true" outlineLevel="0" collapsed="false">
      <c r="B248" s="822" t="n">
        <v>9025954</v>
      </c>
      <c r="C248" s="650" t="s">
        <v>2253</v>
      </c>
      <c r="D248" s="823" t="s">
        <v>2254</v>
      </c>
      <c r="E248" s="824" t="n">
        <v>201.8874</v>
      </c>
      <c r="F248" s="483"/>
    </row>
    <row r="249" customFormat="false" ht="15" hidden="false" customHeight="true" outlineLevel="0" collapsed="false">
      <c r="B249" s="822" t="n">
        <v>9025955</v>
      </c>
      <c r="C249" s="650" t="s">
        <v>2255</v>
      </c>
      <c r="D249" s="823" t="s">
        <v>2256</v>
      </c>
      <c r="E249" s="824" t="n">
        <v>423.54</v>
      </c>
      <c r="F249" s="483"/>
    </row>
    <row r="250" customFormat="false" ht="15" hidden="false" customHeight="true" outlineLevel="0" collapsed="false">
      <c r="B250" s="822" t="n">
        <v>9025956</v>
      </c>
      <c r="C250" s="650" t="s">
        <v>2257</v>
      </c>
      <c r="D250" s="823" t="s">
        <v>2258</v>
      </c>
      <c r="E250" s="824" t="n">
        <v>437.658</v>
      </c>
      <c r="F250" s="483"/>
    </row>
    <row r="251" customFormat="false" ht="15" hidden="false" customHeight="true" outlineLevel="0" collapsed="false">
      <c r="B251" s="822" t="n">
        <v>9025957</v>
      </c>
      <c r="C251" s="650" t="s">
        <v>2259</v>
      </c>
      <c r="D251" s="823" t="s">
        <v>2260</v>
      </c>
      <c r="E251" s="824" t="n">
        <v>437.658</v>
      </c>
      <c r="F251" s="483"/>
    </row>
    <row r="252" customFormat="false" ht="15" hidden="false" customHeight="true" outlineLevel="0" collapsed="false">
      <c r="B252" s="822" t="n">
        <v>9025958</v>
      </c>
      <c r="C252" s="650" t="s">
        <v>2261</v>
      </c>
      <c r="D252" s="823" t="s">
        <v>2262</v>
      </c>
      <c r="E252" s="824" t="n">
        <v>437.658</v>
      </c>
      <c r="F252" s="483"/>
    </row>
    <row r="253" customFormat="false" ht="15" hidden="false" customHeight="true" outlineLevel="0" collapsed="false">
      <c r="B253" s="822" t="n">
        <v>9025959</v>
      </c>
      <c r="C253" s="650" t="s">
        <v>2263</v>
      </c>
      <c r="D253" s="823" t="s">
        <v>2264</v>
      </c>
      <c r="E253" s="824" t="n">
        <v>437.658</v>
      </c>
      <c r="F253" s="483"/>
    </row>
    <row r="254" customFormat="false" ht="15" hidden="false" customHeight="true" outlineLevel="0" collapsed="false">
      <c r="B254" s="822" t="n">
        <v>9025960</v>
      </c>
      <c r="C254" s="650" t="s">
        <v>2265</v>
      </c>
      <c r="D254" s="823" t="s">
        <v>2266</v>
      </c>
      <c r="E254" s="824" t="n">
        <v>437.658</v>
      </c>
      <c r="F254" s="483"/>
    </row>
    <row r="255" customFormat="false" ht="15" hidden="false" customHeight="true" outlineLevel="0" collapsed="false">
      <c r="B255" s="822" t="n">
        <v>9025961</v>
      </c>
      <c r="C255" s="650" t="s">
        <v>2267</v>
      </c>
      <c r="D255" s="823" t="s">
        <v>2268</v>
      </c>
      <c r="E255" s="824" t="n">
        <v>201.8874</v>
      </c>
      <c r="F255" s="483"/>
    </row>
    <row r="256" customFormat="false" ht="15" hidden="false" customHeight="true" outlineLevel="0" collapsed="false">
      <c r="B256" s="822" t="n">
        <v>9025962</v>
      </c>
      <c r="C256" s="650" t="s">
        <v>2269</v>
      </c>
      <c r="D256" s="823" t="s">
        <v>2270</v>
      </c>
      <c r="E256" s="824" t="n">
        <v>233.6529</v>
      </c>
      <c r="F256" s="483"/>
    </row>
    <row r="257" customFormat="false" ht="15" hidden="false" customHeight="true" outlineLevel="0" collapsed="false">
      <c r="B257" s="822" t="n">
        <v>9025963</v>
      </c>
      <c r="C257" s="650" t="s">
        <v>2271</v>
      </c>
      <c r="D257" s="823" t="s">
        <v>2272</v>
      </c>
      <c r="E257" s="824" t="n">
        <v>233.6529</v>
      </c>
      <c r="F257" s="483"/>
    </row>
    <row r="258" customFormat="false" ht="15" hidden="false" customHeight="true" outlineLevel="0" collapsed="false">
      <c r="B258" s="822" t="n">
        <v>9025964</v>
      </c>
      <c r="C258" s="650" t="s">
        <v>2273</v>
      </c>
      <c r="D258" s="823" t="s">
        <v>2274</v>
      </c>
      <c r="E258" s="824" t="n">
        <v>233.6529</v>
      </c>
      <c r="F258" s="483"/>
    </row>
    <row r="259" customFormat="false" ht="15" hidden="false" customHeight="true" outlineLevel="0" collapsed="false">
      <c r="B259" s="822" t="n">
        <v>9025965</v>
      </c>
      <c r="C259" s="650" t="s">
        <v>2275</v>
      </c>
      <c r="D259" s="823" t="s">
        <v>2276</v>
      </c>
      <c r="E259" s="824" t="n">
        <v>233.6529</v>
      </c>
      <c r="F259" s="483"/>
    </row>
    <row r="260" customFormat="false" ht="15" hidden="false" customHeight="true" outlineLevel="0" collapsed="false">
      <c r="B260" s="822" t="n">
        <v>9025966</v>
      </c>
      <c r="C260" s="650" t="s">
        <v>2277</v>
      </c>
      <c r="D260" s="823" t="s">
        <v>2278</v>
      </c>
      <c r="E260" s="824" t="n">
        <v>233.6529</v>
      </c>
      <c r="F260" s="483"/>
    </row>
    <row r="261" customFormat="false" ht="15" hidden="false" customHeight="true" outlineLevel="0" collapsed="false">
      <c r="B261" s="822" t="n">
        <v>9025967</v>
      </c>
      <c r="C261" s="650" t="s">
        <v>2279</v>
      </c>
      <c r="D261" s="823" t="s">
        <v>2268</v>
      </c>
      <c r="E261" s="824" t="n">
        <v>156.0039</v>
      </c>
      <c r="F261" s="483"/>
    </row>
    <row r="262" customFormat="false" ht="15" hidden="false" customHeight="true" outlineLevel="0" collapsed="false">
      <c r="B262" s="822" t="n">
        <v>9025968</v>
      </c>
      <c r="C262" s="650" t="s">
        <v>2280</v>
      </c>
      <c r="D262" s="823" t="s">
        <v>2270</v>
      </c>
      <c r="E262" s="824" t="n">
        <v>187.0635</v>
      </c>
      <c r="F262" s="483"/>
    </row>
    <row r="263" customFormat="false" ht="15" hidden="false" customHeight="true" outlineLevel="0" collapsed="false">
      <c r="B263" s="822" t="n">
        <v>9025969</v>
      </c>
      <c r="C263" s="650" t="s">
        <v>2281</v>
      </c>
      <c r="D263" s="823" t="s">
        <v>2272</v>
      </c>
      <c r="E263" s="824" t="n">
        <v>187.0635</v>
      </c>
      <c r="F263" s="483"/>
    </row>
    <row r="264" customFormat="false" ht="15" hidden="false" customHeight="true" outlineLevel="0" collapsed="false">
      <c r="B264" s="822" t="n">
        <v>9025970</v>
      </c>
      <c r="C264" s="650" t="s">
        <v>2282</v>
      </c>
      <c r="D264" s="823" t="s">
        <v>2274</v>
      </c>
      <c r="E264" s="824" t="n">
        <v>187.0635</v>
      </c>
      <c r="F264" s="483"/>
    </row>
    <row r="265" customFormat="false" ht="15" hidden="false" customHeight="true" outlineLevel="0" collapsed="false">
      <c r="B265" s="822" t="n">
        <v>9025971</v>
      </c>
      <c r="C265" s="650" t="s">
        <v>2283</v>
      </c>
      <c r="D265" s="823" t="s">
        <v>2276</v>
      </c>
      <c r="E265" s="824" t="n">
        <v>187.0635</v>
      </c>
      <c r="F265" s="483"/>
    </row>
    <row r="266" customFormat="false" ht="15" hidden="false" customHeight="true" outlineLevel="0" collapsed="false">
      <c r="B266" s="822" t="n">
        <v>9025972</v>
      </c>
      <c r="C266" s="650" t="s">
        <v>2284</v>
      </c>
      <c r="D266" s="823" t="s">
        <v>2278</v>
      </c>
      <c r="E266" s="824" t="n">
        <v>187.0635</v>
      </c>
      <c r="F266" s="483"/>
    </row>
    <row r="267" customFormat="false" ht="13.8" hidden="false" customHeight="false" outlineLevel="0" collapsed="false">
      <c r="B267" s="829" t="s">
        <v>2285</v>
      </c>
      <c r="C267" s="829"/>
      <c r="D267" s="829"/>
      <c r="E267" s="829"/>
      <c r="F267" s="483"/>
    </row>
    <row r="268" customFormat="false" ht="24" hidden="false" customHeight="true" outlineLevel="0" collapsed="false">
      <c r="B268" s="822" t="n">
        <v>9025919</v>
      </c>
      <c r="C268" s="650" t="s">
        <v>2286</v>
      </c>
      <c r="D268" s="823" t="s">
        <v>2287</v>
      </c>
      <c r="E268" s="824" t="n">
        <v>13643.6352</v>
      </c>
      <c r="F268" s="483"/>
    </row>
    <row r="269" customFormat="false" ht="15" hidden="false" customHeight="true" outlineLevel="0" collapsed="false">
      <c r="B269" s="822" t="n">
        <v>9025977</v>
      </c>
      <c r="C269" s="650" t="s">
        <v>2288</v>
      </c>
      <c r="D269" s="823"/>
      <c r="E269" s="824" t="n">
        <v>763.7838</v>
      </c>
      <c r="F269" s="483"/>
    </row>
    <row r="270" customFormat="false" ht="15" hidden="false" customHeight="true" outlineLevel="0" collapsed="false">
      <c r="B270" s="822" t="n">
        <v>9025979</v>
      </c>
      <c r="C270" s="650" t="s">
        <v>2289</v>
      </c>
      <c r="D270" s="823"/>
      <c r="E270" s="824" t="n">
        <v>808.9614</v>
      </c>
      <c r="F270" s="483"/>
    </row>
    <row r="271" customFormat="false" ht="15" hidden="false" customHeight="true" outlineLevel="0" collapsed="false">
      <c r="B271" s="822" t="n">
        <v>9025988</v>
      </c>
      <c r="C271" s="650" t="s">
        <v>2290</v>
      </c>
      <c r="D271" s="823"/>
      <c r="E271" s="824" t="n">
        <v>1437.2124</v>
      </c>
      <c r="F271" s="483"/>
    </row>
    <row r="272" customFormat="false" ht="15" hidden="false" customHeight="true" outlineLevel="0" collapsed="false">
      <c r="B272" s="822" t="n">
        <v>9025989</v>
      </c>
      <c r="C272" s="650" t="s">
        <v>2291</v>
      </c>
      <c r="D272" s="823"/>
      <c r="E272" s="824" t="n">
        <v>1437.2124</v>
      </c>
      <c r="F272" s="483"/>
    </row>
    <row r="273" customFormat="false" ht="15" hidden="false" customHeight="true" outlineLevel="0" collapsed="false">
      <c r="B273" s="822" t="n">
        <v>9025990</v>
      </c>
      <c r="C273" s="650" t="s">
        <v>2292</v>
      </c>
      <c r="D273" s="823"/>
      <c r="E273" s="824" t="n">
        <v>1437.2124</v>
      </c>
      <c r="F273" s="483"/>
    </row>
    <row r="274" customFormat="false" ht="15" hidden="false" customHeight="true" outlineLevel="0" collapsed="false">
      <c r="B274" s="822" t="n">
        <v>9026022</v>
      </c>
      <c r="C274" s="650" t="s">
        <v>2293</v>
      </c>
      <c r="D274" s="823" t="s">
        <v>2294</v>
      </c>
      <c r="E274" s="824" t="n">
        <v>965.6712</v>
      </c>
      <c r="F274" s="483"/>
    </row>
    <row r="275" customFormat="false" ht="24" hidden="false" customHeight="true" outlineLevel="0" collapsed="false">
      <c r="B275" s="822" t="n">
        <v>9026017</v>
      </c>
      <c r="C275" s="650" t="s">
        <v>2295</v>
      </c>
      <c r="D275" s="823" t="s">
        <v>2296</v>
      </c>
      <c r="E275" s="824" t="n">
        <v>981.201</v>
      </c>
      <c r="F275" s="483"/>
    </row>
    <row r="276" customFormat="false" ht="24" hidden="false" customHeight="true" outlineLevel="0" collapsed="false">
      <c r="B276" s="822" t="n">
        <v>9026352</v>
      </c>
      <c r="C276" s="650" t="s">
        <v>2297</v>
      </c>
      <c r="D276" s="823" t="s">
        <v>2298</v>
      </c>
      <c r="E276" s="824" t="n">
        <v>981.201</v>
      </c>
      <c r="F276" s="483"/>
    </row>
    <row r="277" customFormat="false" ht="15" hidden="false" customHeight="true" outlineLevel="0" collapsed="false">
      <c r="B277" s="822" t="n">
        <v>9026018</v>
      </c>
      <c r="C277" s="650" t="s">
        <v>2299</v>
      </c>
      <c r="D277" s="823" t="s">
        <v>2300</v>
      </c>
      <c r="E277" s="824" t="n">
        <v>608.4858</v>
      </c>
      <c r="F277" s="483"/>
    </row>
    <row r="278" customFormat="false" ht="15" hidden="false" customHeight="true" outlineLevel="0" collapsed="false">
      <c r="B278" s="822" t="n">
        <v>9026019</v>
      </c>
      <c r="C278" s="650" t="s">
        <v>2301</v>
      </c>
      <c r="D278" s="823" t="s">
        <v>2302</v>
      </c>
      <c r="E278" s="824" t="n">
        <v>9629.8878</v>
      </c>
      <c r="F278" s="483"/>
    </row>
    <row r="279" customFormat="false" ht="15" hidden="false" customHeight="true" outlineLevel="0" collapsed="false">
      <c r="B279" s="822" t="n">
        <v>9026040</v>
      </c>
      <c r="C279" s="650" t="s">
        <v>2303</v>
      </c>
      <c r="D279" s="823" t="s">
        <v>2304</v>
      </c>
      <c r="E279" s="824" t="n">
        <v>63.531</v>
      </c>
      <c r="F279" s="483"/>
    </row>
    <row r="280" customFormat="false" ht="13.8" hidden="false" customHeight="false" outlineLevel="0" collapsed="false">
      <c r="B280" s="829" t="s">
        <v>2305</v>
      </c>
      <c r="C280" s="829"/>
      <c r="D280" s="829"/>
      <c r="E280" s="829"/>
      <c r="F280" s="483"/>
    </row>
    <row r="281" customFormat="false" ht="24" hidden="false" customHeight="true" outlineLevel="0" collapsed="false">
      <c r="B281" s="822" t="n">
        <v>9025920</v>
      </c>
      <c r="C281" s="650" t="s">
        <v>1063</v>
      </c>
      <c r="D281" s="823" t="s">
        <v>2287</v>
      </c>
      <c r="E281" s="824" t="n">
        <v>27856.2258</v>
      </c>
      <c r="F281" s="483"/>
    </row>
    <row r="282" customFormat="false" ht="15" hidden="false" customHeight="true" outlineLevel="0" collapsed="false">
      <c r="B282" s="822" t="n">
        <v>9025981</v>
      </c>
      <c r="C282" s="650" t="s">
        <v>2306</v>
      </c>
      <c r="D282" s="823"/>
      <c r="E282" s="824" t="n">
        <v>856.9626</v>
      </c>
      <c r="F282" s="483"/>
    </row>
    <row r="283" customFormat="false" ht="15" hidden="false" customHeight="true" outlineLevel="0" collapsed="false">
      <c r="B283" s="822" t="n">
        <v>9025982</v>
      </c>
      <c r="C283" s="650" t="s">
        <v>2307</v>
      </c>
      <c r="D283" s="823"/>
      <c r="E283" s="824" t="n">
        <v>906.3756</v>
      </c>
      <c r="F283" s="483"/>
    </row>
    <row r="284" customFormat="false" ht="15" hidden="false" customHeight="true" outlineLevel="0" collapsed="false">
      <c r="B284" s="822" t="n">
        <v>9025991</v>
      </c>
      <c r="C284" s="650" t="s">
        <v>2308</v>
      </c>
      <c r="D284" s="823"/>
      <c r="E284" s="824" t="n">
        <v>1557.2154</v>
      </c>
      <c r="F284" s="483"/>
    </row>
    <row r="285" customFormat="false" ht="15" hidden="false" customHeight="true" outlineLevel="0" collapsed="false">
      <c r="B285" s="822" t="n">
        <v>9025992</v>
      </c>
      <c r="C285" s="650" t="s">
        <v>2309</v>
      </c>
      <c r="D285" s="823"/>
      <c r="E285" s="824" t="n">
        <v>1557.2154</v>
      </c>
      <c r="F285" s="483"/>
    </row>
    <row r="286" customFormat="false" ht="15" hidden="false" customHeight="true" outlineLevel="0" collapsed="false">
      <c r="B286" s="822" t="n">
        <v>9025993</v>
      </c>
      <c r="C286" s="650" t="s">
        <v>2310</v>
      </c>
      <c r="D286" s="823"/>
      <c r="E286" s="824" t="n">
        <v>1557.2154</v>
      </c>
      <c r="F286" s="483"/>
    </row>
    <row r="287" customFormat="false" ht="13.8" hidden="false" customHeight="false" outlineLevel="0" collapsed="false">
      <c r="B287" s="829" t="s">
        <v>2311</v>
      </c>
      <c r="C287" s="829"/>
      <c r="D287" s="829"/>
      <c r="E287" s="829"/>
      <c r="F287" s="483"/>
    </row>
    <row r="288" customFormat="false" ht="15" hidden="false" customHeight="true" outlineLevel="0" collapsed="false">
      <c r="B288" s="822" t="n">
        <v>9025976</v>
      </c>
      <c r="C288" s="650" t="s">
        <v>2312</v>
      </c>
      <c r="D288" s="823" t="s">
        <v>2313</v>
      </c>
      <c r="E288" s="824" t="n">
        <v>998.1426</v>
      </c>
      <c r="F288" s="483"/>
    </row>
    <row r="289" customFormat="false" ht="24" hidden="false" customHeight="true" outlineLevel="0" collapsed="false">
      <c r="B289" s="822" t="n">
        <v>9025983</v>
      </c>
      <c r="C289" s="650" t="s">
        <v>2314</v>
      </c>
      <c r="D289" s="823" t="s">
        <v>2315</v>
      </c>
      <c r="E289" s="824" t="n">
        <v>810.3732</v>
      </c>
      <c r="F289" s="483"/>
    </row>
    <row r="290" customFormat="false" ht="24" hidden="false" customHeight="true" outlineLevel="0" collapsed="false">
      <c r="B290" s="822" t="n">
        <v>9025984</v>
      </c>
      <c r="C290" s="650" t="s">
        <v>2316</v>
      </c>
      <c r="D290" s="823" t="s">
        <v>2317</v>
      </c>
      <c r="E290" s="824" t="n">
        <v>810.3732</v>
      </c>
      <c r="F290" s="483"/>
    </row>
    <row r="291" customFormat="false" ht="24" hidden="false" customHeight="true" outlineLevel="0" collapsed="false">
      <c r="B291" s="822" t="n">
        <v>9025994</v>
      </c>
      <c r="C291" s="650" t="s">
        <v>2318</v>
      </c>
      <c r="D291" s="823" t="s">
        <v>2319</v>
      </c>
      <c r="E291" s="824" t="n">
        <v>1482.39</v>
      </c>
      <c r="F291" s="483"/>
    </row>
    <row r="292" customFormat="false" ht="15" hidden="false" customHeight="true" outlineLevel="0" collapsed="false">
      <c r="B292" s="822" t="n">
        <v>9025985</v>
      </c>
      <c r="C292" s="650" t="s">
        <v>2320</v>
      </c>
      <c r="D292" s="823" t="s">
        <v>2319</v>
      </c>
      <c r="E292" s="824" t="n">
        <v>577.4262</v>
      </c>
      <c r="F292" s="483"/>
    </row>
    <row r="293" customFormat="false" ht="15" hidden="false" customHeight="true" outlineLevel="0" collapsed="false">
      <c r="B293" s="822" t="n">
        <v>9025986</v>
      </c>
      <c r="C293" s="650" t="s">
        <v>2321</v>
      </c>
      <c r="D293" s="823" t="s">
        <v>2319</v>
      </c>
      <c r="E293" s="824" t="n">
        <v>577.4262</v>
      </c>
      <c r="F293" s="483"/>
    </row>
    <row r="294" customFormat="false" ht="15" hidden="false" customHeight="true" outlineLevel="0" collapsed="false">
      <c r="B294" s="822" t="n">
        <v>9025987</v>
      </c>
      <c r="C294" s="650" t="s">
        <v>2322</v>
      </c>
      <c r="D294" s="823" t="s">
        <v>2319</v>
      </c>
      <c r="E294" s="824" t="n">
        <v>577.4262</v>
      </c>
      <c r="F294" s="483"/>
    </row>
    <row r="295" customFormat="false" ht="15" hidden="false" customHeight="true" outlineLevel="0" collapsed="false">
      <c r="B295" s="822" t="n">
        <v>9025995</v>
      </c>
      <c r="C295" s="650" t="s">
        <v>2323</v>
      </c>
      <c r="D295" s="823" t="s">
        <v>2324</v>
      </c>
      <c r="E295" s="824" t="n">
        <v>669.1932</v>
      </c>
      <c r="F295" s="483"/>
    </row>
    <row r="296" customFormat="false" ht="15" hidden="false" customHeight="true" outlineLevel="0" collapsed="false">
      <c r="B296" s="822" t="n">
        <v>9026014</v>
      </c>
      <c r="C296" s="650" t="s">
        <v>2325</v>
      </c>
      <c r="D296" s="823" t="s">
        <v>2326</v>
      </c>
      <c r="E296" s="824" t="n">
        <v>763.7838</v>
      </c>
      <c r="F296" s="483"/>
    </row>
    <row r="297" customFormat="false" ht="15" hidden="false" customHeight="true" outlineLevel="0" collapsed="false">
      <c r="B297" s="822" t="n">
        <v>9026015</v>
      </c>
      <c r="C297" s="650" t="s">
        <v>2327</v>
      </c>
      <c r="D297" s="823" t="s">
        <v>2326</v>
      </c>
      <c r="E297" s="824" t="n">
        <v>763.7838</v>
      </c>
      <c r="F297" s="483"/>
    </row>
    <row r="298" customFormat="false" ht="15" hidden="false" customHeight="true" outlineLevel="0" collapsed="false">
      <c r="B298" s="822" t="n">
        <v>9026016</v>
      </c>
      <c r="C298" s="650" t="s">
        <v>2328</v>
      </c>
      <c r="D298" s="823" t="s">
        <v>2326</v>
      </c>
      <c r="E298" s="824" t="n">
        <v>763.7838</v>
      </c>
      <c r="F298" s="483"/>
    </row>
    <row r="299" customFormat="false" ht="15" hidden="false" customHeight="true" outlineLevel="0" collapsed="false">
      <c r="B299" s="822" t="n">
        <v>9026011</v>
      </c>
      <c r="C299" s="650" t="s">
        <v>2329</v>
      </c>
      <c r="D299" s="823" t="s">
        <v>2326</v>
      </c>
      <c r="E299" s="824" t="n">
        <v>669.1932</v>
      </c>
      <c r="F299" s="483"/>
    </row>
    <row r="300" customFormat="false" ht="15" hidden="false" customHeight="true" outlineLevel="0" collapsed="false">
      <c r="B300" s="822" t="n">
        <v>9026012</v>
      </c>
      <c r="C300" s="650" t="s">
        <v>2330</v>
      </c>
      <c r="D300" s="823" t="s">
        <v>2326</v>
      </c>
      <c r="E300" s="824" t="n">
        <v>669.1932</v>
      </c>
      <c r="F300" s="483"/>
    </row>
    <row r="301" customFormat="false" ht="15" hidden="false" customHeight="true" outlineLevel="0" collapsed="false">
      <c r="B301" s="822" t="n">
        <v>9026013</v>
      </c>
      <c r="C301" s="650" t="s">
        <v>2331</v>
      </c>
      <c r="D301" s="823" t="s">
        <v>2326</v>
      </c>
      <c r="E301" s="824" t="n">
        <v>669.1932</v>
      </c>
      <c r="F301" s="483"/>
    </row>
    <row r="302" customFormat="false" ht="13.8" hidden="false" customHeight="false" outlineLevel="0" collapsed="false">
      <c r="B302" s="829" t="s">
        <v>2332</v>
      </c>
      <c r="C302" s="829"/>
      <c r="D302" s="829"/>
      <c r="E302" s="829"/>
      <c r="F302" s="483"/>
    </row>
    <row r="303" customFormat="false" ht="24" hidden="false" customHeight="true" outlineLevel="0" collapsed="false">
      <c r="B303" s="822" t="n">
        <v>9025921</v>
      </c>
      <c r="C303" s="650" t="s">
        <v>2333</v>
      </c>
      <c r="D303" s="823" t="s">
        <v>2287</v>
      </c>
      <c r="E303" s="824" t="n">
        <v>4582.7028</v>
      </c>
      <c r="F303" s="483"/>
    </row>
    <row r="304" customFormat="false" ht="24" hidden="false" customHeight="true" outlineLevel="0" collapsed="false">
      <c r="B304" s="822" t="n">
        <v>9025922</v>
      </c>
      <c r="C304" s="650" t="s">
        <v>2334</v>
      </c>
      <c r="D304" s="823" t="s">
        <v>2287</v>
      </c>
      <c r="E304" s="824" t="n">
        <v>5045.7732</v>
      </c>
      <c r="F304" s="483"/>
    </row>
    <row r="305" customFormat="false" ht="24" hidden="false" customHeight="true" outlineLevel="0" collapsed="false">
      <c r="B305" s="822" t="n">
        <v>9025923</v>
      </c>
      <c r="C305" s="650" t="s">
        <v>2335</v>
      </c>
      <c r="D305" s="823" t="s">
        <v>2287</v>
      </c>
      <c r="E305" s="824" t="n">
        <v>5045.7732</v>
      </c>
      <c r="F305" s="483"/>
    </row>
    <row r="306" customFormat="false" ht="24" hidden="false" customHeight="true" outlineLevel="0" collapsed="false">
      <c r="B306" s="822" t="n">
        <v>9025924</v>
      </c>
      <c r="C306" s="650" t="s">
        <v>2336</v>
      </c>
      <c r="D306" s="823" t="s">
        <v>2287</v>
      </c>
      <c r="E306" s="824" t="n">
        <v>5045.7732</v>
      </c>
      <c r="F306" s="483"/>
    </row>
    <row r="307" customFormat="false" ht="24" hidden="false" customHeight="true" outlineLevel="0" collapsed="false">
      <c r="B307" s="822" t="n">
        <v>9025925</v>
      </c>
      <c r="C307" s="650" t="s">
        <v>2337</v>
      </c>
      <c r="D307" s="823" t="s">
        <v>2287</v>
      </c>
      <c r="E307" s="824" t="n">
        <v>5045.7732</v>
      </c>
      <c r="F307" s="483"/>
    </row>
    <row r="308" customFormat="false" ht="24" hidden="false" customHeight="true" outlineLevel="0" collapsed="false">
      <c r="B308" s="822" t="n">
        <v>9026811</v>
      </c>
      <c r="C308" s="650" t="s">
        <v>2338</v>
      </c>
      <c r="D308" s="823" t="s">
        <v>2287</v>
      </c>
      <c r="E308" s="824" t="n">
        <v>5885.7942</v>
      </c>
      <c r="F308" s="483"/>
    </row>
    <row r="309" customFormat="false" ht="24" hidden="false" customHeight="true" outlineLevel="0" collapsed="false">
      <c r="B309" s="822" t="n">
        <v>9026812</v>
      </c>
      <c r="C309" s="650" t="s">
        <v>2339</v>
      </c>
      <c r="D309" s="823" t="s">
        <v>2287</v>
      </c>
      <c r="E309" s="824" t="n">
        <v>5885.7942</v>
      </c>
      <c r="F309" s="483"/>
    </row>
    <row r="310" customFormat="false" ht="15" hidden="false" customHeight="true" outlineLevel="0" collapsed="false">
      <c r="B310" s="822" t="n">
        <v>9025935</v>
      </c>
      <c r="C310" s="650" t="s">
        <v>2340</v>
      </c>
      <c r="D310" s="823" t="s">
        <v>2341</v>
      </c>
      <c r="E310" s="824" t="n">
        <v>28.51836</v>
      </c>
      <c r="F310" s="483"/>
    </row>
    <row r="311" customFormat="false" ht="12.8" hidden="false" customHeight="false" outlineLevel="0" collapsed="false">
      <c r="B311" s="822" t="n">
        <v>9025936</v>
      </c>
      <c r="C311" s="650" t="s">
        <v>2342</v>
      </c>
      <c r="D311" s="823" t="s">
        <v>2343</v>
      </c>
      <c r="E311" s="824" t="n">
        <v>31.48314</v>
      </c>
      <c r="F311" s="483"/>
    </row>
    <row r="312" customFormat="false" ht="12.8" hidden="false" customHeight="false" outlineLevel="0" collapsed="false">
      <c r="B312" s="822" t="n">
        <v>9025937</v>
      </c>
      <c r="C312" s="650" t="s">
        <v>2344</v>
      </c>
      <c r="D312" s="823" t="s">
        <v>2345</v>
      </c>
      <c r="E312" s="824" t="n">
        <v>31.48314</v>
      </c>
      <c r="F312" s="483"/>
    </row>
    <row r="313" customFormat="false" ht="12.8" hidden="false" customHeight="false" outlineLevel="0" collapsed="false">
      <c r="B313" s="822" t="n">
        <v>9025938</v>
      </c>
      <c r="C313" s="650" t="s">
        <v>2346</v>
      </c>
      <c r="D313" s="823" t="s">
        <v>2347</v>
      </c>
      <c r="E313" s="824" t="n">
        <v>31.48314</v>
      </c>
      <c r="F313" s="483"/>
    </row>
    <row r="314" customFormat="false" ht="12.8" hidden="false" customHeight="false" outlineLevel="0" collapsed="false">
      <c r="B314" s="822" t="n">
        <v>9025939</v>
      </c>
      <c r="C314" s="650" t="s">
        <v>2348</v>
      </c>
      <c r="D314" s="823" t="s">
        <v>2349</v>
      </c>
      <c r="E314" s="824" t="n">
        <v>31.48314</v>
      </c>
      <c r="F314" s="483"/>
    </row>
    <row r="315" customFormat="false" ht="12.8" hidden="false" customHeight="false" outlineLevel="0" collapsed="false">
      <c r="B315" s="822" t="n">
        <v>9026814</v>
      </c>
      <c r="C315" s="650" t="s">
        <v>2350</v>
      </c>
      <c r="D315" s="823" t="s">
        <v>2351</v>
      </c>
      <c r="E315" s="824" t="n">
        <v>7787.4888</v>
      </c>
      <c r="F315" s="483"/>
    </row>
    <row r="316" customFormat="false" ht="12.8" hidden="false" customHeight="false" outlineLevel="0" collapsed="false">
      <c r="B316" s="822" t="n">
        <v>9026815</v>
      </c>
      <c r="C316" s="650" t="s">
        <v>2352</v>
      </c>
      <c r="D316" s="823" t="s">
        <v>2353</v>
      </c>
      <c r="E316" s="824" t="n">
        <v>9346.116</v>
      </c>
      <c r="F316" s="483"/>
    </row>
  </sheetData>
  <mergeCells count="38">
    <mergeCell ref="B16:E16"/>
    <mergeCell ref="B19:E19"/>
    <mergeCell ref="B21:E21"/>
    <mergeCell ref="B23:E23"/>
    <mergeCell ref="B29:E29"/>
    <mergeCell ref="B34:E34"/>
    <mergeCell ref="B39:E39"/>
    <mergeCell ref="B44:E44"/>
    <mergeCell ref="B64:E64"/>
    <mergeCell ref="B70:E70"/>
    <mergeCell ref="B73:E73"/>
    <mergeCell ref="B76:E76"/>
    <mergeCell ref="B79:E79"/>
    <mergeCell ref="B81:E81"/>
    <mergeCell ref="B101:E101"/>
    <mergeCell ref="B107:E107"/>
    <mergeCell ref="B109:E109"/>
    <mergeCell ref="B112:E112"/>
    <mergeCell ref="B124:E124"/>
    <mergeCell ref="B146:E146"/>
    <mergeCell ref="B148:E148"/>
    <mergeCell ref="B155:E155"/>
    <mergeCell ref="B166:E166"/>
    <mergeCell ref="B172:E172"/>
    <mergeCell ref="B174:E174"/>
    <mergeCell ref="B183:E183"/>
    <mergeCell ref="B184:E184"/>
    <mergeCell ref="B189:E189"/>
    <mergeCell ref="B191:E191"/>
    <mergeCell ref="B195:E195"/>
    <mergeCell ref="B197:E197"/>
    <mergeCell ref="A202:A203"/>
    <mergeCell ref="B230:E230"/>
    <mergeCell ref="B232:E232"/>
    <mergeCell ref="B267:E267"/>
    <mergeCell ref="B280:E280"/>
    <mergeCell ref="B287:E287"/>
    <mergeCell ref="B302:E302"/>
  </mergeCells>
  <hyperlinks>
    <hyperlink ref="D4" r:id="rId1" display="www.somfypro.ru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3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63"/>
    <col collapsed="false" customWidth="true" hidden="false" outlineLevel="0" max="3" min="3" style="0" width="71.9"/>
    <col collapsed="false" customWidth="true" hidden="false" outlineLevel="0" max="4" min="4" style="0" width="47.59"/>
    <col collapsed="false" customWidth="true" hidden="false" outlineLevel="0" max="64" min="5" style="0" width="11.63"/>
  </cols>
  <sheetData>
    <row r="4" customFormat="false" ht="17.35" hidden="false" customHeight="false" outlineLevel="0" collapsed="false">
      <c r="B4" s="826" t="s">
        <v>1933</v>
      </c>
      <c r="C4" s="826"/>
      <c r="D4" s="826"/>
      <c r="E4" s="826"/>
    </row>
    <row r="5" customFormat="false" ht="12.8" hidden="false" customHeight="false" outlineLevel="0" collapsed="false">
      <c r="B5" s="877" t="s">
        <v>1924</v>
      </c>
      <c r="C5" s="877" t="s">
        <v>1925</v>
      </c>
      <c r="D5" s="877" t="s">
        <v>1926</v>
      </c>
      <c r="E5" s="878" t="s">
        <v>1927</v>
      </c>
    </row>
    <row r="6" customFormat="false" ht="12.75" hidden="false" customHeight="true" outlineLevel="0" collapsed="false">
      <c r="B6" s="829" t="s">
        <v>1934</v>
      </c>
      <c r="C6" s="829"/>
      <c r="D6" s="829"/>
      <c r="E6" s="829"/>
    </row>
    <row r="7" customFormat="false" ht="12.75" hidden="false" customHeight="true" outlineLevel="0" collapsed="false">
      <c r="B7" s="879" t="s">
        <v>2354</v>
      </c>
      <c r="C7" s="880" t="s">
        <v>2355</v>
      </c>
      <c r="D7" s="881" t="s">
        <v>2356</v>
      </c>
      <c r="E7" s="618" t="n">
        <v>23350</v>
      </c>
    </row>
    <row r="8" customFormat="false" ht="12.75" hidden="false" customHeight="true" outlineLevel="0" collapsed="false">
      <c r="B8" s="829" t="s">
        <v>2357</v>
      </c>
      <c r="C8" s="829"/>
      <c r="D8" s="829"/>
      <c r="E8" s="829"/>
    </row>
    <row r="9" customFormat="false" ht="12.75" hidden="false" customHeight="true" outlineLevel="0" collapsed="false">
      <c r="B9" s="879" t="n">
        <v>1003128</v>
      </c>
      <c r="C9" s="880" t="s">
        <v>2358</v>
      </c>
      <c r="D9" s="881" t="s">
        <v>1939</v>
      </c>
      <c r="E9" s="618" t="n">
        <v>24810</v>
      </c>
    </row>
    <row r="10" customFormat="false" ht="12.75" hidden="false" customHeight="true" outlineLevel="0" collapsed="false">
      <c r="B10" s="879" t="n">
        <v>9020810</v>
      </c>
      <c r="C10" s="880" t="s">
        <v>334</v>
      </c>
      <c r="D10" s="881" t="s">
        <v>2359</v>
      </c>
      <c r="E10" s="618" t="n">
        <v>1390</v>
      </c>
    </row>
    <row r="11" customFormat="false" ht="12.75" hidden="false" customHeight="true" outlineLevel="0" collapsed="false">
      <c r="B11" s="879" t="n">
        <v>9020673</v>
      </c>
      <c r="C11" s="880" t="s">
        <v>2360</v>
      </c>
      <c r="D11" s="881"/>
      <c r="E11" s="618" t="n">
        <v>320</v>
      </c>
    </row>
    <row r="12" customFormat="false" ht="12.75" hidden="false" customHeight="true" outlineLevel="0" collapsed="false">
      <c r="B12" s="879" t="n">
        <v>1003310</v>
      </c>
      <c r="C12" s="880" t="s">
        <v>842</v>
      </c>
      <c r="D12" s="881" t="s">
        <v>1939</v>
      </c>
      <c r="E12" s="618" t="n">
        <v>24810</v>
      </c>
    </row>
    <row r="13" customFormat="false" ht="12.75" hidden="false" customHeight="true" outlineLevel="0" collapsed="false">
      <c r="B13" s="879" t="n">
        <v>9021028</v>
      </c>
      <c r="C13" s="880" t="s">
        <v>2361</v>
      </c>
      <c r="D13" s="881" t="s">
        <v>2362</v>
      </c>
      <c r="E13" s="618" t="n">
        <v>1500</v>
      </c>
    </row>
    <row r="14" customFormat="false" ht="12.75" hidden="false" customHeight="true" outlineLevel="0" collapsed="false">
      <c r="B14" s="879" t="n">
        <v>9021016</v>
      </c>
      <c r="C14" s="880" t="s">
        <v>2363</v>
      </c>
      <c r="D14" s="881"/>
      <c r="E14" s="618" t="n">
        <v>620</v>
      </c>
    </row>
    <row r="15" customFormat="false" ht="12.75" hidden="false" customHeight="true" outlineLevel="0" collapsed="false">
      <c r="B15" s="829" t="s">
        <v>2364</v>
      </c>
      <c r="C15" s="829"/>
      <c r="D15" s="829"/>
      <c r="E15" s="829"/>
    </row>
    <row r="16" customFormat="false" ht="12.75" hidden="false" customHeight="true" outlineLevel="0" collapsed="false">
      <c r="B16" s="877" t="s">
        <v>1924</v>
      </c>
      <c r="C16" s="877" t="s">
        <v>1925</v>
      </c>
      <c r="D16" s="877" t="s">
        <v>1926</v>
      </c>
      <c r="E16" s="878" t="s">
        <v>1927</v>
      </c>
    </row>
    <row r="17" customFormat="false" ht="12.75" hidden="false" customHeight="true" outlineLevel="0" collapsed="false">
      <c r="B17" s="879" t="n">
        <v>9020676</v>
      </c>
      <c r="C17" s="880" t="s">
        <v>1946</v>
      </c>
      <c r="D17" s="881" t="s">
        <v>1947</v>
      </c>
      <c r="E17" s="618" t="n">
        <v>215</v>
      </c>
    </row>
    <row r="18" customFormat="false" ht="12.75" hidden="false" customHeight="true" outlineLevel="0" collapsed="false">
      <c r="B18" s="879" t="n">
        <v>9020675</v>
      </c>
      <c r="C18" s="880" t="s">
        <v>2365</v>
      </c>
      <c r="D18" s="881" t="s">
        <v>2093</v>
      </c>
      <c r="E18" s="618" t="n">
        <v>320</v>
      </c>
    </row>
    <row r="19" customFormat="false" ht="12.75" hidden="false" customHeight="true" outlineLevel="0" collapsed="false">
      <c r="B19" s="879" t="n">
        <v>9014333</v>
      </c>
      <c r="C19" s="880" t="s">
        <v>1948</v>
      </c>
      <c r="D19" s="881" t="s">
        <v>1949</v>
      </c>
      <c r="E19" s="882" t="n">
        <v>990</v>
      </c>
    </row>
    <row r="20" customFormat="false" ht="12.75" hidden="false" customHeight="true" outlineLevel="0" collapsed="false">
      <c r="B20" s="879" t="n">
        <v>9020699</v>
      </c>
      <c r="C20" s="880" t="s">
        <v>2366</v>
      </c>
      <c r="D20" s="881" t="s">
        <v>2089</v>
      </c>
      <c r="E20" s="618" t="n">
        <v>500</v>
      </c>
    </row>
    <row r="21" customFormat="false" ht="12.75" hidden="false" customHeight="true" outlineLevel="0" collapsed="false">
      <c r="B21" s="879" t="n">
        <v>9021018</v>
      </c>
      <c r="C21" s="880" t="s">
        <v>2367</v>
      </c>
      <c r="D21" s="881" t="s">
        <v>1949</v>
      </c>
      <c r="E21" s="618" t="n">
        <v>430</v>
      </c>
    </row>
    <row r="22" customFormat="false" ht="12.75" hidden="false" customHeight="true" outlineLevel="0" collapsed="false">
      <c r="B22" s="879" t="s">
        <v>2368</v>
      </c>
      <c r="C22" s="880" t="s">
        <v>2369</v>
      </c>
      <c r="D22" s="881" t="s">
        <v>1949</v>
      </c>
      <c r="E22" s="618" t="n">
        <v>430</v>
      </c>
    </row>
    <row r="23" customFormat="false" ht="12.75" hidden="false" customHeight="true" outlineLevel="0" collapsed="false">
      <c r="B23" s="879" t="s">
        <v>2370</v>
      </c>
      <c r="C23" s="880" t="s">
        <v>2371</v>
      </c>
      <c r="D23" s="881" t="s">
        <v>2105</v>
      </c>
      <c r="E23" s="618" t="n">
        <v>320</v>
      </c>
    </row>
    <row r="24" customFormat="false" ht="12.75" hidden="false" customHeight="true" outlineLevel="0" collapsed="false">
      <c r="B24" s="879" t="s">
        <v>2372</v>
      </c>
      <c r="C24" s="880" t="s">
        <v>2373</v>
      </c>
      <c r="D24" s="881" t="s">
        <v>2089</v>
      </c>
      <c r="E24" s="618" t="n">
        <v>500</v>
      </c>
    </row>
    <row r="25" customFormat="false" ht="12.75" hidden="false" customHeight="true" outlineLevel="0" collapsed="false">
      <c r="B25" s="883"/>
      <c r="C25" s="884"/>
      <c r="D25" s="884"/>
      <c r="E25" s="884"/>
    </row>
    <row r="26" customFormat="false" ht="12.75" hidden="false" customHeight="true" outlineLevel="0" collapsed="false">
      <c r="B26" s="829" t="s">
        <v>1950</v>
      </c>
      <c r="C26" s="829"/>
      <c r="D26" s="829"/>
      <c r="E26" s="829"/>
    </row>
    <row r="27" customFormat="false" ht="12.75" hidden="false" customHeight="true" outlineLevel="0" collapsed="false">
      <c r="B27" s="879" t="n">
        <v>1001548</v>
      </c>
      <c r="C27" s="880" t="s">
        <v>571</v>
      </c>
      <c r="D27" s="885" t="s">
        <v>2374</v>
      </c>
      <c r="E27" s="886" t="n">
        <v>18910</v>
      </c>
    </row>
    <row r="28" customFormat="false" ht="12.75" hidden="false" customHeight="true" outlineLevel="0" collapsed="false">
      <c r="B28" s="879" t="n">
        <v>1001549</v>
      </c>
      <c r="C28" s="880" t="s">
        <v>573</v>
      </c>
      <c r="D28" s="885" t="s">
        <v>2374</v>
      </c>
      <c r="E28" s="886" t="n">
        <v>18910</v>
      </c>
    </row>
    <row r="29" customFormat="false" ht="12.75" hidden="false" customHeight="true" outlineLevel="0" collapsed="false">
      <c r="B29" s="879" t="n">
        <v>1001552</v>
      </c>
      <c r="C29" s="880" t="s">
        <v>669</v>
      </c>
      <c r="D29" s="885" t="s">
        <v>2375</v>
      </c>
      <c r="E29" s="886" t="n">
        <v>19370</v>
      </c>
    </row>
    <row r="30" customFormat="false" ht="12.75" hidden="false" customHeight="true" outlineLevel="0" collapsed="false">
      <c r="B30" s="829" t="s">
        <v>1957</v>
      </c>
      <c r="C30" s="829"/>
      <c r="D30" s="829"/>
      <c r="E30" s="829"/>
    </row>
    <row r="31" customFormat="false" ht="12.75" hidden="false" customHeight="true" outlineLevel="0" collapsed="false">
      <c r="B31" s="879" t="n">
        <v>1001574</v>
      </c>
      <c r="C31" s="880" t="s">
        <v>575</v>
      </c>
      <c r="D31" s="885" t="s">
        <v>2376</v>
      </c>
      <c r="E31" s="886" t="n">
        <v>28320</v>
      </c>
    </row>
    <row r="32" customFormat="false" ht="12.75" hidden="false" customHeight="true" outlineLevel="0" collapsed="false">
      <c r="B32" s="879" t="n">
        <v>1001578</v>
      </c>
      <c r="C32" s="880" t="s">
        <v>577</v>
      </c>
      <c r="D32" s="885" t="s">
        <v>2376</v>
      </c>
      <c r="E32" s="886" t="n">
        <v>27190</v>
      </c>
    </row>
    <row r="33" customFormat="false" ht="12.75" hidden="false" customHeight="true" outlineLevel="0" collapsed="false">
      <c r="B33" s="879" t="n">
        <v>1001582</v>
      </c>
      <c r="C33" s="880" t="s">
        <v>673</v>
      </c>
      <c r="D33" s="885" t="s">
        <v>2376</v>
      </c>
      <c r="E33" s="886" t="n">
        <v>27750</v>
      </c>
    </row>
    <row r="34" customFormat="false" ht="12.75" hidden="false" customHeight="true" outlineLevel="0" collapsed="false">
      <c r="B34" s="829" t="s">
        <v>1964</v>
      </c>
      <c r="C34" s="829"/>
      <c r="D34" s="829"/>
      <c r="E34" s="829"/>
    </row>
    <row r="35" customFormat="false" ht="12.75" hidden="false" customHeight="true" outlineLevel="0" collapsed="false">
      <c r="B35" s="877" t="s">
        <v>1924</v>
      </c>
      <c r="C35" s="877" t="s">
        <v>1925</v>
      </c>
      <c r="D35" s="877" t="s">
        <v>1926</v>
      </c>
      <c r="E35" s="878" t="s">
        <v>1927</v>
      </c>
    </row>
    <row r="36" customFormat="false" ht="12.75" hidden="false" customHeight="true" outlineLevel="0" collapsed="false">
      <c r="B36" s="879" t="n">
        <v>9016654</v>
      </c>
      <c r="C36" s="880" t="s">
        <v>1965</v>
      </c>
      <c r="D36" s="881" t="s">
        <v>1966</v>
      </c>
      <c r="E36" s="886" t="n">
        <v>570</v>
      </c>
    </row>
    <row r="37" customFormat="false" ht="12.75" hidden="false" customHeight="true" outlineLevel="0" collapsed="false">
      <c r="B37" s="879" t="n">
        <v>9016655</v>
      </c>
      <c r="C37" s="880" t="s">
        <v>551</v>
      </c>
      <c r="D37" s="881" t="s">
        <v>1966</v>
      </c>
      <c r="E37" s="886" t="n">
        <v>570</v>
      </c>
    </row>
    <row r="38" customFormat="false" ht="12.75" hidden="false" customHeight="true" outlineLevel="0" collapsed="false">
      <c r="B38" s="879" t="n">
        <v>9132143</v>
      </c>
      <c r="C38" s="880" t="s">
        <v>1967</v>
      </c>
      <c r="D38" s="881" t="s">
        <v>1968</v>
      </c>
      <c r="E38" s="886" t="n">
        <v>120</v>
      </c>
    </row>
    <row r="39" customFormat="false" ht="12.75" hidden="false" customHeight="true" outlineLevel="0" collapsed="false">
      <c r="B39" s="879" t="n">
        <v>9132142</v>
      </c>
      <c r="C39" s="880" t="s">
        <v>1969</v>
      </c>
      <c r="D39" s="881" t="s">
        <v>1968</v>
      </c>
      <c r="E39" s="886" t="n">
        <v>170</v>
      </c>
    </row>
    <row r="40" customFormat="false" ht="12.75" hidden="false" customHeight="true" outlineLevel="0" collapsed="false">
      <c r="B40" s="879" t="n">
        <v>9147330</v>
      </c>
      <c r="C40" s="880" t="s">
        <v>1970</v>
      </c>
      <c r="D40" s="881" t="s">
        <v>2377</v>
      </c>
      <c r="E40" s="886" t="n">
        <v>100</v>
      </c>
    </row>
    <row r="41" customFormat="false" ht="12.75" hidden="false" customHeight="true" outlineLevel="0" collapsed="false">
      <c r="B41" s="879" t="n">
        <v>9147544</v>
      </c>
      <c r="C41" s="880" t="s">
        <v>1971</v>
      </c>
      <c r="D41" s="881" t="s">
        <v>2378</v>
      </c>
      <c r="E41" s="886" t="n">
        <v>100</v>
      </c>
    </row>
    <row r="42" customFormat="false" ht="12.75" hidden="false" customHeight="true" outlineLevel="0" collapsed="false">
      <c r="B42" s="879" t="s">
        <v>1972</v>
      </c>
      <c r="C42" s="880" t="s">
        <v>1973</v>
      </c>
      <c r="D42" s="881" t="s">
        <v>1974</v>
      </c>
      <c r="E42" s="886" t="n">
        <v>145</v>
      </c>
    </row>
    <row r="43" customFormat="false" ht="12.75" hidden="false" customHeight="true" outlineLevel="0" collapsed="false">
      <c r="B43" s="879" t="s">
        <v>1975</v>
      </c>
      <c r="C43" s="880" t="s">
        <v>1976</v>
      </c>
      <c r="D43" s="881" t="s">
        <v>1977</v>
      </c>
      <c r="E43" s="886" t="n">
        <v>160</v>
      </c>
    </row>
    <row r="44" customFormat="false" ht="12.75" hidden="false" customHeight="true" outlineLevel="0" collapsed="false">
      <c r="B44" s="879" t="n">
        <v>9500340</v>
      </c>
      <c r="C44" s="880" t="s">
        <v>1978</v>
      </c>
      <c r="D44" s="881" t="s">
        <v>1979</v>
      </c>
      <c r="E44" s="886" t="n">
        <v>150</v>
      </c>
    </row>
    <row r="45" customFormat="false" ht="12.75" hidden="false" customHeight="true" outlineLevel="0" collapsed="false">
      <c r="B45" s="879" t="n">
        <v>9500341</v>
      </c>
      <c r="C45" s="880" t="s">
        <v>1980</v>
      </c>
      <c r="D45" s="881" t="s">
        <v>1981</v>
      </c>
      <c r="E45" s="886" t="n">
        <v>200</v>
      </c>
    </row>
    <row r="46" customFormat="false" ht="12.75" hidden="false" customHeight="true" outlineLevel="0" collapsed="false">
      <c r="B46" s="879" t="n">
        <v>9500683</v>
      </c>
      <c r="C46" s="880" t="s">
        <v>1986</v>
      </c>
      <c r="D46" s="881" t="s">
        <v>1987</v>
      </c>
      <c r="E46" s="886" t="n">
        <v>930</v>
      </c>
    </row>
    <row r="47" customFormat="false" ht="12.75" hidden="false" customHeight="true" outlineLevel="0" collapsed="false">
      <c r="B47" s="879" t="n">
        <v>9500685</v>
      </c>
      <c r="C47" s="880" t="s">
        <v>1988</v>
      </c>
      <c r="D47" s="881" t="s">
        <v>1987</v>
      </c>
      <c r="E47" s="886" t="n">
        <v>930</v>
      </c>
    </row>
    <row r="48" customFormat="false" ht="12.75" hidden="false" customHeight="true" outlineLevel="0" collapsed="false">
      <c r="B48" s="879" t="n">
        <v>9500687</v>
      </c>
      <c r="C48" s="880" t="s">
        <v>1989</v>
      </c>
      <c r="D48" s="881" t="s">
        <v>1990</v>
      </c>
      <c r="E48" s="886" t="n">
        <v>2430</v>
      </c>
    </row>
    <row r="49" customFormat="false" ht="12.75" hidden="false" customHeight="true" outlineLevel="0" collapsed="false">
      <c r="B49" s="879" t="s">
        <v>2379</v>
      </c>
      <c r="C49" s="880" t="s">
        <v>2380</v>
      </c>
      <c r="D49" s="881" t="s">
        <v>1987</v>
      </c>
      <c r="E49" s="886" t="n">
        <v>1010</v>
      </c>
    </row>
    <row r="50" customFormat="false" ht="12.75" hidden="false" customHeight="true" outlineLevel="0" collapsed="false">
      <c r="B50" s="879" t="n">
        <v>9147334</v>
      </c>
      <c r="C50" s="880" t="s">
        <v>1991</v>
      </c>
      <c r="D50" s="881" t="s">
        <v>1992</v>
      </c>
      <c r="E50" s="886" t="n">
        <v>340</v>
      </c>
    </row>
    <row r="51" customFormat="false" ht="12.75" hidden="false" customHeight="true" outlineLevel="0" collapsed="false">
      <c r="B51" s="879" t="n">
        <v>9500669</v>
      </c>
      <c r="C51" s="880" t="s">
        <v>2381</v>
      </c>
      <c r="D51" s="881" t="s">
        <v>2382</v>
      </c>
      <c r="E51" s="886" t="n">
        <v>230</v>
      </c>
    </row>
    <row r="52" customFormat="false" ht="12.75" hidden="false" customHeight="true" outlineLevel="0" collapsed="false">
      <c r="B52" s="879" t="n">
        <v>9500688</v>
      </c>
      <c r="C52" s="880" t="s">
        <v>1993</v>
      </c>
      <c r="D52" s="887" t="s">
        <v>1994</v>
      </c>
      <c r="E52" s="886" t="n">
        <v>650</v>
      </c>
    </row>
    <row r="53" customFormat="false" ht="12.75" hidden="false" customHeight="true" outlineLevel="0" collapsed="false">
      <c r="B53" s="879" t="n">
        <v>1782288</v>
      </c>
      <c r="C53" s="880" t="s">
        <v>2383</v>
      </c>
      <c r="D53" s="887" t="s">
        <v>2384</v>
      </c>
      <c r="E53" s="886" t="n">
        <v>910</v>
      </c>
    </row>
    <row r="54" customFormat="false" ht="12.75" hidden="false" customHeight="true" outlineLevel="0" collapsed="false">
      <c r="B54" s="879" t="n">
        <v>9129631</v>
      </c>
      <c r="C54" s="880" t="s">
        <v>1995</v>
      </c>
      <c r="D54" s="887" t="s">
        <v>1996</v>
      </c>
      <c r="E54" s="886" t="n">
        <v>1550</v>
      </c>
    </row>
    <row r="55" customFormat="false" ht="15.8" hidden="false" customHeight="true" outlineLevel="0" collapsed="false">
      <c r="B55" s="835" t="s">
        <v>1997</v>
      </c>
      <c r="C55" s="835"/>
      <c r="D55" s="835"/>
      <c r="E55" s="835"/>
    </row>
    <row r="56" customFormat="false" ht="12.8" hidden="false" customHeight="false" outlineLevel="0" collapsed="false">
      <c r="B56" s="888" t="s">
        <v>1998</v>
      </c>
      <c r="C56" s="889"/>
      <c r="D56" s="890"/>
      <c r="E56" s="891"/>
    </row>
    <row r="57" customFormat="false" ht="12.8" hidden="false" customHeight="false" outlineLevel="0" collapsed="false">
      <c r="B57" s="879" t="n">
        <v>9162145</v>
      </c>
      <c r="C57" s="880" t="s">
        <v>1999</v>
      </c>
      <c r="D57" s="892"/>
      <c r="E57" s="886" t="n">
        <v>430</v>
      </c>
    </row>
    <row r="58" customFormat="false" ht="12.8" hidden="false" customHeight="false" outlineLevel="0" collapsed="false">
      <c r="B58" s="879" t="n">
        <v>9162144</v>
      </c>
      <c r="C58" s="880" t="s">
        <v>2000</v>
      </c>
      <c r="D58" s="881"/>
      <c r="E58" s="886" t="n">
        <v>330</v>
      </c>
    </row>
    <row r="59" customFormat="false" ht="12.8" hidden="false" customHeight="false" outlineLevel="0" collapsed="false">
      <c r="B59" s="879" t="n">
        <v>9500736</v>
      </c>
      <c r="C59" s="880" t="s">
        <v>2001</v>
      </c>
      <c r="D59" s="881" t="s">
        <v>2002</v>
      </c>
      <c r="E59" s="886" t="n">
        <v>210</v>
      </c>
    </row>
    <row r="60" customFormat="false" ht="12.8" hidden="false" customHeight="false" outlineLevel="0" collapsed="false">
      <c r="B60" s="879" t="n">
        <v>9137018</v>
      </c>
      <c r="C60" s="880" t="s">
        <v>2003</v>
      </c>
      <c r="D60" s="881" t="s">
        <v>2004</v>
      </c>
      <c r="E60" s="886" t="n">
        <v>430</v>
      </c>
    </row>
    <row r="61" customFormat="false" ht="13.8" hidden="false" customHeight="false" outlineLevel="0" collapsed="false">
      <c r="B61" s="829" t="s">
        <v>2005</v>
      </c>
      <c r="C61" s="829"/>
      <c r="D61" s="829"/>
      <c r="E61" s="829"/>
    </row>
    <row r="62" customFormat="false" ht="12.8" hidden="false" customHeight="false" outlineLevel="0" collapsed="false">
      <c r="B62" s="879" t="n">
        <v>1030038</v>
      </c>
      <c r="C62" s="880" t="s">
        <v>2385</v>
      </c>
      <c r="D62" s="893" t="s">
        <v>2386</v>
      </c>
      <c r="E62" s="886" t="n">
        <v>20400</v>
      </c>
    </row>
    <row r="63" customFormat="false" ht="12.8" hidden="false" customHeight="false" outlineLevel="0" collapsed="false">
      <c r="B63" s="894" t="n">
        <v>1001789</v>
      </c>
      <c r="C63" s="880" t="s">
        <v>2006</v>
      </c>
      <c r="D63" s="893" t="s">
        <v>2007</v>
      </c>
      <c r="E63" s="886" t="n">
        <v>22530</v>
      </c>
    </row>
    <row r="64" customFormat="false" ht="12.8" hidden="false" customHeight="false" outlineLevel="0" collapsed="false">
      <c r="B64" s="879" t="n">
        <v>1001788</v>
      </c>
      <c r="C64" s="880" t="s">
        <v>2008</v>
      </c>
      <c r="D64" s="893" t="s">
        <v>2007</v>
      </c>
      <c r="E64" s="886" t="n">
        <v>23440</v>
      </c>
    </row>
    <row r="65" customFormat="false" ht="13.8" hidden="false" customHeight="false" outlineLevel="0" collapsed="false">
      <c r="B65" s="829" t="s">
        <v>2009</v>
      </c>
      <c r="C65" s="829"/>
      <c r="D65" s="829"/>
      <c r="E65" s="829"/>
    </row>
    <row r="66" customFormat="false" ht="12.8" hidden="false" customHeight="false" outlineLevel="0" collapsed="false">
      <c r="B66" s="879" t="n">
        <v>1001787</v>
      </c>
      <c r="C66" s="880" t="s">
        <v>2010</v>
      </c>
      <c r="D66" s="885" t="s">
        <v>2011</v>
      </c>
      <c r="E66" s="886" t="n">
        <v>28030</v>
      </c>
    </row>
    <row r="67" customFormat="false" ht="12.8" hidden="false" customHeight="false" outlineLevel="0" collapsed="false">
      <c r="B67" s="879" t="n">
        <v>1001786</v>
      </c>
      <c r="C67" s="880" t="s">
        <v>2012</v>
      </c>
      <c r="D67" s="885" t="s">
        <v>2011</v>
      </c>
      <c r="E67" s="886" t="n">
        <v>28720</v>
      </c>
    </row>
    <row r="68" customFormat="false" ht="13.8" hidden="false" customHeight="false" outlineLevel="0" collapsed="false">
      <c r="B68" s="829" t="s">
        <v>2387</v>
      </c>
      <c r="C68" s="829"/>
      <c r="D68" s="829"/>
      <c r="E68" s="829"/>
    </row>
    <row r="69" customFormat="false" ht="16.85" hidden="false" customHeight="false" outlineLevel="0" collapsed="false">
      <c r="B69" s="879" t="s">
        <v>2388</v>
      </c>
      <c r="C69" s="880" t="s">
        <v>2389</v>
      </c>
      <c r="D69" s="893" t="s">
        <v>2390</v>
      </c>
      <c r="E69" s="886" t="n">
        <v>34330</v>
      </c>
    </row>
    <row r="70" customFormat="false" ht="16.85" hidden="false" customHeight="false" outlineLevel="0" collapsed="false">
      <c r="B70" s="879" t="s">
        <v>2391</v>
      </c>
      <c r="C70" s="880" t="s">
        <v>2392</v>
      </c>
      <c r="D70" s="893" t="s">
        <v>2390</v>
      </c>
      <c r="E70" s="886" t="n">
        <v>35770</v>
      </c>
    </row>
    <row r="71" customFormat="false" ht="13.8" hidden="false" customHeight="false" outlineLevel="0" collapsed="false">
      <c r="B71" s="829" t="s">
        <v>2013</v>
      </c>
      <c r="C71" s="829"/>
      <c r="D71" s="829"/>
      <c r="E71" s="829"/>
    </row>
    <row r="72" customFormat="false" ht="12.8" hidden="false" customHeight="false" outlineLevel="0" collapsed="false">
      <c r="B72" s="879" t="n">
        <v>1003044</v>
      </c>
      <c r="C72" s="880" t="s">
        <v>2014</v>
      </c>
      <c r="D72" s="893" t="s">
        <v>2015</v>
      </c>
      <c r="E72" s="886" t="n">
        <v>33310</v>
      </c>
    </row>
    <row r="73" customFormat="false" ht="12.8" hidden="false" customHeight="false" outlineLevel="0" collapsed="false">
      <c r="B73" s="879" t="n">
        <v>1003046</v>
      </c>
      <c r="C73" s="880" t="s">
        <v>2016</v>
      </c>
      <c r="D73" s="893" t="s">
        <v>2015</v>
      </c>
      <c r="E73" s="886" t="n">
        <v>38480</v>
      </c>
    </row>
    <row r="74" customFormat="false" ht="16.85" hidden="false" customHeight="false" outlineLevel="0" collapsed="false">
      <c r="B74" s="879" t="s">
        <v>2393</v>
      </c>
      <c r="C74" s="880" t="s">
        <v>2394</v>
      </c>
      <c r="D74" s="893" t="s">
        <v>2395</v>
      </c>
      <c r="E74" s="886" t="n">
        <v>43890</v>
      </c>
    </row>
    <row r="75" customFormat="false" ht="12.8" hidden="false" customHeight="false" outlineLevel="0" collapsed="false">
      <c r="B75" s="879" t="s">
        <v>2396</v>
      </c>
      <c r="C75" s="880" t="s">
        <v>2397</v>
      </c>
      <c r="D75" s="893" t="s">
        <v>2398</v>
      </c>
      <c r="E75" s="886" t="n">
        <v>28620</v>
      </c>
    </row>
    <row r="76" customFormat="false" ht="13.8" hidden="false" customHeight="false" outlineLevel="0" collapsed="false">
      <c r="B76" s="829" t="s">
        <v>2017</v>
      </c>
      <c r="C76" s="829"/>
      <c r="D76" s="829"/>
      <c r="E76" s="829"/>
    </row>
    <row r="77" customFormat="false" ht="12.8" hidden="false" customHeight="false" outlineLevel="0" collapsed="false">
      <c r="B77" s="879" t="n">
        <v>1032558</v>
      </c>
      <c r="C77" s="880" t="s">
        <v>2399</v>
      </c>
      <c r="D77" s="885" t="s">
        <v>2400</v>
      </c>
      <c r="E77" s="886" t="n">
        <v>23010</v>
      </c>
    </row>
    <row r="78" customFormat="false" ht="12.8" hidden="false" customHeight="false" outlineLevel="0" collapsed="false">
      <c r="B78" s="879" t="n">
        <v>1032537</v>
      </c>
      <c r="C78" s="880" t="s">
        <v>2018</v>
      </c>
      <c r="D78" s="885" t="s">
        <v>2019</v>
      </c>
      <c r="E78" s="886" t="n">
        <v>23170</v>
      </c>
    </row>
    <row r="79" customFormat="false" ht="12.8" hidden="false" customHeight="false" outlineLevel="0" collapsed="false">
      <c r="B79" s="879" t="n">
        <v>1037553</v>
      </c>
      <c r="C79" s="880" t="s">
        <v>2401</v>
      </c>
      <c r="D79" s="885" t="s">
        <v>2400</v>
      </c>
      <c r="E79" s="886" t="n">
        <v>24030</v>
      </c>
    </row>
    <row r="80" customFormat="false" ht="12.8" hidden="false" customHeight="false" outlineLevel="0" collapsed="false">
      <c r="B80" s="879" t="n">
        <v>1039447</v>
      </c>
      <c r="C80" s="880" t="s">
        <v>2402</v>
      </c>
      <c r="D80" s="885" t="s">
        <v>2019</v>
      </c>
      <c r="E80" s="886" t="n">
        <v>26370</v>
      </c>
    </row>
    <row r="81" customFormat="false" ht="13.8" hidden="false" customHeight="false" outlineLevel="0" collapsed="false">
      <c r="B81" s="829" t="s">
        <v>2020</v>
      </c>
      <c r="C81" s="829"/>
      <c r="D81" s="829"/>
      <c r="E81" s="829"/>
    </row>
    <row r="82" customFormat="false" ht="12.8" hidden="false" customHeight="false" outlineLevel="0" collapsed="false">
      <c r="B82" s="877" t="s">
        <v>1924</v>
      </c>
      <c r="C82" s="877" t="s">
        <v>1925</v>
      </c>
      <c r="D82" s="877" t="s">
        <v>1926</v>
      </c>
      <c r="E82" s="878" t="s">
        <v>1927</v>
      </c>
    </row>
    <row r="83" customFormat="false" ht="12.8" hidden="false" customHeight="false" outlineLevel="0" collapsed="false">
      <c r="B83" s="879" t="n">
        <v>9707125</v>
      </c>
      <c r="C83" s="880" t="s">
        <v>2021</v>
      </c>
      <c r="D83" s="881" t="s">
        <v>2022</v>
      </c>
      <c r="E83" s="886" t="n">
        <v>220</v>
      </c>
    </row>
    <row r="84" customFormat="false" ht="12.8" hidden="false" customHeight="false" outlineLevel="0" collapsed="false">
      <c r="B84" s="879" t="n">
        <v>9707033</v>
      </c>
      <c r="C84" s="880" t="s">
        <v>2023</v>
      </c>
      <c r="D84" s="881" t="s">
        <v>2024</v>
      </c>
      <c r="E84" s="886" t="n">
        <v>100</v>
      </c>
    </row>
    <row r="85" customFormat="false" ht="12.8" hidden="false" customHeight="false" outlineLevel="0" collapsed="false">
      <c r="B85" s="879" t="n">
        <v>9751013</v>
      </c>
      <c r="C85" s="880" t="s">
        <v>2025</v>
      </c>
      <c r="D85" s="881" t="s">
        <v>2024</v>
      </c>
      <c r="E85" s="886" t="n">
        <v>300</v>
      </c>
    </row>
    <row r="86" customFormat="false" ht="12.8" hidden="false" customHeight="false" outlineLevel="0" collapsed="false">
      <c r="B86" s="879" t="n">
        <v>9701047</v>
      </c>
      <c r="C86" s="880" t="s">
        <v>2027</v>
      </c>
      <c r="D86" s="881" t="s">
        <v>2028</v>
      </c>
      <c r="E86" s="886" t="n">
        <v>170</v>
      </c>
    </row>
    <row r="87" customFormat="false" ht="12.8" hidden="false" customHeight="false" outlineLevel="0" collapsed="false">
      <c r="B87" s="879" t="n">
        <v>9751002</v>
      </c>
      <c r="C87" s="880" t="s">
        <v>2030</v>
      </c>
      <c r="D87" s="881" t="s">
        <v>2028</v>
      </c>
      <c r="E87" s="886" t="n">
        <v>190</v>
      </c>
    </row>
    <row r="88" customFormat="false" ht="12.8" hidden="false" customHeight="false" outlineLevel="0" collapsed="false">
      <c r="B88" s="879" t="n">
        <v>9910014</v>
      </c>
      <c r="C88" s="880" t="s">
        <v>2031</v>
      </c>
      <c r="D88" s="881" t="s">
        <v>1992</v>
      </c>
      <c r="E88" s="886" t="n">
        <v>570</v>
      </c>
    </row>
    <row r="89" customFormat="false" ht="12.8" hidden="false" customHeight="false" outlineLevel="0" collapsed="false">
      <c r="B89" s="879" t="n">
        <v>9410665</v>
      </c>
      <c r="C89" s="880" t="s">
        <v>2032</v>
      </c>
      <c r="D89" s="881" t="s">
        <v>2033</v>
      </c>
      <c r="E89" s="886" t="n">
        <v>650</v>
      </c>
    </row>
    <row r="90" customFormat="false" ht="12.8" hidden="false" customHeight="false" outlineLevel="0" collapsed="false">
      <c r="B90" s="895" t="n">
        <v>9410651</v>
      </c>
      <c r="C90" s="896" t="s">
        <v>1066</v>
      </c>
      <c r="D90" s="897" t="s">
        <v>2033</v>
      </c>
      <c r="E90" s="898" t="n">
        <v>820</v>
      </c>
    </row>
    <row r="91" customFormat="false" ht="12.8" hidden="false" customHeight="false" outlineLevel="0" collapsed="false">
      <c r="B91" s="879" t="s">
        <v>2403</v>
      </c>
      <c r="C91" s="880" t="s">
        <v>2404</v>
      </c>
      <c r="D91" s="881" t="s">
        <v>2405</v>
      </c>
      <c r="E91" s="886" t="n">
        <v>1160</v>
      </c>
    </row>
    <row r="92" customFormat="false" ht="12.8" hidden="false" customHeight="false" outlineLevel="0" collapsed="false">
      <c r="B92" s="895" t="n">
        <v>9410635</v>
      </c>
      <c r="C92" s="896" t="s">
        <v>1067</v>
      </c>
      <c r="D92" s="897" t="s">
        <v>2033</v>
      </c>
      <c r="E92" s="898" t="n">
        <v>550</v>
      </c>
    </row>
    <row r="93" customFormat="false" ht="12.8" hidden="false" customHeight="false" outlineLevel="0" collapsed="false">
      <c r="B93" s="879" t="s">
        <v>2406</v>
      </c>
      <c r="C93" s="880" t="s">
        <v>2407</v>
      </c>
      <c r="D93" s="881" t="s">
        <v>2033</v>
      </c>
      <c r="E93" s="886" t="n">
        <v>790</v>
      </c>
    </row>
    <row r="94" customFormat="false" ht="12.8" hidden="false" customHeight="false" outlineLevel="0" collapsed="false">
      <c r="B94" s="879" t="n">
        <v>9002541</v>
      </c>
      <c r="C94" s="880" t="s">
        <v>2034</v>
      </c>
      <c r="D94" s="881" t="s">
        <v>2033</v>
      </c>
      <c r="E94" s="886" t="n">
        <v>1750</v>
      </c>
    </row>
    <row r="95" customFormat="false" ht="12.8" hidden="false" customHeight="false" outlineLevel="0" collapsed="false">
      <c r="B95" s="895" t="n">
        <v>9002519</v>
      </c>
      <c r="C95" s="896" t="s">
        <v>1068</v>
      </c>
      <c r="D95" s="897" t="s">
        <v>2035</v>
      </c>
      <c r="E95" s="898" t="n">
        <v>333</v>
      </c>
      <c r="F95" s="0" t="n">
        <v>2</v>
      </c>
    </row>
    <row r="96" customFormat="false" ht="12.8" hidden="false" customHeight="false" outlineLevel="0" collapsed="false">
      <c r="B96" s="879" t="n">
        <v>9128101</v>
      </c>
      <c r="C96" s="880" t="s">
        <v>2036</v>
      </c>
      <c r="D96" s="887" t="s">
        <v>2037</v>
      </c>
      <c r="E96" s="886" t="n">
        <v>570</v>
      </c>
    </row>
    <row r="97" customFormat="false" ht="12.8" hidden="false" customHeight="false" outlineLevel="0" collapsed="false">
      <c r="B97" s="879" t="n">
        <v>9013592</v>
      </c>
      <c r="C97" s="880" t="s">
        <v>2038</v>
      </c>
      <c r="D97" s="887" t="s">
        <v>2039</v>
      </c>
      <c r="E97" s="886" t="n">
        <v>1170</v>
      </c>
    </row>
    <row r="98" customFormat="false" ht="12.8" hidden="false" customHeight="false" outlineLevel="0" collapsed="false">
      <c r="B98" s="879" t="n">
        <v>9420800</v>
      </c>
      <c r="C98" s="880" t="s">
        <v>2040</v>
      </c>
      <c r="D98" s="887" t="s">
        <v>2041</v>
      </c>
      <c r="E98" s="886" t="n">
        <v>980</v>
      </c>
    </row>
    <row r="99" customFormat="false" ht="19.25" hidden="false" customHeight="false" outlineLevel="0" collapsed="false">
      <c r="B99" s="879" t="n">
        <v>9019716</v>
      </c>
      <c r="C99" s="880" t="s">
        <v>2408</v>
      </c>
      <c r="D99" s="887" t="s">
        <v>2042</v>
      </c>
      <c r="E99" s="886" t="n">
        <v>3490</v>
      </c>
    </row>
    <row r="100" customFormat="false" ht="19.25" hidden="false" customHeight="false" outlineLevel="0" collapsed="false">
      <c r="B100" s="879" t="s">
        <v>2409</v>
      </c>
      <c r="C100" s="880" t="s">
        <v>2410</v>
      </c>
      <c r="D100" s="887" t="s">
        <v>2042</v>
      </c>
      <c r="E100" s="886" t="n">
        <v>3490</v>
      </c>
    </row>
    <row r="101" customFormat="false" ht="19.25" hidden="false" customHeight="false" outlineLevel="0" collapsed="false">
      <c r="B101" s="895" t="n">
        <v>9018455</v>
      </c>
      <c r="C101" s="896" t="s">
        <v>1064</v>
      </c>
      <c r="D101" s="899" t="s">
        <v>2042</v>
      </c>
      <c r="E101" s="898" t="n">
        <v>720</v>
      </c>
    </row>
    <row r="102" customFormat="false" ht="19.25" hidden="false" customHeight="false" outlineLevel="0" collapsed="false">
      <c r="B102" s="895" t="n">
        <v>9016628</v>
      </c>
      <c r="C102" s="896" t="s">
        <v>1065</v>
      </c>
      <c r="D102" s="899" t="s">
        <v>2042</v>
      </c>
      <c r="E102" s="898" t="n">
        <v>3060</v>
      </c>
    </row>
    <row r="103" customFormat="false" ht="19.25" hidden="false" customHeight="false" outlineLevel="0" collapsed="false">
      <c r="B103" s="879" t="s">
        <v>2411</v>
      </c>
      <c r="C103" s="880" t="s">
        <v>2412</v>
      </c>
      <c r="D103" s="887" t="s">
        <v>2042</v>
      </c>
      <c r="E103" s="886" t="n">
        <v>2940</v>
      </c>
    </row>
    <row r="104" customFormat="false" ht="12.8" hidden="false" customHeight="false" outlineLevel="0" collapsed="false">
      <c r="B104" s="900"/>
      <c r="C104" s="893"/>
      <c r="D104" s="893"/>
      <c r="E104" s="901"/>
    </row>
    <row r="105" customFormat="false" ht="12.8" hidden="false" customHeight="false" outlineLevel="0" collapsed="false">
      <c r="B105" s="877" t="s">
        <v>1924</v>
      </c>
      <c r="C105" s="877" t="s">
        <v>1925</v>
      </c>
      <c r="D105" s="877" t="s">
        <v>1926</v>
      </c>
      <c r="E105" s="878" t="s">
        <v>1927</v>
      </c>
    </row>
    <row r="106" customFormat="false" ht="13.8" hidden="false" customHeight="false" outlineLevel="0" collapsed="false">
      <c r="B106" s="829" t="s">
        <v>2043</v>
      </c>
      <c r="C106" s="829"/>
      <c r="D106" s="829"/>
      <c r="E106" s="829"/>
    </row>
    <row r="107" customFormat="false" ht="12.8" hidden="false" customHeight="false" outlineLevel="0" collapsed="false">
      <c r="B107" s="902" t="s">
        <v>2044</v>
      </c>
      <c r="C107" s="880" t="s">
        <v>2045</v>
      </c>
      <c r="D107" s="893" t="s">
        <v>2046</v>
      </c>
      <c r="E107" s="846" t="n">
        <v>27690</v>
      </c>
    </row>
    <row r="108" customFormat="false" ht="12.8" hidden="false" customHeight="false" outlineLevel="0" collapsed="false">
      <c r="B108" s="902" t="s">
        <v>2047</v>
      </c>
      <c r="C108" s="880" t="s">
        <v>2048</v>
      </c>
      <c r="D108" s="881" t="s">
        <v>2046</v>
      </c>
      <c r="E108" s="846" t="n">
        <v>36430</v>
      </c>
    </row>
    <row r="109" customFormat="false" ht="12.8" hidden="false" customHeight="false" outlineLevel="0" collapsed="false">
      <c r="B109" s="902" t="s">
        <v>2049</v>
      </c>
      <c r="C109" s="880" t="s">
        <v>2050</v>
      </c>
      <c r="D109" s="881" t="s">
        <v>2046</v>
      </c>
      <c r="E109" s="846" t="n">
        <v>40980</v>
      </c>
    </row>
    <row r="110" customFormat="false" ht="16.85" hidden="false" customHeight="false" outlineLevel="0" collapsed="false">
      <c r="B110" s="902" t="s">
        <v>2051</v>
      </c>
      <c r="C110" s="880" t="s">
        <v>2052</v>
      </c>
      <c r="D110" s="881" t="s">
        <v>2053</v>
      </c>
      <c r="E110" s="846" t="n">
        <v>27760</v>
      </c>
    </row>
    <row r="111" customFormat="false" ht="12.8" hidden="false" customHeight="false" outlineLevel="0" collapsed="false">
      <c r="B111" s="902" t="s">
        <v>2413</v>
      </c>
      <c r="C111" s="880" t="s">
        <v>2414</v>
      </c>
      <c r="D111" s="903" t="s">
        <v>2415</v>
      </c>
      <c r="E111" s="846" t="n">
        <v>7630</v>
      </c>
    </row>
    <row r="112" customFormat="false" ht="12.8" hidden="false" customHeight="false" outlineLevel="0" collapsed="false">
      <c r="B112" s="902" t="s">
        <v>2416</v>
      </c>
      <c r="C112" s="880" t="s">
        <v>2417</v>
      </c>
      <c r="D112" s="903" t="s">
        <v>2418</v>
      </c>
      <c r="E112" s="846" t="n">
        <v>8370</v>
      </c>
    </row>
    <row r="113" customFormat="false" ht="12.8" hidden="false" customHeight="false" outlineLevel="0" collapsed="false">
      <c r="B113" s="902" t="s">
        <v>2419</v>
      </c>
      <c r="C113" s="880" t="s">
        <v>2417</v>
      </c>
      <c r="D113" s="903" t="s">
        <v>2420</v>
      </c>
      <c r="E113" s="846" t="n">
        <v>8770</v>
      </c>
    </row>
    <row r="114" customFormat="false" ht="12.8" hidden="false" customHeight="false" outlineLevel="0" collapsed="false">
      <c r="B114" s="902" t="s">
        <v>2421</v>
      </c>
      <c r="C114" s="880" t="s">
        <v>2417</v>
      </c>
      <c r="D114" s="903" t="s">
        <v>2422</v>
      </c>
      <c r="E114" s="846" t="n">
        <v>9000</v>
      </c>
    </row>
    <row r="115" customFormat="false" ht="12.8" hidden="false" customHeight="false" outlineLevel="0" collapsed="false">
      <c r="B115" s="900"/>
      <c r="C115" s="893"/>
      <c r="D115" s="893"/>
      <c r="E115" s="904"/>
    </row>
    <row r="116" customFormat="false" ht="19.35" hidden="false" customHeight="true" outlineLevel="0" collapsed="false">
      <c r="B116" s="848" t="s">
        <v>2054</v>
      </c>
      <c r="C116" s="848"/>
      <c r="D116" s="848"/>
      <c r="E116" s="848"/>
    </row>
    <row r="117" customFormat="false" ht="12.8" hidden="false" customHeight="false" outlineLevel="0" collapsed="false">
      <c r="B117" s="905" t="s">
        <v>1924</v>
      </c>
      <c r="C117" s="905" t="s">
        <v>1925</v>
      </c>
      <c r="D117" s="905" t="s">
        <v>1926</v>
      </c>
      <c r="E117" s="906" t="s">
        <v>1927</v>
      </c>
    </row>
    <row r="118" customFormat="false" ht="13.8" hidden="false" customHeight="false" outlineLevel="0" collapsed="false">
      <c r="B118" s="820" t="s">
        <v>2059</v>
      </c>
      <c r="C118" s="820"/>
      <c r="D118" s="820"/>
      <c r="E118" s="820"/>
    </row>
    <row r="119" customFormat="false" ht="12.8" hidden="false" customHeight="false" outlineLevel="0" collapsed="false">
      <c r="B119" s="879" t="n">
        <v>1002832</v>
      </c>
      <c r="C119" s="880" t="s">
        <v>2060</v>
      </c>
      <c r="D119" s="881" t="s">
        <v>2061</v>
      </c>
      <c r="E119" s="886" t="n">
        <v>12120</v>
      </c>
    </row>
    <row r="120" customFormat="false" ht="12.8" hidden="false" customHeight="false" outlineLevel="0" collapsed="false">
      <c r="B120" s="879" t="n">
        <v>9018478</v>
      </c>
      <c r="C120" s="880" t="s">
        <v>2062</v>
      </c>
      <c r="D120" s="881" t="s">
        <v>2063</v>
      </c>
      <c r="E120" s="886" t="n">
        <v>180</v>
      </c>
    </row>
    <row r="121" customFormat="false" ht="12.8" hidden="false" customHeight="false" outlineLevel="0" collapsed="false">
      <c r="B121" s="879" t="n">
        <v>9162132</v>
      </c>
      <c r="C121" s="880" t="s">
        <v>2064</v>
      </c>
      <c r="D121" s="881" t="s">
        <v>2065</v>
      </c>
      <c r="E121" s="886" t="n">
        <v>220</v>
      </c>
    </row>
    <row r="122" customFormat="false" ht="12.8" hidden="false" customHeight="false" outlineLevel="0" collapsed="false">
      <c r="B122" s="879" t="n">
        <v>9013508</v>
      </c>
      <c r="C122" s="880" t="s">
        <v>2066</v>
      </c>
      <c r="D122" s="881" t="s">
        <v>2067</v>
      </c>
      <c r="E122" s="886" t="n">
        <v>530</v>
      </c>
    </row>
    <row r="123" customFormat="false" ht="12.8" hidden="false" customHeight="false" outlineLevel="0" collapsed="false">
      <c r="B123" s="879" t="n">
        <v>9008096</v>
      </c>
      <c r="C123" s="880" t="s">
        <v>2068</v>
      </c>
      <c r="D123" s="881" t="s">
        <v>2069</v>
      </c>
      <c r="E123" s="886" t="n">
        <v>500</v>
      </c>
    </row>
    <row r="124" customFormat="false" ht="12.8" hidden="false" customHeight="false" outlineLevel="0" collapsed="false">
      <c r="B124" s="879" t="n">
        <v>9008097</v>
      </c>
      <c r="C124" s="880" t="s">
        <v>2070</v>
      </c>
      <c r="D124" s="881" t="s">
        <v>2071</v>
      </c>
      <c r="E124" s="886" t="n">
        <v>500</v>
      </c>
    </row>
    <row r="125" customFormat="false" ht="12.8" hidden="false" customHeight="false" outlineLevel="0" collapsed="false">
      <c r="B125" s="879" t="n">
        <v>9010010</v>
      </c>
      <c r="C125" s="880" t="s">
        <v>2423</v>
      </c>
      <c r="D125" s="881" t="s">
        <v>2424</v>
      </c>
      <c r="E125" s="886" t="n">
        <v>5090</v>
      </c>
    </row>
    <row r="126" customFormat="false" ht="12.8" hidden="false" customHeight="false" outlineLevel="0" collapsed="false">
      <c r="B126" s="879" t="n">
        <v>9013933</v>
      </c>
      <c r="C126" s="880" t="s">
        <v>2072</v>
      </c>
      <c r="D126" s="881" t="s">
        <v>2073</v>
      </c>
      <c r="E126" s="886" t="n">
        <v>250</v>
      </c>
    </row>
    <row r="127" customFormat="false" ht="12.8" hidden="false" customHeight="false" outlineLevel="0" collapsed="false">
      <c r="B127" s="879" t="n">
        <v>9705799</v>
      </c>
      <c r="C127" s="880" t="s">
        <v>2074</v>
      </c>
      <c r="D127" s="881" t="s">
        <v>1968</v>
      </c>
      <c r="E127" s="886" t="n">
        <v>1140</v>
      </c>
    </row>
    <row r="128" customFormat="false" ht="12.8" hidden="false" customHeight="false" outlineLevel="0" collapsed="false">
      <c r="B128" s="879" t="n">
        <v>9705800</v>
      </c>
      <c r="C128" s="880" t="s">
        <v>2075</v>
      </c>
      <c r="D128" s="881" t="s">
        <v>1968</v>
      </c>
      <c r="E128" s="886" t="n">
        <v>850</v>
      </c>
    </row>
    <row r="129" customFormat="false" ht="12.8" hidden="false" customHeight="false" outlineLevel="0" collapsed="false">
      <c r="B129" s="905" t="s">
        <v>1924</v>
      </c>
      <c r="C129" s="905" t="s">
        <v>1925</v>
      </c>
      <c r="D129" s="905" t="s">
        <v>1926</v>
      </c>
      <c r="E129" s="906" t="s">
        <v>1927</v>
      </c>
    </row>
    <row r="130" customFormat="false" ht="13.8" hidden="false" customHeight="false" outlineLevel="0" collapsed="false">
      <c r="B130" s="820" t="s">
        <v>2425</v>
      </c>
      <c r="C130" s="820"/>
      <c r="D130" s="820"/>
      <c r="E130" s="820"/>
    </row>
    <row r="131" customFormat="false" ht="12.8" hidden="false" customHeight="false" outlineLevel="0" collapsed="false">
      <c r="B131" s="879" t="n">
        <v>1002481</v>
      </c>
      <c r="C131" s="880" t="s">
        <v>2426</v>
      </c>
      <c r="D131" s="881" t="s">
        <v>2427</v>
      </c>
      <c r="E131" s="886" t="n">
        <v>12250</v>
      </c>
    </row>
    <row r="132" customFormat="false" ht="12.8" hidden="false" customHeight="false" outlineLevel="0" collapsed="false">
      <c r="B132" s="879" t="n">
        <v>9018478</v>
      </c>
      <c r="C132" s="880" t="s">
        <v>2062</v>
      </c>
      <c r="D132" s="881" t="s">
        <v>2063</v>
      </c>
      <c r="E132" s="886" t="n">
        <v>175</v>
      </c>
    </row>
    <row r="133" customFormat="false" ht="16.85" hidden="false" customHeight="false" outlineLevel="0" collapsed="false">
      <c r="B133" s="879" t="n">
        <v>9019174</v>
      </c>
      <c r="C133" s="880" t="s">
        <v>2428</v>
      </c>
      <c r="D133" s="881" t="s">
        <v>2429</v>
      </c>
      <c r="E133" s="886" t="n">
        <v>540</v>
      </c>
    </row>
    <row r="134" customFormat="false" ht="12.8" hidden="false" customHeight="false" outlineLevel="0" collapsed="false">
      <c r="B134" s="902" t="n">
        <v>9018005</v>
      </c>
      <c r="C134" s="907" t="s">
        <v>2430</v>
      </c>
      <c r="D134" s="881" t="s">
        <v>2431</v>
      </c>
      <c r="E134" s="886" t="n">
        <v>270</v>
      </c>
    </row>
    <row r="135" customFormat="false" ht="12.8" hidden="false" customHeight="false" outlineLevel="0" collapsed="false">
      <c r="B135" s="902" t="n">
        <v>9018006</v>
      </c>
      <c r="C135" s="907" t="s">
        <v>2432</v>
      </c>
      <c r="D135" s="881" t="s">
        <v>2433</v>
      </c>
      <c r="E135" s="886" t="n">
        <v>130</v>
      </c>
    </row>
    <row r="136" customFormat="false" ht="13.8" hidden="false" customHeight="false" outlineLevel="0" collapsed="false">
      <c r="B136" s="908"/>
      <c r="C136" s="908"/>
      <c r="D136" s="908"/>
      <c r="E136" s="908"/>
    </row>
    <row r="137" customFormat="false" ht="13.8" hidden="false" customHeight="false" outlineLevel="0" collapsed="false">
      <c r="B137" s="908"/>
      <c r="C137" s="820" t="s">
        <v>2126</v>
      </c>
      <c r="D137" s="909"/>
      <c r="E137" s="910"/>
    </row>
    <row r="138" customFormat="false" ht="12.8" hidden="false" customHeight="false" outlineLevel="0" collapsed="false">
      <c r="B138" s="911" t="n">
        <v>9018685</v>
      </c>
      <c r="C138" s="912" t="s">
        <v>2130</v>
      </c>
      <c r="D138" s="913" t="s">
        <v>2131</v>
      </c>
      <c r="E138" s="914" t="n">
        <v>2260</v>
      </c>
    </row>
    <row r="139" customFormat="false" ht="12.8" hidden="false" customHeight="false" outlineLevel="0" collapsed="false">
      <c r="B139" s="879" t="n">
        <v>9018608</v>
      </c>
      <c r="C139" s="880" t="s">
        <v>2133</v>
      </c>
      <c r="D139" s="893" t="s">
        <v>2134</v>
      </c>
      <c r="E139" s="886" t="n">
        <v>2380</v>
      </c>
    </row>
    <row r="140" customFormat="false" ht="12.8" hidden="false" customHeight="false" outlineLevel="0" collapsed="false">
      <c r="B140" s="845" t="n">
        <v>9018620</v>
      </c>
      <c r="C140" s="851" t="s">
        <v>2135</v>
      </c>
      <c r="D140" s="893" t="s">
        <v>2136</v>
      </c>
      <c r="E140" s="886" t="n">
        <v>3720</v>
      </c>
    </row>
    <row r="141" customFormat="false" ht="12.8" hidden="false" customHeight="false" outlineLevel="0" collapsed="false">
      <c r="B141" s="915" t="n">
        <v>1822445</v>
      </c>
      <c r="C141" s="916" t="s">
        <v>2137</v>
      </c>
      <c r="D141" s="917" t="s">
        <v>2138</v>
      </c>
      <c r="E141" s="914" t="n">
        <v>4290</v>
      </c>
    </row>
    <row r="142" customFormat="false" ht="12.8" hidden="false" customHeight="false" outlineLevel="0" collapsed="false">
      <c r="B142" s="879"/>
      <c r="C142" s="880"/>
      <c r="D142" s="893"/>
      <c r="E142" s="886"/>
    </row>
    <row r="143" customFormat="false" ht="12.8" hidden="false" customHeight="false" outlineLevel="0" collapsed="false">
      <c r="B143" s="905" t="s">
        <v>1924</v>
      </c>
      <c r="C143" s="905" t="s">
        <v>1925</v>
      </c>
      <c r="D143" s="905" t="s">
        <v>1926</v>
      </c>
      <c r="E143" s="906" t="s">
        <v>1927</v>
      </c>
    </row>
    <row r="144" customFormat="false" ht="13.8" hidden="false" customHeight="false" outlineLevel="0" collapsed="false">
      <c r="B144" s="820" t="s">
        <v>2076</v>
      </c>
      <c r="C144" s="820"/>
      <c r="D144" s="820"/>
      <c r="E144" s="820"/>
    </row>
    <row r="145" customFormat="false" ht="12.8" hidden="false" customHeight="false" outlineLevel="0" collapsed="false">
      <c r="B145" s="879" t="s">
        <v>2434</v>
      </c>
      <c r="C145" s="851" t="s">
        <v>2077</v>
      </c>
      <c r="D145" s="881" t="s">
        <v>2078</v>
      </c>
      <c r="E145" s="886" t="n">
        <v>110</v>
      </c>
    </row>
    <row r="146" customFormat="false" ht="12.8" hidden="false" customHeight="false" outlineLevel="0" collapsed="false">
      <c r="B146" s="879" t="s">
        <v>2435</v>
      </c>
      <c r="C146" s="851" t="s">
        <v>2079</v>
      </c>
      <c r="D146" s="881" t="s">
        <v>2080</v>
      </c>
      <c r="E146" s="886" t="n">
        <v>450</v>
      </c>
    </row>
    <row r="147" customFormat="false" ht="12.8" hidden="false" customHeight="false" outlineLevel="0" collapsed="false">
      <c r="B147" s="879" t="s">
        <v>2436</v>
      </c>
      <c r="C147" s="851" t="s">
        <v>2081</v>
      </c>
      <c r="D147" s="881" t="s">
        <v>1949</v>
      </c>
      <c r="E147" s="886" t="n">
        <v>110</v>
      </c>
    </row>
    <row r="148" customFormat="false" ht="12.8" hidden="false" customHeight="false" outlineLevel="0" collapsed="false">
      <c r="B148" s="879" t="s">
        <v>2437</v>
      </c>
      <c r="C148" s="851" t="s">
        <v>2082</v>
      </c>
      <c r="D148" s="881" t="s">
        <v>2083</v>
      </c>
      <c r="E148" s="886" t="n">
        <v>990</v>
      </c>
    </row>
    <row r="149" customFormat="false" ht="12.8" hidden="false" customHeight="false" outlineLevel="0" collapsed="false">
      <c r="B149" s="879" t="n">
        <v>9018583</v>
      </c>
      <c r="C149" s="851" t="s">
        <v>2084</v>
      </c>
      <c r="D149" s="881" t="s">
        <v>2085</v>
      </c>
      <c r="E149" s="886" t="n">
        <v>110</v>
      </c>
    </row>
    <row r="150" customFormat="false" ht="12.8" hidden="false" customHeight="false" outlineLevel="0" collapsed="false">
      <c r="B150" s="879" t="n">
        <v>9018591</v>
      </c>
      <c r="C150" s="851" t="s">
        <v>2086</v>
      </c>
      <c r="D150" s="881" t="s">
        <v>2087</v>
      </c>
      <c r="E150" s="886" t="n">
        <v>450</v>
      </c>
    </row>
    <row r="151" customFormat="false" ht="12.8" hidden="false" customHeight="false" outlineLevel="0" collapsed="false">
      <c r="B151" s="879" t="n">
        <v>9018586</v>
      </c>
      <c r="C151" s="851" t="s">
        <v>2088</v>
      </c>
      <c r="D151" s="881" t="s">
        <v>2089</v>
      </c>
      <c r="E151" s="886" t="n">
        <v>110</v>
      </c>
    </row>
    <row r="152" customFormat="false" ht="12.8" hidden="false" customHeight="false" outlineLevel="0" collapsed="false">
      <c r="B152" s="879" t="n">
        <v>9018593</v>
      </c>
      <c r="C152" s="851" t="s">
        <v>2090</v>
      </c>
      <c r="D152" s="881" t="s">
        <v>2091</v>
      </c>
      <c r="E152" s="886" t="n">
        <v>450</v>
      </c>
    </row>
    <row r="153" customFormat="false" ht="12.8" hidden="false" customHeight="false" outlineLevel="0" collapsed="false">
      <c r="B153" s="879" t="n">
        <v>9018588</v>
      </c>
      <c r="C153" s="851" t="s">
        <v>2092</v>
      </c>
      <c r="D153" s="881" t="s">
        <v>2093</v>
      </c>
      <c r="E153" s="886" t="n">
        <v>110</v>
      </c>
    </row>
    <row r="154" customFormat="false" ht="12.8" hidden="false" customHeight="false" outlineLevel="0" collapsed="false">
      <c r="B154" s="879" t="n">
        <v>9018598</v>
      </c>
      <c r="C154" s="851" t="s">
        <v>2094</v>
      </c>
      <c r="D154" s="881" t="s">
        <v>2095</v>
      </c>
      <c r="E154" s="886" t="n">
        <v>760</v>
      </c>
    </row>
    <row r="155" customFormat="false" ht="12.8" hidden="false" customHeight="false" outlineLevel="0" collapsed="false">
      <c r="B155" s="879" t="s">
        <v>2438</v>
      </c>
      <c r="C155" s="851" t="s">
        <v>2096</v>
      </c>
      <c r="D155" s="881" t="s">
        <v>2097</v>
      </c>
      <c r="E155" s="886" t="n">
        <v>110</v>
      </c>
    </row>
    <row r="156" customFormat="false" ht="12.8" hidden="false" customHeight="false" outlineLevel="0" collapsed="false">
      <c r="B156" s="879" t="s">
        <v>2439</v>
      </c>
      <c r="C156" s="851" t="s">
        <v>2098</v>
      </c>
      <c r="D156" s="881" t="s">
        <v>2099</v>
      </c>
      <c r="E156" s="886" t="n">
        <v>990</v>
      </c>
    </row>
    <row r="157" customFormat="false" ht="12.8" hidden="false" customHeight="false" outlineLevel="0" collapsed="false">
      <c r="B157" s="879" t="n">
        <v>9018474</v>
      </c>
      <c r="C157" s="851" t="s">
        <v>2100</v>
      </c>
      <c r="D157" s="881" t="s">
        <v>2101</v>
      </c>
      <c r="E157" s="886" t="n">
        <v>110</v>
      </c>
    </row>
    <row r="158" customFormat="false" ht="12.8" hidden="false" customHeight="false" outlineLevel="0" collapsed="false">
      <c r="B158" s="879" t="n">
        <v>9018476</v>
      </c>
      <c r="C158" s="851" t="s">
        <v>2102</v>
      </c>
      <c r="D158" s="881" t="s">
        <v>2103</v>
      </c>
      <c r="E158" s="886" t="n">
        <v>450</v>
      </c>
    </row>
    <row r="159" customFormat="false" ht="12.8" hidden="false" customHeight="false" outlineLevel="0" collapsed="false">
      <c r="B159" s="879" t="n">
        <v>9018475</v>
      </c>
      <c r="C159" s="851" t="s">
        <v>2104</v>
      </c>
      <c r="D159" s="881" t="s">
        <v>2105</v>
      </c>
      <c r="E159" s="886" t="n">
        <v>110</v>
      </c>
    </row>
    <row r="160" customFormat="false" ht="12.8" hidden="false" customHeight="false" outlineLevel="0" collapsed="false">
      <c r="B160" s="879" t="n">
        <v>9018477</v>
      </c>
      <c r="C160" s="851" t="s">
        <v>2106</v>
      </c>
      <c r="D160" s="881" t="s">
        <v>2107</v>
      </c>
      <c r="E160" s="886" t="n">
        <v>450</v>
      </c>
    </row>
    <row r="161" customFormat="false" ht="12.8" hidden="false" customHeight="false" outlineLevel="0" collapsed="false">
      <c r="B161" s="879" t="s">
        <v>2440</v>
      </c>
      <c r="C161" s="851" t="s">
        <v>2108</v>
      </c>
      <c r="D161" s="881" t="s">
        <v>2105</v>
      </c>
      <c r="E161" s="886" t="n">
        <v>110</v>
      </c>
    </row>
    <row r="162" customFormat="false" ht="12.8" hidden="false" customHeight="false" outlineLevel="0" collapsed="false">
      <c r="B162" s="879" t="s">
        <v>2441</v>
      </c>
      <c r="C162" s="851" t="s">
        <v>2109</v>
      </c>
      <c r="D162" s="881" t="s">
        <v>2107</v>
      </c>
      <c r="E162" s="886" t="n">
        <v>450</v>
      </c>
    </row>
    <row r="163" customFormat="false" ht="12.8" hidden="false" customHeight="false" outlineLevel="0" collapsed="false">
      <c r="B163" s="879" t="n">
        <v>9018590</v>
      </c>
      <c r="C163" s="851" t="s">
        <v>2110</v>
      </c>
      <c r="D163" s="881" t="s">
        <v>2093</v>
      </c>
      <c r="E163" s="886" t="n">
        <v>110</v>
      </c>
    </row>
    <row r="164" customFormat="false" ht="12.8" hidden="false" customHeight="false" outlineLevel="0" collapsed="false">
      <c r="B164" s="879" t="n">
        <v>9018600</v>
      </c>
      <c r="C164" s="851" t="s">
        <v>2111</v>
      </c>
      <c r="D164" s="881" t="s">
        <v>2112</v>
      </c>
      <c r="E164" s="886" t="n">
        <v>520</v>
      </c>
    </row>
    <row r="165" customFormat="false" ht="13.8" hidden="false" customHeight="false" outlineLevel="0" collapsed="false">
      <c r="B165" s="900"/>
      <c r="C165" s="893"/>
      <c r="D165" s="881"/>
      <c r="E165" s="908"/>
    </row>
    <row r="166" customFormat="false" ht="17.35" hidden="false" customHeight="false" outlineLevel="0" collapsed="false">
      <c r="B166" s="852" t="s">
        <v>2113</v>
      </c>
      <c r="C166" s="852"/>
      <c r="D166" s="852"/>
      <c r="E166" s="852"/>
    </row>
    <row r="167" customFormat="false" ht="12.8" hidden="false" customHeight="false" outlineLevel="0" collapsed="false">
      <c r="B167" s="918" t="s">
        <v>1924</v>
      </c>
      <c r="C167" s="918" t="s">
        <v>1925</v>
      </c>
      <c r="D167" s="918" t="s">
        <v>1926</v>
      </c>
      <c r="E167" s="919" t="s">
        <v>1927</v>
      </c>
    </row>
    <row r="168" customFormat="false" ht="13.8" hidden="false" customHeight="false" outlineLevel="0" collapsed="false">
      <c r="B168" s="855" t="s">
        <v>2114</v>
      </c>
      <c r="C168" s="855"/>
      <c r="D168" s="855"/>
      <c r="E168" s="855"/>
    </row>
    <row r="169" customFormat="false" ht="12.8" hidden="false" customHeight="false" outlineLevel="0" collapsed="false">
      <c r="B169" s="879" t="n">
        <v>1000029</v>
      </c>
      <c r="C169" s="880" t="s">
        <v>2115</v>
      </c>
      <c r="D169" s="881" t="s">
        <v>2116</v>
      </c>
      <c r="E169" s="886" t="n">
        <v>10890</v>
      </c>
    </row>
    <row r="170" customFormat="false" ht="12.8" hidden="false" customHeight="false" outlineLevel="0" collapsed="false">
      <c r="B170" s="879" t="n">
        <v>1000030</v>
      </c>
      <c r="C170" s="880" t="s">
        <v>2117</v>
      </c>
      <c r="D170" s="881" t="s">
        <v>2116</v>
      </c>
      <c r="E170" s="886" t="n">
        <v>10460</v>
      </c>
    </row>
    <row r="171" customFormat="false" ht="12.8" hidden="false" customHeight="false" outlineLevel="0" collapsed="false">
      <c r="B171" s="879" t="n">
        <v>1000032</v>
      </c>
      <c r="C171" s="880" t="s">
        <v>2118</v>
      </c>
      <c r="D171" s="881" t="s">
        <v>2119</v>
      </c>
      <c r="E171" s="886" t="n">
        <v>11910</v>
      </c>
    </row>
    <row r="172" customFormat="false" ht="12.8" hidden="false" customHeight="false" outlineLevel="0" collapsed="false">
      <c r="B172" s="879" t="n">
        <v>1000031</v>
      </c>
      <c r="C172" s="880" t="s">
        <v>2120</v>
      </c>
      <c r="D172" s="881" t="s">
        <v>2119</v>
      </c>
      <c r="E172" s="886" t="n">
        <v>12440</v>
      </c>
    </row>
    <row r="173" customFormat="false" ht="12.8" hidden="false" customHeight="false" outlineLevel="0" collapsed="false">
      <c r="B173" s="879" t="s">
        <v>2442</v>
      </c>
      <c r="C173" s="880" t="s">
        <v>2443</v>
      </c>
      <c r="D173" s="881" t="s">
        <v>2444</v>
      </c>
      <c r="E173" s="886" t="n">
        <v>14310</v>
      </c>
    </row>
    <row r="174" customFormat="false" ht="12.8" hidden="false" customHeight="false" outlineLevel="0" collapsed="false">
      <c r="B174" s="879" t="n">
        <v>9163030</v>
      </c>
      <c r="C174" s="880" t="s">
        <v>2121</v>
      </c>
      <c r="D174" s="881" t="s">
        <v>2122</v>
      </c>
      <c r="E174" s="886" t="n">
        <v>1850</v>
      </c>
    </row>
    <row r="175" customFormat="false" ht="12.8" hidden="false" customHeight="false" outlineLevel="0" collapsed="false">
      <c r="B175" s="879" t="n">
        <v>9163031</v>
      </c>
      <c r="C175" s="880" t="s">
        <v>2445</v>
      </c>
      <c r="D175" s="881" t="s">
        <v>2446</v>
      </c>
      <c r="E175" s="886" t="n">
        <v>1260</v>
      </c>
    </row>
    <row r="176" customFormat="false" ht="12.8" hidden="false" customHeight="false" outlineLevel="0" collapsed="false">
      <c r="B176" s="918" t="s">
        <v>1924</v>
      </c>
      <c r="C176" s="918" t="s">
        <v>1925</v>
      </c>
      <c r="D176" s="918" t="s">
        <v>1926</v>
      </c>
      <c r="E176" s="919" t="s">
        <v>1927</v>
      </c>
    </row>
    <row r="177" customFormat="false" ht="13.8" hidden="false" customHeight="false" outlineLevel="0" collapsed="false">
      <c r="B177" s="855" t="s">
        <v>2123</v>
      </c>
      <c r="C177" s="855"/>
      <c r="D177" s="855"/>
      <c r="E177" s="855"/>
    </row>
    <row r="178" customFormat="false" ht="12.8" hidden="false" customHeight="false" outlineLevel="0" collapsed="false">
      <c r="B178" s="879" t="n">
        <v>1002295</v>
      </c>
      <c r="C178" s="880" t="s">
        <v>2124</v>
      </c>
      <c r="D178" s="881" t="s">
        <v>2125</v>
      </c>
      <c r="E178" s="886" t="n">
        <v>15250</v>
      </c>
    </row>
    <row r="179" customFormat="false" ht="12.8" hidden="false" customHeight="false" outlineLevel="0" collapsed="false">
      <c r="B179" s="879"/>
      <c r="C179" s="880"/>
      <c r="D179" s="881"/>
      <c r="E179" s="886"/>
    </row>
    <row r="180" customFormat="false" ht="13.8" hidden="false" customHeight="false" outlineLevel="0" collapsed="false">
      <c r="B180" s="908"/>
      <c r="C180" s="855" t="s">
        <v>2126</v>
      </c>
      <c r="D180" s="920"/>
      <c r="E180" s="920"/>
    </row>
    <row r="181" customFormat="false" ht="12.8" hidden="false" customHeight="false" outlineLevel="0" collapsed="false">
      <c r="B181" s="921" t="n">
        <v>9018685</v>
      </c>
      <c r="C181" s="922" t="s">
        <v>2130</v>
      </c>
      <c r="D181" s="889" t="s">
        <v>2131</v>
      </c>
      <c r="E181" s="923" t="n">
        <v>2260</v>
      </c>
    </row>
    <row r="182" customFormat="false" ht="12.8" hidden="false" customHeight="false" outlineLevel="0" collapsed="false">
      <c r="B182" s="862" t="n">
        <v>9018625</v>
      </c>
      <c r="C182" s="863" t="s">
        <v>2447</v>
      </c>
      <c r="D182" s="889" t="s">
        <v>2448</v>
      </c>
      <c r="E182" s="923" t="n">
        <v>430</v>
      </c>
    </row>
    <row r="183" customFormat="false" ht="12.8" hidden="false" customHeight="false" outlineLevel="0" collapsed="false">
      <c r="B183" s="879" t="n">
        <v>9018608</v>
      </c>
      <c r="C183" s="880" t="s">
        <v>2133</v>
      </c>
      <c r="D183" s="893" t="s">
        <v>2134</v>
      </c>
      <c r="E183" s="886" t="n">
        <v>2380</v>
      </c>
    </row>
    <row r="184" customFormat="false" ht="12.8" hidden="false" customHeight="false" outlineLevel="0" collapsed="false">
      <c r="B184" s="845" t="n">
        <v>9018620</v>
      </c>
      <c r="C184" s="851" t="s">
        <v>2135</v>
      </c>
      <c r="D184" s="893" t="s">
        <v>2136</v>
      </c>
      <c r="E184" s="886" t="n">
        <v>3720</v>
      </c>
    </row>
    <row r="185" customFormat="false" ht="12.8" hidden="false" customHeight="false" outlineLevel="0" collapsed="false">
      <c r="B185" s="924" t="n">
        <v>1822445</v>
      </c>
      <c r="C185" s="925" t="s">
        <v>2137</v>
      </c>
      <c r="D185" s="890" t="s">
        <v>2138</v>
      </c>
      <c r="E185" s="923" t="n">
        <v>4290</v>
      </c>
    </row>
    <row r="186" customFormat="false" ht="16.85" hidden="false" customHeight="false" outlineLevel="0" collapsed="false">
      <c r="B186" s="879" t="n">
        <v>9019034</v>
      </c>
      <c r="C186" s="880" t="s">
        <v>2449</v>
      </c>
      <c r="D186" s="893" t="s">
        <v>2450</v>
      </c>
      <c r="E186" s="886" t="n">
        <v>14270</v>
      </c>
    </row>
    <row r="187" customFormat="false" ht="12.8" hidden="false" customHeight="false" outlineLevel="0" collapsed="false">
      <c r="B187" s="905" t="s">
        <v>1924</v>
      </c>
      <c r="C187" s="905" t="s">
        <v>1925</v>
      </c>
      <c r="D187" s="905" t="s">
        <v>1926</v>
      </c>
      <c r="E187" s="906" t="s">
        <v>1927</v>
      </c>
    </row>
    <row r="188" customFormat="false" ht="13.8" hidden="false" customHeight="false" outlineLevel="0" collapsed="false">
      <c r="B188" s="820" t="s">
        <v>2451</v>
      </c>
      <c r="C188" s="820"/>
      <c r="D188" s="820"/>
      <c r="E188" s="820"/>
    </row>
    <row r="189" customFormat="false" ht="12.8" hidden="false" customHeight="false" outlineLevel="0" collapsed="false">
      <c r="B189" s="879" t="n">
        <v>1002422</v>
      </c>
      <c r="C189" s="880" t="s">
        <v>2452</v>
      </c>
      <c r="D189" s="881" t="s">
        <v>2453</v>
      </c>
      <c r="E189" s="886" t="n">
        <v>12160</v>
      </c>
    </row>
    <row r="190" customFormat="false" ht="12.8" hidden="false" customHeight="false" outlineLevel="0" collapsed="false">
      <c r="B190" s="902" t="n">
        <v>1822445</v>
      </c>
      <c r="C190" s="907" t="s">
        <v>2137</v>
      </c>
      <c r="D190" s="881" t="s">
        <v>2144</v>
      </c>
      <c r="E190" s="886" t="n">
        <v>4290</v>
      </c>
    </row>
    <row r="191" customFormat="false" ht="12.8" hidden="false" customHeight="false" outlineLevel="0" collapsed="false">
      <c r="B191" s="879" t="n">
        <v>9013268</v>
      </c>
      <c r="C191" s="880" t="s">
        <v>2454</v>
      </c>
      <c r="D191" s="926"/>
      <c r="E191" s="886" t="n">
        <v>190</v>
      </c>
    </row>
    <row r="192" customFormat="false" ht="12.8" hidden="false" customHeight="false" outlineLevel="0" collapsed="false">
      <c r="B192" s="879" t="n">
        <v>9013269</v>
      </c>
      <c r="C192" s="880" t="s">
        <v>2455</v>
      </c>
      <c r="D192" s="926"/>
      <c r="E192" s="886" t="n">
        <v>190</v>
      </c>
    </row>
    <row r="193" customFormat="false" ht="12.8" hidden="false" customHeight="false" outlineLevel="0" collapsed="false">
      <c r="B193" s="879" t="s">
        <v>2456</v>
      </c>
      <c r="C193" s="880" t="s">
        <v>2457</v>
      </c>
      <c r="D193" s="926"/>
      <c r="E193" s="886" t="n">
        <v>440</v>
      </c>
    </row>
    <row r="194" customFormat="false" ht="12.8" hidden="false" customHeight="false" outlineLevel="0" collapsed="false">
      <c r="B194" s="905" t="s">
        <v>1924</v>
      </c>
      <c r="C194" s="905" t="s">
        <v>1925</v>
      </c>
      <c r="D194" s="905" t="s">
        <v>1926</v>
      </c>
      <c r="E194" s="906" t="s">
        <v>1927</v>
      </c>
    </row>
    <row r="195" customFormat="false" ht="13.8" hidden="false" customHeight="false" outlineLevel="0" collapsed="false">
      <c r="B195" s="820" t="s">
        <v>2141</v>
      </c>
      <c r="C195" s="820"/>
      <c r="D195" s="820"/>
      <c r="E195" s="820"/>
    </row>
    <row r="196" customFormat="false" ht="12.8" hidden="false" customHeight="false" outlineLevel="0" collapsed="false">
      <c r="B196" s="879" t="n">
        <v>1002823</v>
      </c>
      <c r="C196" s="880" t="s">
        <v>2142</v>
      </c>
      <c r="D196" s="881" t="s">
        <v>2143</v>
      </c>
      <c r="E196" s="886" t="n">
        <v>13470</v>
      </c>
    </row>
    <row r="197" customFormat="false" ht="12.8" hidden="false" customHeight="false" outlineLevel="0" collapsed="false">
      <c r="B197" s="902" t="n">
        <v>1822445</v>
      </c>
      <c r="C197" s="907" t="s">
        <v>2137</v>
      </c>
      <c r="D197" s="881" t="s">
        <v>2144</v>
      </c>
      <c r="E197" s="886" t="n">
        <v>4290</v>
      </c>
    </row>
    <row r="198" customFormat="false" ht="12.8" hidden="false" customHeight="false" outlineLevel="0" collapsed="false">
      <c r="B198" s="879" t="n">
        <v>9014528</v>
      </c>
      <c r="C198" s="880" t="s">
        <v>2458</v>
      </c>
      <c r="D198" s="926"/>
      <c r="E198" s="886" t="n">
        <v>610</v>
      </c>
    </row>
    <row r="199" customFormat="false" ht="12.8" hidden="false" customHeight="false" outlineLevel="0" collapsed="false">
      <c r="B199" s="879" t="n">
        <v>9014529</v>
      </c>
      <c r="C199" s="880" t="s">
        <v>2145</v>
      </c>
      <c r="D199" s="926"/>
      <c r="E199" s="886" t="n">
        <v>610</v>
      </c>
    </row>
    <row r="200" customFormat="false" ht="12.8" hidden="false" customHeight="false" outlineLevel="0" collapsed="false">
      <c r="B200" s="879" t="n">
        <v>9014535</v>
      </c>
      <c r="C200" s="880" t="s">
        <v>2459</v>
      </c>
      <c r="D200" s="926"/>
      <c r="E200" s="886" t="n">
        <v>155</v>
      </c>
    </row>
    <row r="201" customFormat="false" ht="12.8" hidden="false" customHeight="false" outlineLevel="0" collapsed="false">
      <c r="B201" s="879" t="n">
        <v>9014536</v>
      </c>
      <c r="C201" s="880" t="s">
        <v>2146</v>
      </c>
      <c r="D201" s="926"/>
      <c r="E201" s="886" t="n">
        <v>155</v>
      </c>
    </row>
    <row r="202" customFormat="false" ht="12.8" hidden="false" customHeight="false" outlineLevel="0" collapsed="false">
      <c r="B202" s="879" t="n">
        <v>9014540</v>
      </c>
      <c r="C202" s="880" t="s">
        <v>2460</v>
      </c>
      <c r="D202" s="926"/>
      <c r="E202" s="886" t="n">
        <v>155</v>
      </c>
    </row>
    <row r="203" customFormat="false" ht="12.8" hidden="false" customHeight="false" outlineLevel="0" collapsed="false">
      <c r="B203" s="900"/>
      <c r="C203" s="893"/>
      <c r="D203" s="881"/>
      <c r="E203" s="904"/>
    </row>
    <row r="204" customFormat="false" ht="17.35" hidden="false" customHeight="false" outlineLevel="0" collapsed="false">
      <c r="B204" s="865" t="s">
        <v>2147</v>
      </c>
      <c r="C204" s="865"/>
      <c r="D204" s="865"/>
      <c r="E204" s="865"/>
    </row>
    <row r="205" customFormat="false" ht="12.8" hidden="false" customHeight="false" outlineLevel="0" collapsed="false">
      <c r="B205" s="927" t="s">
        <v>1924</v>
      </c>
      <c r="C205" s="927" t="s">
        <v>1925</v>
      </c>
      <c r="D205" s="927" t="s">
        <v>1926</v>
      </c>
      <c r="E205" s="928" t="s">
        <v>1927</v>
      </c>
    </row>
    <row r="206" customFormat="false" ht="13.8" hidden="false" customHeight="false" outlineLevel="0" collapsed="false">
      <c r="B206" s="868" t="s">
        <v>2148</v>
      </c>
      <c r="C206" s="868"/>
      <c r="D206" s="868"/>
      <c r="E206" s="868"/>
    </row>
    <row r="207" customFormat="false" ht="12.8" hidden="false" customHeight="false" outlineLevel="0" collapsed="false">
      <c r="B207" s="879" t="n">
        <v>1870071</v>
      </c>
      <c r="C207" s="880" t="s">
        <v>2149</v>
      </c>
      <c r="D207" s="881" t="s">
        <v>2150</v>
      </c>
      <c r="E207" s="886" t="n">
        <v>12510</v>
      </c>
    </row>
    <row r="208" customFormat="false" ht="12.8" hidden="false" customHeight="false" outlineLevel="0" collapsed="false">
      <c r="B208" s="879" t="n">
        <v>1870116</v>
      </c>
      <c r="C208" s="880" t="s">
        <v>2151</v>
      </c>
      <c r="D208" s="881" t="s">
        <v>2152</v>
      </c>
      <c r="E208" s="886" t="n">
        <v>5520</v>
      </c>
    </row>
    <row r="209" customFormat="false" ht="12.8" hidden="false" customHeight="false" outlineLevel="0" collapsed="false">
      <c r="B209" s="929" t="n">
        <v>1822445</v>
      </c>
      <c r="C209" s="930" t="s">
        <v>2153</v>
      </c>
      <c r="D209" s="881" t="s">
        <v>2154</v>
      </c>
      <c r="E209" s="886" t="n">
        <v>4290</v>
      </c>
    </row>
    <row r="210" customFormat="false" ht="12.8" hidden="false" customHeight="false" outlineLevel="0" collapsed="false">
      <c r="B210" s="879" t="n">
        <v>1870195</v>
      </c>
      <c r="C210" s="880" t="s">
        <v>2155</v>
      </c>
      <c r="D210" s="881" t="s">
        <v>2156</v>
      </c>
      <c r="E210" s="886" t="n">
        <v>5840</v>
      </c>
    </row>
    <row r="211" customFormat="false" ht="12.8" hidden="false" customHeight="false" outlineLevel="0" collapsed="false">
      <c r="B211" s="879" t="n">
        <v>1870149</v>
      </c>
      <c r="C211" s="880" t="s">
        <v>2157</v>
      </c>
      <c r="D211" s="881" t="s">
        <v>2158</v>
      </c>
      <c r="E211" s="886" t="n">
        <v>6260</v>
      </c>
    </row>
    <row r="212" customFormat="false" ht="12.8" hidden="false" customHeight="false" outlineLevel="0" collapsed="false">
      <c r="B212" s="879" t="n">
        <v>9014006</v>
      </c>
      <c r="C212" s="880" t="s">
        <v>2159</v>
      </c>
      <c r="D212" s="931" t="s">
        <v>2160</v>
      </c>
      <c r="E212" s="932" t="n">
        <v>620</v>
      </c>
    </row>
    <row r="213" customFormat="false" ht="12.8" hidden="false" customHeight="false" outlineLevel="0" collapsed="false">
      <c r="B213" s="879" t="n">
        <v>1870156</v>
      </c>
      <c r="C213" s="880" t="s">
        <v>2161</v>
      </c>
      <c r="D213" s="881" t="s">
        <v>2461</v>
      </c>
      <c r="E213" s="886" t="n">
        <v>19080</v>
      </c>
    </row>
    <row r="214" customFormat="false" ht="13.8" hidden="false" customHeight="false" outlineLevel="0" collapsed="false">
      <c r="B214" s="900"/>
      <c r="C214" s="893"/>
      <c r="D214" s="881"/>
      <c r="E214" s="908"/>
    </row>
    <row r="215" customFormat="false" ht="13.8" hidden="false" customHeight="false" outlineLevel="0" collapsed="false">
      <c r="B215" s="871" t="s">
        <v>2163</v>
      </c>
      <c r="C215" s="871"/>
      <c r="D215" s="871"/>
      <c r="E215" s="871"/>
    </row>
    <row r="216" customFormat="false" ht="13.8" hidden="false" customHeight="false" outlineLevel="0" collapsed="false">
      <c r="B216" s="872" t="s">
        <v>2164</v>
      </c>
      <c r="C216" s="872"/>
      <c r="D216" s="872"/>
      <c r="E216" s="872"/>
    </row>
    <row r="217" customFormat="false" ht="12.8" hidden="false" customHeight="false" outlineLevel="0" collapsed="false">
      <c r="B217" s="879" t="n">
        <v>1870144</v>
      </c>
      <c r="C217" s="880" t="s">
        <v>2165</v>
      </c>
      <c r="D217" s="881" t="s">
        <v>2166</v>
      </c>
      <c r="E217" s="886" t="n">
        <v>10280</v>
      </c>
    </row>
    <row r="218" customFormat="false" ht="12.8" hidden="false" customHeight="false" outlineLevel="0" collapsed="false">
      <c r="B218" s="879" t="n">
        <v>1870139</v>
      </c>
      <c r="C218" s="880" t="s">
        <v>2167</v>
      </c>
      <c r="D218" s="881" t="s">
        <v>2168</v>
      </c>
      <c r="E218" s="886" t="n">
        <v>11180</v>
      </c>
    </row>
    <row r="219" customFormat="false" ht="12.8" hidden="false" customHeight="false" outlineLevel="0" collapsed="false">
      <c r="B219" s="879" t="n">
        <v>1870158</v>
      </c>
      <c r="C219" s="880" t="s">
        <v>2169</v>
      </c>
      <c r="D219" s="881" t="s">
        <v>2170</v>
      </c>
      <c r="E219" s="886" t="n">
        <v>30400</v>
      </c>
    </row>
    <row r="220" customFormat="false" ht="12.8" hidden="false" customHeight="false" outlineLevel="0" collapsed="false">
      <c r="B220" s="879" t="n">
        <v>1870162</v>
      </c>
      <c r="C220" s="880" t="s">
        <v>2171</v>
      </c>
      <c r="D220" s="881" t="s">
        <v>2172</v>
      </c>
      <c r="E220" s="886" t="n">
        <v>55890</v>
      </c>
    </row>
    <row r="221" customFormat="false" ht="13.8" hidden="false" customHeight="false" outlineLevel="0" collapsed="false">
      <c r="B221" s="872" t="s">
        <v>2173</v>
      </c>
      <c r="C221" s="872"/>
      <c r="D221" s="872"/>
      <c r="E221" s="872"/>
    </row>
    <row r="222" customFormat="false" ht="12.8" hidden="false" customHeight="false" outlineLevel="0" collapsed="false">
      <c r="B222" s="879" t="n">
        <v>1870133</v>
      </c>
      <c r="C222" s="880" t="s">
        <v>2174</v>
      </c>
      <c r="D222" s="881" t="s">
        <v>2175</v>
      </c>
      <c r="E222" s="886" t="n">
        <v>2040</v>
      </c>
    </row>
    <row r="223" customFormat="false" ht="12.8" hidden="false" customHeight="false" outlineLevel="0" collapsed="false">
      <c r="B223" s="879" t="n">
        <v>1870132</v>
      </c>
      <c r="C223" s="880" t="s">
        <v>2462</v>
      </c>
      <c r="D223" s="881" t="s">
        <v>2175</v>
      </c>
      <c r="E223" s="886" t="n">
        <v>3410</v>
      </c>
    </row>
    <row r="224" customFormat="false" ht="12.8" hidden="false" customHeight="false" outlineLevel="0" collapsed="false">
      <c r="B224" s="879" t="n">
        <v>1870002</v>
      </c>
      <c r="C224" s="880" t="s">
        <v>2463</v>
      </c>
      <c r="D224" s="881" t="s">
        <v>2464</v>
      </c>
      <c r="E224" s="886" t="n">
        <v>10230</v>
      </c>
    </row>
    <row r="225" customFormat="false" ht="13.8" hidden="false" customHeight="false" outlineLevel="0" collapsed="false">
      <c r="B225" s="872" t="s">
        <v>2176</v>
      </c>
      <c r="C225" s="872"/>
      <c r="D225" s="872"/>
      <c r="E225" s="872"/>
    </row>
    <row r="226" customFormat="false" ht="12.8" hidden="false" customHeight="false" outlineLevel="0" collapsed="false">
      <c r="B226" s="879" t="n">
        <v>1810153</v>
      </c>
      <c r="C226" s="880" t="s">
        <v>2177</v>
      </c>
      <c r="D226" s="881" t="s">
        <v>2178</v>
      </c>
      <c r="E226" s="886" t="n">
        <v>6440</v>
      </c>
    </row>
    <row r="227" customFormat="false" ht="12.8" hidden="false" customHeight="false" outlineLevel="0" collapsed="false">
      <c r="B227" s="879" t="n">
        <v>1810261</v>
      </c>
      <c r="C227" s="880" t="s">
        <v>2179</v>
      </c>
      <c r="D227" s="881" t="s">
        <v>2180</v>
      </c>
      <c r="E227" s="886" t="n">
        <v>8090</v>
      </c>
    </row>
    <row r="228" customFormat="false" ht="12.8" hidden="false" customHeight="false" outlineLevel="0" collapsed="false">
      <c r="B228" s="879" t="n">
        <v>1870061</v>
      </c>
      <c r="C228" s="880" t="s">
        <v>2465</v>
      </c>
      <c r="D228" s="881" t="s">
        <v>2466</v>
      </c>
      <c r="E228" s="886" t="n">
        <v>1490</v>
      </c>
    </row>
    <row r="229" customFormat="false" ht="12.8" hidden="false" customHeight="false" outlineLevel="0" collapsed="false">
      <c r="B229" s="879" t="n">
        <v>9137159</v>
      </c>
      <c r="C229" s="880" t="s">
        <v>2467</v>
      </c>
      <c r="D229" s="881" t="s">
        <v>2468</v>
      </c>
      <c r="E229" s="886" t="n">
        <v>80</v>
      </c>
    </row>
    <row r="230" customFormat="false" ht="12.8" hidden="false" customHeight="false" outlineLevel="0" collapsed="false">
      <c r="B230" s="879" t="n">
        <v>9660135</v>
      </c>
      <c r="C230" s="880" t="s">
        <v>2469</v>
      </c>
      <c r="D230" s="881" t="s">
        <v>2470</v>
      </c>
      <c r="E230" s="886" t="n">
        <v>250</v>
      </c>
    </row>
    <row r="231" customFormat="false" ht="12.8" hidden="false" customHeight="false" outlineLevel="0" collapsed="false">
      <c r="B231" s="900"/>
      <c r="C231" s="893"/>
      <c r="D231" s="881"/>
      <c r="E231" s="904"/>
    </row>
    <row r="232" customFormat="false" ht="17.35" hidden="false" customHeight="false" outlineLevel="0" collapsed="false">
      <c r="B232" s="852" t="s">
        <v>2181</v>
      </c>
      <c r="C232" s="852"/>
      <c r="D232" s="852"/>
      <c r="E232" s="852"/>
    </row>
    <row r="233" customFormat="false" ht="12.8" hidden="false" customHeight="false" outlineLevel="0" collapsed="false">
      <c r="B233" s="918" t="s">
        <v>1924</v>
      </c>
      <c r="C233" s="918" t="s">
        <v>1925</v>
      </c>
      <c r="D233" s="918" t="s">
        <v>1926</v>
      </c>
      <c r="E233" s="919" t="s">
        <v>1927</v>
      </c>
    </row>
    <row r="234" customFormat="false" ht="13.8" hidden="false" customHeight="false" outlineLevel="0" collapsed="false">
      <c r="B234" s="855" t="s">
        <v>2182</v>
      </c>
      <c r="C234" s="855"/>
      <c r="D234" s="855"/>
      <c r="E234" s="855"/>
    </row>
    <row r="235" customFormat="false" ht="12.8" hidden="false" customHeight="false" outlineLevel="0" collapsed="false">
      <c r="B235" s="879" t="n">
        <v>9163900</v>
      </c>
      <c r="C235" s="880" t="s">
        <v>2471</v>
      </c>
      <c r="D235" s="881" t="s">
        <v>2185</v>
      </c>
      <c r="E235" s="886" t="n">
        <v>950</v>
      </c>
    </row>
    <row r="236" customFormat="false" ht="12.8" hidden="false" customHeight="false" outlineLevel="0" collapsed="false">
      <c r="B236" s="879" t="n">
        <v>9001281</v>
      </c>
      <c r="C236" s="880" t="s">
        <v>2187</v>
      </c>
      <c r="D236" s="881" t="s">
        <v>2185</v>
      </c>
      <c r="E236" s="886" t="n">
        <v>880</v>
      </c>
    </row>
    <row r="237" customFormat="false" ht="12.8" hidden="false" customHeight="false" outlineLevel="0" collapsed="false">
      <c r="B237" s="900"/>
      <c r="C237" s="893"/>
      <c r="D237" s="881"/>
      <c r="E237" s="904"/>
    </row>
    <row r="238" customFormat="false" ht="13.8" hidden="false" customHeight="false" outlineLevel="0" collapsed="false">
      <c r="B238" s="933" t="s">
        <v>2188</v>
      </c>
      <c r="C238" s="934"/>
      <c r="D238" s="934"/>
      <c r="E238" s="934"/>
    </row>
    <row r="239" customFormat="false" ht="12.8" hidden="false" customHeight="false" outlineLevel="0" collapsed="false">
      <c r="B239" s="879" t="n">
        <v>9163251</v>
      </c>
      <c r="C239" s="880" t="s">
        <v>2189</v>
      </c>
      <c r="D239" s="881" t="s">
        <v>2190</v>
      </c>
      <c r="E239" s="886" t="n">
        <v>70</v>
      </c>
    </row>
    <row r="240" customFormat="false" ht="12.8" hidden="false" customHeight="false" outlineLevel="0" collapsed="false">
      <c r="B240" s="879" t="n">
        <v>9163254</v>
      </c>
      <c r="C240" s="880" t="s">
        <v>2191</v>
      </c>
      <c r="D240" s="881" t="s">
        <v>2192</v>
      </c>
      <c r="E240" s="886" t="n">
        <v>80</v>
      </c>
    </row>
    <row r="241" customFormat="false" ht="12.8" hidden="false" customHeight="false" outlineLevel="0" collapsed="false">
      <c r="B241" s="879" t="n">
        <v>9163252</v>
      </c>
      <c r="C241" s="880" t="s">
        <v>2193</v>
      </c>
      <c r="D241" s="881" t="s">
        <v>2194</v>
      </c>
      <c r="E241" s="886" t="n">
        <v>70</v>
      </c>
    </row>
    <row r="242" customFormat="false" ht="12.8" hidden="false" customHeight="false" outlineLevel="0" collapsed="false">
      <c r="B242" s="879" t="n">
        <v>9163255</v>
      </c>
      <c r="C242" s="880" t="s">
        <v>2195</v>
      </c>
      <c r="D242" s="881" t="s">
        <v>2196</v>
      </c>
      <c r="E242" s="886" t="n">
        <v>80</v>
      </c>
    </row>
    <row r="243" customFormat="false" ht="12.8" hidden="false" customHeight="false" outlineLevel="0" collapsed="false">
      <c r="B243" s="879" t="n">
        <v>9163253</v>
      </c>
      <c r="C243" s="880" t="s">
        <v>2197</v>
      </c>
      <c r="D243" s="881" t="s">
        <v>2198</v>
      </c>
      <c r="E243" s="886" t="n">
        <v>80</v>
      </c>
    </row>
    <row r="244" customFormat="false" ht="12.8" hidden="false" customHeight="false" outlineLevel="0" collapsed="false">
      <c r="B244" s="879" t="n">
        <v>9163256</v>
      </c>
      <c r="C244" s="880" t="s">
        <v>2199</v>
      </c>
      <c r="D244" s="881" t="s">
        <v>2200</v>
      </c>
      <c r="E244" s="886" t="n">
        <v>80</v>
      </c>
    </row>
    <row r="245" customFormat="false" ht="13.8" hidden="false" customHeight="false" outlineLevel="0" collapsed="false">
      <c r="B245" s="933" t="s">
        <v>2201</v>
      </c>
      <c r="C245" s="934"/>
      <c r="D245" s="934"/>
      <c r="E245" s="934"/>
    </row>
    <row r="246" customFormat="false" ht="12.8" hidden="false" customHeight="false" outlineLevel="0" collapsed="false">
      <c r="B246" s="879" t="n">
        <v>9163260</v>
      </c>
      <c r="C246" s="880" t="s">
        <v>2202</v>
      </c>
      <c r="D246" s="881" t="s">
        <v>2175</v>
      </c>
      <c r="E246" s="886" t="n">
        <v>90</v>
      </c>
    </row>
    <row r="247" customFormat="false" ht="12.8" hidden="false" customHeight="false" outlineLevel="0" collapsed="false">
      <c r="B247" s="879" t="n">
        <v>9163262</v>
      </c>
      <c r="C247" s="880" t="s">
        <v>2203</v>
      </c>
      <c r="D247" s="881" t="s">
        <v>2175</v>
      </c>
      <c r="E247" s="886" t="n">
        <v>110</v>
      </c>
    </row>
    <row r="248" customFormat="false" ht="12.8" hidden="false" customHeight="false" outlineLevel="0" collapsed="false">
      <c r="B248" s="879" t="n">
        <v>9163268</v>
      </c>
      <c r="C248" s="880" t="s">
        <v>2472</v>
      </c>
      <c r="D248" s="881" t="s">
        <v>2175</v>
      </c>
      <c r="E248" s="886" t="n">
        <v>110</v>
      </c>
    </row>
    <row r="249" customFormat="false" ht="12.8" hidden="false" customHeight="false" outlineLevel="0" collapsed="false">
      <c r="B249" s="879" t="s">
        <v>2473</v>
      </c>
      <c r="C249" s="880" t="s">
        <v>2474</v>
      </c>
      <c r="D249" s="881" t="s">
        <v>2475</v>
      </c>
      <c r="E249" s="886" t="n">
        <v>90</v>
      </c>
    </row>
    <row r="250" customFormat="false" ht="12.8" hidden="false" customHeight="false" outlineLevel="0" collapsed="false">
      <c r="B250" s="879" t="s">
        <v>2476</v>
      </c>
      <c r="C250" s="880" t="s">
        <v>2477</v>
      </c>
      <c r="D250" s="892"/>
      <c r="E250" s="886" t="n">
        <v>100</v>
      </c>
    </row>
    <row r="251" customFormat="false" ht="13.8" hidden="false" customHeight="false" outlineLevel="0" collapsed="false">
      <c r="B251" s="933" t="s">
        <v>2204</v>
      </c>
      <c r="C251" s="934"/>
      <c r="D251" s="934"/>
      <c r="E251" s="934"/>
    </row>
    <row r="252" customFormat="false" ht="12.8" hidden="false" customHeight="false" outlineLevel="0" collapsed="false">
      <c r="B252" s="879" t="n">
        <v>9162159</v>
      </c>
      <c r="C252" s="880" t="s">
        <v>2205</v>
      </c>
      <c r="D252" s="881" t="s">
        <v>2206</v>
      </c>
      <c r="E252" s="886" t="n">
        <v>85</v>
      </c>
    </row>
    <row r="253" customFormat="false" ht="12.8" hidden="false" customHeight="false" outlineLevel="0" collapsed="false">
      <c r="B253" s="879" t="n">
        <v>9162176</v>
      </c>
      <c r="C253" s="880" t="s">
        <v>2207</v>
      </c>
      <c r="D253" s="881" t="s">
        <v>2206</v>
      </c>
      <c r="E253" s="886" t="n">
        <v>85</v>
      </c>
    </row>
    <row r="254" customFormat="false" ht="12.8" hidden="false" customHeight="false" outlineLevel="0" collapsed="false">
      <c r="B254" s="879" t="n">
        <v>9162267</v>
      </c>
      <c r="C254" s="880" t="s">
        <v>2208</v>
      </c>
      <c r="D254" s="881" t="s">
        <v>2206</v>
      </c>
      <c r="E254" s="886" t="n">
        <v>165</v>
      </c>
    </row>
    <row r="255" customFormat="false" ht="12.8" hidden="false" customHeight="false" outlineLevel="0" collapsed="false">
      <c r="B255" s="879" t="n">
        <v>9162135</v>
      </c>
      <c r="C255" s="880" t="s">
        <v>2209</v>
      </c>
      <c r="D255" s="881" t="s">
        <v>2206</v>
      </c>
      <c r="E255" s="886" t="n">
        <v>110</v>
      </c>
    </row>
    <row r="256" customFormat="false" ht="12.8" hidden="false" customHeight="false" outlineLevel="0" collapsed="false">
      <c r="B256" s="879" t="s">
        <v>2478</v>
      </c>
      <c r="C256" s="935" t="s">
        <v>2479</v>
      </c>
      <c r="D256" s="881" t="s">
        <v>2206</v>
      </c>
      <c r="E256" s="886" t="n">
        <v>105</v>
      </c>
    </row>
    <row r="257" customFormat="false" ht="12.8" hidden="false" customHeight="false" outlineLevel="0" collapsed="false">
      <c r="B257" s="879" t="s">
        <v>2480</v>
      </c>
      <c r="C257" s="935" t="s">
        <v>2481</v>
      </c>
      <c r="D257" s="881" t="s">
        <v>2206</v>
      </c>
      <c r="E257" s="886" t="n">
        <v>85</v>
      </c>
    </row>
    <row r="258" customFormat="false" ht="12.8" hidden="false" customHeight="false" outlineLevel="0" collapsed="false">
      <c r="B258" s="879" t="n">
        <v>9162138</v>
      </c>
      <c r="C258" s="880" t="s">
        <v>2210</v>
      </c>
      <c r="D258" s="881" t="s">
        <v>2206</v>
      </c>
      <c r="E258" s="886" t="n">
        <v>105</v>
      </c>
    </row>
    <row r="259" customFormat="false" ht="12.8" hidden="false" customHeight="false" outlineLevel="0" collapsed="false">
      <c r="B259" s="879" t="n">
        <v>1781001</v>
      </c>
      <c r="C259" s="880" t="s">
        <v>2211</v>
      </c>
      <c r="D259" s="881" t="s">
        <v>2206</v>
      </c>
      <c r="E259" s="886" t="n">
        <v>105</v>
      </c>
    </row>
    <row r="260" customFormat="false" ht="12.8" hidden="false" customHeight="false" outlineLevel="0" collapsed="false">
      <c r="B260" s="879" t="s">
        <v>2482</v>
      </c>
      <c r="C260" s="880" t="s">
        <v>2483</v>
      </c>
      <c r="D260" s="881" t="s">
        <v>2206</v>
      </c>
      <c r="E260" s="886" t="n">
        <v>105</v>
      </c>
    </row>
    <row r="261" customFormat="false" ht="12.8" hidden="false" customHeight="false" outlineLevel="0" collapsed="false">
      <c r="B261" s="879" t="s">
        <v>2484</v>
      </c>
      <c r="C261" s="880" t="s">
        <v>2212</v>
      </c>
      <c r="D261" s="881" t="s">
        <v>2206</v>
      </c>
      <c r="E261" s="886" t="n">
        <v>105</v>
      </c>
    </row>
    <row r="262" customFormat="false" ht="12.8" hidden="false" customHeight="false" outlineLevel="0" collapsed="false">
      <c r="B262" s="879" t="n">
        <v>9162137</v>
      </c>
      <c r="C262" s="880" t="s">
        <v>2213</v>
      </c>
      <c r="D262" s="881" t="s">
        <v>2206</v>
      </c>
      <c r="E262" s="886" t="n">
        <v>100</v>
      </c>
    </row>
    <row r="263" customFormat="false" ht="12.8" hidden="false" customHeight="false" outlineLevel="0" collapsed="false">
      <c r="B263" s="879" t="n">
        <v>1781002</v>
      </c>
      <c r="C263" s="880" t="s">
        <v>2214</v>
      </c>
      <c r="D263" s="881" t="s">
        <v>2206</v>
      </c>
      <c r="E263" s="886" t="n">
        <v>100</v>
      </c>
    </row>
    <row r="264" customFormat="false" ht="12.8" hidden="false" customHeight="false" outlineLevel="0" collapsed="false">
      <c r="B264" s="879" t="n">
        <v>9162143</v>
      </c>
      <c r="C264" s="880" t="s">
        <v>2215</v>
      </c>
      <c r="D264" s="881" t="s">
        <v>2206</v>
      </c>
      <c r="E264" s="886" t="n">
        <v>80</v>
      </c>
    </row>
    <row r="265" customFormat="false" ht="12.8" hidden="false" customHeight="false" outlineLevel="0" collapsed="false">
      <c r="B265" s="879" t="n">
        <v>9162142</v>
      </c>
      <c r="C265" s="880" t="s">
        <v>2216</v>
      </c>
      <c r="D265" s="881" t="s">
        <v>2206</v>
      </c>
      <c r="E265" s="886" t="n">
        <v>75</v>
      </c>
    </row>
    <row r="266" customFormat="false" ht="12.8" hidden="false" customHeight="false" outlineLevel="0" collapsed="false">
      <c r="B266" s="879" t="s">
        <v>2485</v>
      </c>
      <c r="C266" s="880" t="s">
        <v>2217</v>
      </c>
      <c r="D266" s="881" t="s">
        <v>2206</v>
      </c>
      <c r="E266" s="886" t="n">
        <v>80</v>
      </c>
    </row>
    <row r="267" customFormat="false" ht="12.8" hidden="false" customHeight="false" outlineLevel="0" collapsed="false">
      <c r="B267" s="879" t="n">
        <v>9162140</v>
      </c>
      <c r="C267" s="880" t="s">
        <v>2218</v>
      </c>
      <c r="D267" s="881" t="s">
        <v>2206</v>
      </c>
      <c r="E267" s="886" t="n">
        <v>75</v>
      </c>
    </row>
    <row r="268" customFormat="false" ht="12.8" hidden="false" customHeight="false" outlineLevel="0" collapsed="false">
      <c r="B268" s="879" t="n">
        <v>1781000</v>
      </c>
      <c r="C268" s="880" t="s">
        <v>2219</v>
      </c>
      <c r="D268" s="881" t="s">
        <v>2206</v>
      </c>
      <c r="E268" s="886" t="n">
        <v>75</v>
      </c>
    </row>
    <row r="269" customFormat="false" ht="13.8" hidden="false" customHeight="false" outlineLevel="0" collapsed="false">
      <c r="B269" s="933" t="s">
        <v>2220</v>
      </c>
      <c r="C269" s="934"/>
      <c r="D269" s="934"/>
      <c r="E269" s="934"/>
    </row>
    <row r="270" customFormat="false" ht="12.8" hidden="false" customHeight="false" outlineLevel="0" collapsed="false">
      <c r="B270" s="879" t="n">
        <v>9162257</v>
      </c>
      <c r="C270" s="880" t="s">
        <v>2221</v>
      </c>
      <c r="D270" s="881" t="s">
        <v>2206</v>
      </c>
      <c r="E270" s="886" t="n">
        <v>90</v>
      </c>
    </row>
    <row r="271" customFormat="false" ht="12.8" hidden="false" customHeight="false" outlineLevel="0" collapsed="false">
      <c r="B271" s="879" t="n">
        <v>9162258</v>
      </c>
      <c r="C271" s="880" t="s">
        <v>2222</v>
      </c>
      <c r="D271" s="881" t="s">
        <v>2206</v>
      </c>
      <c r="E271" s="886" t="n">
        <v>90</v>
      </c>
    </row>
    <row r="272" customFormat="false" ht="13.8" hidden="false" customHeight="false" outlineLevel="0" collapsed="false">
      <c r="B272" s="908"/>
      <c r="C272" s="908"/>
      <c r="D272" s="908"/>
      <c r="E272" s="908"/>
    </row>
    <row r="273" customFormat="false" ht="13.8" hidden="false" customHeight="false" outlineLevel="0" collapsed="false">
      <c r="B273" s="829" t="s">
        <v>2223</v>
      </c>
      <c r="C273" s="829"/>
      <c r="D273" s="829"/>
      <c r="E273" s="829"/>
    </row>
    <row r="274" customFormat="false" ht="12.8" hidden="false" customHeight="false" outlineLevel="0" collapsed="false">
      <c r="B274" s="877" t="s">
        <v>1924</v>
      </c>
      <c r="C274" s="877" t="s">
        <v>1925</v>
      </c>
      <c r="D274" s="877" t="s">
        <v>1926</v>
      </c>
      <c r="E274" s="878" t="s">
        <v>1927</v>
      </c>
    </row>
    <row r="275" customFormat="false" ht="12.8" hidden="false" customHeight="false" outlineLevel="0" collapsed="false">
      <c r="B275" s="879" t="n">
        <v>1781253</v>
      </c>
      <c r="C275" s="880" t="s">
        <v>2486</v>
      </c>
      <c r="D275" s="881" t="s">
        <v>2487</v>
      </c>
      <c r="E275" s="886" t="n">
        <v>10100</v>
      </c>
    </row>
    <row r="276" customFormat="false" ht="12.8" hidden="false" customHeight="false" outlineLevel="0" collapsed="false">
      <c r="B276" s="879" t="n">
        <v>1782287</v>
      </c>
      <c r="C276" s="880" t="s">
        <v>2488</v>
      </c>
      <c r="D276" s="881" t="s">
        <v>2489</v>
      </c>
      <c r="E276" s="886" t="n">
        <v>6050</v>
      </c>
    </row>
    <row r="277" customFormat="false" ht="13.8" hidden="false" customHeight="false" outlineLevel="0" collapsed="false">
      <c r="B277" s="829" t="s">
        <v>2224</v>
      </c>
      <c r="C277" s="829"/>
      <c r="D277" s="829"/>
      <c r="E277" s="829"/>
    </row>
    <row r="278" customFormat="false" ht="16.85" hidden="false" customHeight="false" outlineLevel="0" collapsed="false">
      <c r="B278" s="879" t="n">
        <v>9025918</v>
      </c>
      <c r="C278" s="880" t="s">
        <v>2225</v>
      </c>
      <c r="D278" s="881" t="s">
        <v>2226</v>
      </c>
      <c r="E278" s="886" t="n">
        <f aca="false">970*6</f>
        <v>5820</v>
      </c>
    </row>
    <row r="279" customFormat="false" ht="12.8" hidden="false" customHeight="false" outlineLevel="0" collapsed="false">
      <c r="B279" s="879" t="n">
        <v>9025940</v>
      </c>
      <c r="C279" s="880" t="s">
        <v>2227</v>
      </c>
      <c r="D279" s="881"/>
      <c r="E279" s="886" t="n">
        <v>450</v>
      </c>
    </row>
    <row r="280" customFormat="false" ht="12.8" hidden="false" customHeight="false" outlineLevel="0" collapsed="false">
      <c r="B280" s="879" t="n">
        <v>9025941</v>
      </c>
      <c r="C280" s="880" t="s">
        <v>2228</v>
      </c>
      <c r="D280" s="881"/>
      <c r="E280" s="886" t="n">
        <v>780</v>
      </c>
    </row>
    <row r="281" customFormat="false" ht="12.8" hidden="false" customHeight="false" outlineLevel="0" collapsed="false">
      <c r="B281" s="879" t="n">
        <v>9025942</v>
      </c>
      <c r="C281" s="880" t="s">
        <v>2229</v>
      </c>
      <c r="D281" s="881" t="s">
        <v>2230</v>
      </c>
      <c r="E281" s="886" t="n">
        <v>400</v>
      </c>
    </row>
    <row r="282" customFormat="false" ht="12.8" hidden="false" customHeight="false" outlineLevel="0" collapsed="false">
      <c r="B282" s="879" t="n">
        <v>9025943</v>
      </c>
      <c r="C282" s="880" t="s">
        <v>2231</v>
      </c>
      <c r="D282" s="881" t="s">
        <v>2232</v>
      </c>
      <c r="E282" s="886" t="n">
        <v>150</v>
      </c>
    </row>
    <row r="283" customFormat="false" ht="12.8" hidden="false" customHeight="false" outlineLevel="0" collapsed="false">
      <c r="B283" s="879" t="n">
        <v>9025944</v>
      </c>
      <c r="C283" s="880" t="s">
        <v>2233</v>
      </c>
      <c r="D283" s="881" t="s">
        <v>2234</v>
      </c>
      <c r="E283" s="886" t="n">
        <v>150</v>
      </c>
    </row>
    <row r="284" customFormat="false" ht="12.8" hidden="false" customHeight="false" outlineLevel="0" collapsed="false">
      <c r="B284" s="879" t="n">
        <v>9025945</v>
      </c>
      <c r="C284" s="880" t="s">
        <v>2235</v>
      </c>
      <c r="D284" s="881" t="s">
        <v>2236</v>
      </c>
      <c r="E284" s="886" t="n">
        <v>150</v>
      </c>
    </row>
    <row r="285" customFormat="false" ht="12.8" hidden="false" customHeight="false" outlineLevel="0" collapsed="false">
      <c r="B285" s="879" t="n">
        <v>9025946</v>
      </c>
      <c r="C285" s="880" t="s">
        <v>2237</v>
      </c>
      <c r="D285" s="881" t="s">
        <v>2238</v>
      </c>
      <c r="E285" s="886" t="n">
        <v>150</v>
      </c>
    </row>
    <row r="286" customFormat="false" ht="12.8" hidden="false" customHeight="false" outlineLevel="0" collapsed="false">
      <c r="B286" s="879" t="n">
        <v>9025947</v>
      </c>
      <c r="C286" s="880" t="s">
        <v>2239</v>
      </c>
      <c r="D286" s="881" t="s">
        <v>2240</v>
      </c>
      <c r="E286" s="886" t="n">
        <v>150</v>
      </c>
    </row>
    <row r="287" customFormat="false" ht="12.8" hidden="false" customHeight="false" outlineLevel="0" collapsed="false">
      <c r="B287" s="879" t="n">
        <v>9025948</v>
      </c>
      <c r="C287" s="880" t="s">
        <v>2241</v>
      </c>
      <c r="D287" s="881" t="s">
        <v>2242</v>
      </c>
      <c r="E287" s="886" t="n">
        <v>150</v>
      </c>
    </row>
    <row r="288" customFormat="false" ht="12.8" hidden="false" customHeight="false" outlineLevel="0" collapsed="false">
      <c r="B288" s="879" t="n">
        <v>9025949</v>
      </c>
      <c r="C288" s="880" t="s">
        <v>2243</v>
      </c>
      <c r="D288" s="881" t="s">
        <v>2244</v>
      </c>
      <c r="E288" s="886" t="n">
        <v>120</v>
      </c>
    </row>
    <row r="289" customFormat="false" ht="12.8" hidden="false" customHeight="false" outlineLevel="0" collapsed="false">
      <c r="B289" s="879" t="n">
        <v>9025950</v>
      </c>
      <c r="C289" s="880" t="s">
        <v>2245</v>
      </c>
      <c r="D289" s="881" t="s">
        <v>2246</v>
      </c>
      <c r="E289" s="886" t="n">
        <v>130</v>
      </c>
    </row>
    <row r="290" customFormat="false" ht="12.8" hidden="false" customHeight="false" outlineLevel="0" collapsed="false">
      <c r="B290" s="879" t="n">
        <v>9025951</v>
      </c>
      <c r="C290" s="880" t="s">
        <v>2247</v>
      </c>
      <c r="D290" s="881" t="s">
        <v>2248</v>
      </c>
      <c r="E290" s="886" t="n">
        <v>130</v>
      </c>
    </row>
    <row r="291" customFormat="false" ht="12.8" hidden="false" customHeight="false" outlineLevel="0" collapsed="false">
      <c r="B291" s="879" t="n">
        <v>9025952</v>
      </c>
      <c r="C291" s="880" t="s">
        <v>2249</v>
      </c>
      <c r="D291" s="881" t="s">
        <v>2250</v>
      </c>
      <c r="E291" s="886" t="n">
        <v>130</v>
      </c>
    </row>
    <row r="292" customFormat="false" ht="12.8" hidden="false" customHeight="false" outlineLevel="0" collapsed="false">
      <c r="B292" s="879" t="n">
        <v>9025953</v>
      </c>
      <c r="C292" s="880" t="s">
        <v>2251</v>
      </c>
      <c r="D292" s="881" t="s">
        <v>2252</v>
      </c>
      <c r="E292" s="886" t="n">
        <v>130</v>
      </c>
    </row>
    <row r="293" customFormat="false" ht="12.8" hidden="false" customHeight="false" outlineLevel="0" collapsed="false">
      <c r="B293" s="879" t="n">
        <v>9025954</v>
      </c>
      <c r="C293" s="880" t="s">
        <v>2253</v>
      </c>
      <c r="D293" s="881" t="s">
        <v>2254</v>
      </c>
      <c r="E293" s="886" t="n">
        <v>130</v>
      </c>
    </row>
    <row r="294" customFormat="false" ht="16.85" hidden="false" customHeight="false" outlineLevel="0" collapsed="false">
      <c r="B294" s="879" t="n">
        <v>9025955</v>
      </c>
      <c r="C294" s="880" t="s">
        <v>2255</v>
      </c>
      <c r="D294" s="881" t="s">
        <v>2256</v>
      </c>
      <c r="E294" s="886" t="n">
        <v>270</v>
      </c>
    </row>
    <row r="295" customFormat="false" ht="16.85" hidden="false" customHeight="false" outlineLevel="0" collapsed="false">
      <c r="B295" s="879" t="n">
        <v>9025956</v>
      </c>
      <c r="C295" s="880" t="s">
        <v>2257</v>
      </c>
      <c r="D295" s="881" t="s">
        <v>2258</v>
      </c>
      <c r="E295" s="886" t="n">
        <v>280</v>
      </c>
    </row>
    <row r="296" customFormat="false" ht="16.85" hidden="false" customHeight="false" outlineLevel="0" collapsed="false">
      <c r="B296" s="879" t="n">
        <v>9025957</v>
      </c>
      <c r="C296" s="880" t="s">
        <v>2259</v>
      </c>
      <c r="D296" s="881" t="s">
        <v>2260</v>
      </c>
      <c r="E296" s="886" t="n">
        <v>280</v>
      </c>
    </row>
    <row r="297" customFormat="false" ht="16.85" hidden="false" customHeight="false" outlineLevel="0" collapsed="false">
      <c r="B297" s="879" t="n">
        <v>9025958</v>
      </c>
      <c r="C297" s="880" t="s">
        <v>2261</v>
      </c>
      <c r="D297" s="881" t="s">
        <v>2262</v>
      </c>
      <c r="E297" s="886" t="n">
        <v>280</v>
      </c>
    </row>
    <row r="298" customFormat="false" ht="16.85" hidden="false" customHeight="false" outlineLevel="0" collapsed="false">
      <c r="B298" s="879" t="n">
        <v>9025959</v>
      </c>
      <c r="C298" s="880" t="s">
        <v>2263</v>
      </c>
      <c r="D298" s="881" t="s">
        <v>2264</v>
      </c>
      <c r="E298" s="886" t="n">
        <v>280</v>
      </c>
    </row>
    <row r="299" customFormat="false" ht="16.85" hidden="false" customHeight="false" outlineLevel="0" collapsed="false">
      <c r="B299" s="879" t="n">
        <v>9025960</v>
      </c>
      <c r="C299" s="880" t="s">
        <v>2265</v>
      </c>
      <c r="D299" s="881" t="s">
        <v>2266</v>
      </c>
      <c r="E299" s="886" t="n">
        <v>280</v>
      </c>
    </row>
    <row r="300" customFormat="false" ht="12.8" hidden="false" customHeight="false" outlineLevel="0" collapsed="false">
      <c r="B300" s="879" t="n">
        <v>9025961</v>
      </c>
      <c r="C300" s="880" t="s">
        <v>2267</v>
      </c>
      <c r="D300" s="881" t="s">
        <v>2268</v>
      </c>
      <c r="E300" s="886" t="n">
        <v>130</v>
      </c>
    </row>
    <row r="301" customFormat="false" ht="12.8" hidden="false" customHeight="false" outlineLevel="0" collapsed="false">
      <c r="B301" s="879" t="n">
        <v>9025962</v>
      </c>
      <c r="C301" s="880" t="s">
        <v>2269</v>
      </c>
      <c r="D301" s="881" t="s">
        <v>2270</v>
      </c>
      <c r="E301" s="886" t="n">
        <v>150</v>
      </c>
    </row>
    <row r="302" customFormat="false" ht="12.8" hidden="false" customHeight="false" outlineLevel="0" collapsed="false">
      <c r="B302" s="879" t="n">
        <v>9025963</v>
      </c>
      <c r="C302" s="880" t="s">
        <v>2271</v>
      </c>
      <c r="D302" s="881" t="s">
        <v>2272</v>
      </c>
      <c r="E302" s="886" t="n">
        <v>150</v>
      </c>
    </row>
    <row r="303" customFormat="false" ht="12.8" hidden="false" customHeight="false" outlineLevel="0" collapsed="false">
      <c r="B303" s="879" t="n">
        <v>9025964</v>
      </c>
      <c r="C303" s="880" t="s">
        <v>2273</v>
      </c>
      <c r="D303" s="881" t="s">
        <v>2274</v>
      </c>
      <c r="E303" s="886" t="n">
        <v>150</v>
      </c>
    </row>
    <row r="304" customFormat="false" ht="12.8" hidden="false" customHeight="false" outlineLevel="0" collapsed="false">
      <c r="B304" s="879" t="n">
        <v>9025965</v>
      </c>
      <c r="C304" s="880" t="s">
        <v>2275</v>
      </c>
      <c r="D304" s="881" t="s">
        <v>2276</v>
      </c>
      <c r="E304" s="886" t="n">
        <v>150</v>
      </c>
    </row>
    <row r="305" customFormat="false" ht="12.8" hidden="false" customHeight="false" outlineLevel="0" collapsed="false">
      <c r="B305" s="879" t="n">
        <v>9025966</v>
      </c>
      <c r="C305" s="880" t="s">
        <v>2277</v>
      </c>
      <c r="D305" s="881" t="s">
        <v>2278</v>
      </c>
      <c r="E305" s="886" t="n">
        <v>150</v>
      </c>
    </row>
    <row r="306" customFormat="false" ht="12.8" hidden="false" customHeight="false" outlineLevel="0" collapsed="false">
      <c r="B306" s="879" t="n">
        <v>9025967</v>
      </c>
      <c r="C306" s="880" t="s">
        <v>2279</v>
      </c>
      <c r="D306" s="881" t="s">
        <v>2268</v>
      </c>
      <c r="E306" s="886" t="n">
        <v>100</v>
      </c>
    </row>
    <row r="307" customFormat="false" ht="12.8" hidden="false" customHeight="false" outlineLevel="0" collapsed="false">
      <c r="B307" s="879" t="n">
        <v>9025968</v>
      </c>
      <c r="C307" s="880" t="s">
        <v>2280</v>
      </c>
      <c r="D307" s="881" t="s">
        <v>2270</v>
      </c>
      <c r="E307" s="886" t="n">
        <v>120</v>
      </c>
    </row>
    <row r="308" customFormat="false" ht="12.8" hidden="false" customHeight="false" outlineLevel="0" collapsed="false">
      <c r="B308" s="879" t="n">
        <v>9025969</v>
      </c>
      <c r="C308" s="880" t="s">
        <v>2281</v>
      </c>
      <c r="D308" s="881" t="s">
        <v>2272</v>
      </c>
      <c r="E308" s="886" t="n">
        <v>120</v>
      </c>
    </row>
    <row r="309" customFormat="false" ht="12.8" hidden="false" customHeight="false" outlineLevel="0" collapsed="false">
      <c r="B309" s="879" t="n">
        <v>9025970</v>
      </c>
      <c r="C309" s="880" t="s">
        <v>2282</v>
      </c>
      <c r="D309" s="881" t="s">
        <v>2274</v>
      </c>
      <c r="E309" s="886" t="n">
        <v>120</v>
      </c>
    </row>
    <row r="310" customFormat="false" ht="12.8" hidden="false" customHeight="false" outlineLevel="0" collapsed="false">
      <c r="B310" s="879" t="n">
        <v>9025971</v>
      </c>
      <c r="C310" s="880" t="s">
        <v>2283</v>
      </c>
      <c r="D310" s="881" t="s">
        <v>2276</v>
      </c>
      <c r="E310" s="886" t="n">
        <v>120</v>
      </c>
    </row>
    <row r="311" customFormat="false" ht="12.8" hidden="false" customHeight="false" outlineLevel="0" collapsed="false">
      <c r="B311" s="879" t="n">
        <v>9025972</v>
      </c>
      <c r="C311" s="880" t="s">
        <v>2284</v>
      </c>
      <c r="D311" s="881" t="s">
        <v>2278</v>
      </c>
      <c r="E311" s="886" t="n">
        <v>120</v>
      </c>
    </row>
    <row r="312" customFormat="false" ht="13.8" hidden="false" customHeight="false" outlineLevel="0" collapsed="false">
      <c r="B312" s="829" t="s">
        <v>2285</v>
      </c>
      <c r="C312" s="829"/>
      <c r="D312" s="829"/>
      <c r="E312" s="829"/>
    </row>
    <row r="313" customFormat="false" ht="16.85" hidden="false" customHeight="false" outlineLevel="0" collapsed="false">
      <c r="B313" s="879" t="n">
        <v>9025919</v>
      </c>
      <c r="C313" s="880" t="s">
        <v>2286</v>
      </c>
      <c r="D313" s="881" t="s">
        <v>2287</v>
      </c>
      <c r="E313" s="886" t="n">
        <f aca="false">1460*6</f>
        <v>8760</v>
      </c>
    </row>
    <row r="314" customFormat="false" ht="12.8" hidden="false" customHeight="false" outlineLevel="0" collapsed="false">
      <c r="B314" s="879" t="n">
        <v>9025977</v>
      </c>
      <c r="C314" s="880" t="s">
        <v>2288</v>
      </c>
      <c r="D314" s="881"/>
      <c r="E314" s="886" t="n">
        <v>490</v>
      </c>
    </row>
    <row r="315" customFormat="false" ht="12.8" hidden="false" customHeight="false" outlineLevel="0" collapsed="false">
      <c r="B315" s="879" t="n">
        <v>9025979</v>
      </c>
      <c r="C315" s="880" t="s">
        <v>2289</v>
      </c>
      <c r="D315" s="881"/>
      <c r="E315" s="886" t="n">
        <v>520</v>
      </c>
    </row>
    <row r="316" customFormat="false" ht="12.8" hidden="false" customHeight="false" outlineLevel="0" collapsed="false">
      <c r="B316" s="879" t="n">
        <v>9025988</v>
      </c>
      <c r="C316" s="880" t="s">
        <v>2290</v>
      </c>
      <c r="D316" s="881"/>
      <c r="E316" s="886" t="n">
        <v>920</v>
      </c>
    </row>
    <row r="317" customFormat="false" ht="12.8" hidden="false" customHeight="false" outlineLevel="0" collapsed="false">
      <c r="B317" s="879" t="n">
        <v>9025989</v>
      </c>
      <c r="C317" s="880" t="s">
        <v>2291</v>
      </c>
      <c r="D317" s="881"/>
      <c r="E317" s="886" t="n">
        <v>920</v>
      </c>
    </row>
    <row r="318" customFormat="false" ht="12.8" hidden="false" customHeight="false" outlineLevel="0" collapsed="false">
      <c r="B318" s="879" t="n">
        <v>9025990</v>
      </c>
      <c r="C318" s="880" t="s">
        <v>2292</v>
      </c>
      <c r="D318" s="881"/>
      <c r="E318" s="886" t="n">
        <v>920</v>
      </c>
    </row>
    <row r="319" customFormat="false" ht="12.8" hidden="false" customHeight="false" outlineLevel="0" collapsed="false">
      <c r="B319" s="879" t="n">
        <v>9026022</v>
      </c>
      <c r="C319" s="880" t="s">
        <v>2293</v>
      </c>
      <c r="D319" s="881" t="s">
        <v>2294</v>
      </c>
      <c r="E319" s="886" t="n">
        <v>620</v>
      </c>
    </row>
    <row r="320" customFormat="false" ht="16.85" hidden="false" customHeight="false" outlineLevel="0" collapsed="false">
      <c r="B320" s="879" t="n">
        <v>9026017</v>
      </c>
      <c r="C320" s="880" t="s">
        <v>2295</v>
      </c>
      <c r="D320" s="881" t="s">
        <v>2296</v>
      </c>
      <c r="E320" s="886" t="n">
        <v>630</v>
      </c>
    </row>
    <row r="321" customFormat="false" ht="16.85" hidden="false" customHeight="false" outlineLevel="0" collapsed="false">
      <c r="B321" s="879" t="n">
        <v>9026352</v>
      </c>
      <c r="C321" s="880" t="s">
        <v>2297</v>
      </c>
      <c r="D321" s="881" t="s">
        <v>2298</v>
      </c>
      <c r="E321" s="886" t="n">
        <v>630</v>
      </c>
    </row>
    <row r="322" customFormat="false" ht="12.8" hidden="false" customHeight="false" outlineLevel="0" collapsed="false">
      <c r="B322" s="879" t="n">
        <v>9026018</v>
      </c>
      <c r="C322" s="880" t="s">
        <v>2299</v>
      </c>
      <c r="D322" s="881" t="s">
        <v>2300</v>
      </c>
      <c r="E322" s="886" t="n">
        <v>390</v>
      </c>
    </row>
    <row r="323" customFormat="false" ht="12.8" hidden="false" customHeight="false" outlineLevel="0" collapsed="false">
      <c r="B323" s="879" t="n">
        <v>9026019</v>
      </c>
      <c r="C323" s="880" t="s">
        <v>2301</v>
      </c>
      <c r="D323" s="881" t="s">
        <v>2302</v>
      </c>
      <c r="E323" s="886" t="n">
        <v>6180</v>
      </c>
    </row>
    <row r="324" customFormat="false" ht="12.8" hidden="false" customHeight="false" outlineLevel="0" collapsed="false">
      <c r="B324" s="879" t="n">
        <v>9026040</v>
      </c>
      <c r="C324" s="880" t="s">
        <v>2303</v>
      </c>
      <c r="D324" s="881" t="s">
        <v>2304</v>
      </c>
      <c r="E324" s="886" t="n">
        <v>40</v>
      </c>
    </row>
    <row r="325" customFormat="false" ht="13.8" hidden="false" customHeight="false" outlineLevel="0" collapsed="false">
      <c r="B325" s="829" t="s">
        <v>2305</v>
      </c>
      <c r="C325" s="829"/>
      <c r="D325" s="829"/>
      <c r="E325" s="829"/>
    </row>
    <row r="326" customFormat="false" ht="16.85" hidden="false" customHeight="false" outlineLevel="0" collapsed="false">
      <c r="B326" s="895" t="n">
        <v>9025920</v>
      </c>
      <c r="C326" s="896" t="s">
        <v>2490</v>
      </c>
      <c r="D326" s="897" t="s">
        <v>2287</v>
      </c>
      <c r="E326" s="898" t="n">
        <v>18600</v>
      </c>
    </row>
    <row r="327" customFormat="false" ht="12.8" hidden="false" customHeight="false" outlineLevel="0" collapsed="false">
      <c r="B327" s="879" t="n">
        <v>9025981</v>
      </c>
      <c r="C327" s="880" t="s">
        <v>2306</v>
      </c>
      <c r="D327" s="881"/>
      <c r="E327" s="886" t="n">
        <v>550</v>
      </c>
    </row>
    <row r="328" customFormat="false" ht="12.8" hidden="false" customHeight="false" outlineLevel="0" collapsed="false">
      <c r="B328" s="879" t="n">
        <v>9025982</v>
      </c>
      <c r="C328" s="880" t="s">
        <v>2307</v>
      </c>
      <c r="D328" s="881"/>
      <c r="E328" s="886" t="n">
        <v>580</v>
      </c>
    </row>
    <row r="329" customFormat="false" ht="12.8" hidden="false" customHeight="false" outlineLevel="0" collapsed="false">
      <c r="B329" s="879" t="n">
        <v>9025991</v>
      </c>
      <c r="C329" s="880" t="s">
        <v>2308</v>
      </c>
      <c r="D329" s="881"/>
      <c r="E329" s="886" t="n">
        <v>1000</v>
      </c>
    </row>
    <row r="330" customFormat="false" ht="12.8" hidden="false" customHeight="false" outlineLevel="0" collapsed="false">
      <c r="B330" s="879" t="n">
        <v>9025992</v>
      </c>
      <c r="C330" s="880" t="s">
        <v>2309</v>
      </c>
      <c r="D330" s="881"/>
      <c r="E330" s="886" t="n">
        <v>1000</v>
      </c>
    </row>
    <row r="331" customFormat="false" ht="12.8" hidden="false" customHeight="false" outlineLevel="0" collapsed="false">
      <c r="B331" s="879" t="n">
        <v>9025993</v>
      </c>
      <c r="C331" s="880" t="s">
        <v>2310</v>
      </c>
      <c r="D331" s="881"/>
      <c r="E331" s="886" t="n">
        <v>1000</v>
      </c>
    </row>
    <row r="332" customFormat="false" ht="13.8" hidden="false" customHeight="false" outlineLevel="0" collapsed="false">
      <c r="B332" s="829" t="s">
        <v>2311</v>
      </c>
      <c r="C332" s="829"/>
      <c r="D332" s="829"/>
      <c r="E332" s="829"/>
    </row>
    <row r="333" customFormat="false" ht="12.8" hidden="false" customHeight="false" outlineLevel="0" collapsed="false">
      <c r="B333" s="879" t="n">
        <v>9025976</v>
      </c>
      <c r="C333" s="880" t="s">
        <v>2491</v>
      </c>
      <c r="D333" s="881" t="s">
        <v>2313</v>
      </c>
      <c r="E333" s="886" t="n">
        <v>640</v>
      </c>
    </row>
    <row r="334" customFormat="false" ht="16.85" hidden="false" customHeight="false" outlineLevel="0" collapsed="false">
      <c r="B334" s="879" t="n">
        <v>9025983</v>
      </c>
      <c r="C334" s="880" t="s">
        <v>2314</v>
      </c>
      <c r="D334" s="881" t="s">
        <v>2315</v>
      </c>
      <c r="E334" s="886" t="n">
        <v>520</v>
      </c>
    </row>
    <row r="335" customFormat="false" ht="12.8" hidden="false" customHeight="false" outlineLevel="0" collapsed="false">
      <c r="B335" s="879" t="n">
        <v>9025984</v>
      </c>
      <c r="C335" s="880" t="s">
        <v>2316</v>
      </c>
      <c r="D335" s="881" t="s">
        <v>2317</v>
      </c>
      <c r="E335" s="886" t="n">
        <v>520</v>
      </c>
    </row>
    <row r="336" customFormat="false" ht="12.8" hidden="false" customHeight="false" outlineLevel="0" collapsed="false">
      <c r="B336" s="879" t="n">
        <v>9025994</v>
      </c>
      <c r="C336" s="880" t="s">
        <v>2318</v>
      </c>
      <c r="D336" s="881" t="s">
        <v>2319</v>
      </c>
      <c r="E336" s="886" t="n">
        <v>950</v>
      </c>
    </row>
    <row r="337" customFormat="false" ht="12.8" hidden="false" customHeight="false" outlineLevel="0" collapsed="false">
      <c r="B337" s="879" t="n">
        <v>9025985</v>
      </c>
      <c r="C337" s="880" t="s">
        <v>2320</v>
      </c>
      <c r="D337" s="881" t="s">
        <v>2319</v>
      </c>
      <c r="E337" s="886" t="n">
        <v>370</v>
      </c>
    </row>
    <row r="338" customFormat="false" ht="12.8" hidden="false" customHeight="false" outlineLevel="0" collapsed="false">
      <c r="B338" s="879" t="n">
        <v>9025986</v>
      </c>
      <c r="C338" s="880" t="s">
        <v>2321</v>
      </c>
      <c r="D338" s="881" t="s">
        <v>2319</v>
      </c>
      <c r="E338" s="886" t="n">
        <v>370</v>
      </c>
    </row>
    <row r="339" customFormat="false" ht="12.8" hidden="false" customHeight="false" outlineLevel="0" collapsed="false">
      <c r="B339" s="879" t="n">
        <v>9025987</v>
      </c>
      <c r="C339" s="880" t="s">
        <v>2322</v>
      </c>
      <c r="D339" s="881" t="s">
        <v>2319</v>
      </c>
      <c r="E339" s="886" t="n">
        <v>370</v>
      </c>
    </row>
    <row r="340" customFormat="false" ht="12.8" hidden="false" customHeight="false" outlineLevel="0" collapsed="false">
      <c r="B340" s="879" t="n">
        <v>9025995</v>
      </c>
      <c r="C340" s="880" t="s">
        <v>2323</v>
      </c>
      <c r="D340" s="881" t="s">
        <v>2324</v>
      </c>
      <c r="E340" s="886" t="n">
        <v>430</v>
      </c>
    </row>
    <row r="341" customFormat="false" ht="12.8" hidden="false" customHeight="false" outlineLevel="0" collapsed="false">
      <c r="B341" s="879" t="n">
        <v>9026014</v>
      </c>
      <c r="C341" s="880" t="s">
        <v>2325</v>
      </c>
      <c r="D341" s="881" t="s">
        <v>2326</v>
      </c>
      <c r="E341" s="886" t="n">
        <v>490</v>
      </c>
    </row>
    <row r="342" customFormat="false" ht="12.8" hidden="false" customHeight="false" outlineLevel="0" collapsed="false">
      <c r="B342" s="879" t="n">
        <v>9026015</v>
      </c>
      <c r="C342" s="880" t="s">
        <v>2327</v>
      </c>
      <c r="D342" s="881" t="s">
        <v>2326</v>
      </c>
      <c r="E342" s="886" t="n">
        <v>490</v>
      </c>
    </row>
    <row r="343" customFormat="false" ht="12.8" hidden="false" customHeight="false" outlineLevel="0" collapsed="false">
      <c r="B343" s="879" t="n">
        <v>9026016</v>
      </c>
      <c r="C343" s="880" t="s">
        <v>2328</v>
      </c>
      <c r="D343" s="881" t="s">
        <v>2326</v>
      </c>
      <c r="E343" s="886" t="n">
        <v>490</v>
      </c>
    </row>
    <row r="344" customFormat="false" ht="12.8" hidden="false" customHeight="false" outlineLevel="0" collapsed="false">
      <c r="B344" s="879" t="n">
        <v>9026011</v>
      </c>
      <c r="C344" s="880" t="s">
        <v>2329</v>
      </c>
      <c r="D344" s="881" t="s">
        <v>2326</v>
      </c>
      <c r="E344" s="886" t="n">
        <v>430</v>
      </c>
    </row>
    <row r="345" customFormat="false" ht="12.8" hidden="false" customHeight="false" outlineLevel="0" collapsed="false">
      <c r="B345" s="879" t="n">
        <v>9026012</v>
      </c>
      <c r="C345" s="880" t="s">
        <v>2330</v>
      </c>
      <c r="D345" s="881" t="s">
        <v>2326</v>
      </c>
      <c r="E345" s="886" t="n">
        <v>430</v>
      </c>
    </row>
    <row r="346" customFormat="false" ht="12.8" hidden="false" customHeight="false" outlineLevel="0" collapsed="false">
      <c r="B346" s="879" t="n">
        <v>9026013</v>
      </c>
      <c r="C346" s="880" t="s">
        <v>2331</v>
      </c>
      <c r="D346" s="881" t="s">
        <v>2326</v>
      </c>
      <c r="E346" s="886" t="n">
        <v>430</v>
      </c>
    </row>
    <row r="347" customFormat="false" ht="13.8" hidden="false" customHeight="false" outlineLevel="0" collapsed="false">
      <c r="B347" s="829" t="s">
        <v>2332</v>
      </c>
      <c r="C347" s="829"/>
      <c r="D347" s="829"/>
      <c r="E347" s="829"/>
    </row>
    <row r="348" customFormat="false" ht="16.85" hidden="false" customHeight="false" outlineLevel="0" collapsed="false">
      <c r="B348" s="879" t="n">
        <v>9025921</v>
      </c>
      <c r="C348" s="880" t="s">
        <v>2333</v>
      </c>
      <c r="D348" s="881" t="s">
        <v>2287</v>
      </c>
      <c r="E348" s="886" t="n">
        <f aca="false">490*6</f>
        <v>2940</v>
      </c>
    </row>
    <row r="349" customFormat="false" ht="16.85" hidden="false" customHeight="false" outlineLevel="0" collapsed="false">
      <c r="B349" s="879" t="n">
        <v>9025922</v>
      </c>
      <c r="C349" s="880" t="s">
        <v>2334</v>
      </c>
      <c r="D349" s="881" t="s">
        <v>2287</v>
      </c>
      <c r="E349" s="886" t="n">
        <f aca="false">540*6</f>
        <v>3240</v>
      </c>
    </row>
    <row r="350" customFormat="false" ht="16.85" hidden="false" customHeight="false" outlineLevel="0" collapsed="false">
      <c r="B350" s="879" t="n">
        <v>9025923</v>
      </c>
      <c r="C350" s="880" t="s">
        <v>2335</v>
      </c>
      <c r="D350" s="881" t="s">
        <v>2287</v>
      </c>
      <c r="E350" s="886" t="n">
        <f aca="false">540*6</f>
        <v>3240</v>
      </c>
    </row>
    <row r="351" customFormat="false" ht="16.85" hidden="false" customHeight="false" outlineLevel="0" collapsed="false">
      <c r="B351" s="879" t="n">
        <v>9025924</v>
      </c>
      <c r="C351" s="880" t="s">
        <v>2336</v>
      </c>
      <c r="D351" s="881" t="s">
        <v>2287</v>
      </c>
      <c r="E351" s="886" t="n">
        <f aca="false">540*6</f>
        <v>3240</v>
      </c>
    </row>
    <row r="352" customFormat="false" ht="16.85" hidden="false" customHeight="false" outlineLevel="0" collapsed="false">
      <c r="B352" s="879" t="n">
        <v>9025925</v>
      </c>
      <c r="C352" s="880" t="s">
        <v>2337</v>
      </c>
      <c r="D352" s="881" t="s">
        <v>2287</v>
      </c>
      <c r="E352" s="886" t="n">
        <f aca="false">540*6</f>
        <v>3240</v>
      </c>
    </row>
    <row r="353" customFormat="false" ht="12.8" hidden="false" customHeight="false" outlineLevel="0" collapsed="false">
      <c r="B353" s="879" t="n">
        <v>9025935</v>
      </c>
      <c r="C353" s="880" t="s">
        <v>2340</v>
      </c>
      <c r="D353" s="881" t="s">
        <v>2341</v>
      </c>
      <c r="E353" s="886" t="n">
        <v>18</v>
      </c>
    </row>
    <row r="354" customFormat="false" ht="12.8" hidden="false" customHeight="false" outlineLevel="0" collapsed="false">
      <c r="B354" s="879" t="n">
        <v>9025936</v>
      </c>
      <c r="C354" s="880" t="s">
        <v>2342</v>
      </c>
      <c r="D354" s="881" t="s">
        <v>2343</v>
      </c>
      <c r="E354" s="886" t="n">
        <v>20</v>
      </c>
    </row>
    <row r="355" customFormat="false" ht="12.8" hidden="false" customHeight="false" outlineLevel="0" collapsed="false">
      <c r="B355" s="879" t="n">
        <v>9025937</v>
      </c>
      <c r="C355" s="880" t="s">
        <v>2344</v>
      </c>
      <c r="D355" s="881" t="s">
        <v>2345</v>
      </c>
      <c r="E355" s="886" t="n">
        <v>20</v>
      </c>
    </row>
    <row r="356" customFormat="false" ht="12.8" hidden="false" customHeight="false" outlineLevel="0" collapsed="false">
      <c r="B356" s="879" t="n">
        <v>9025938</v>
      </c>
      <c r="C356" s="880" t="s">
        <v>2346</v>
      </c>
      <c r="D356" s="881" t="s">
        <v>2347</v>
      </c>
      <c r="E356" s="886" t="n">
        <v>20</v>
      </c>
    </row>
    <row r="357" customFormat="false" ht="12.8" hidden="false" customHeight="false" outlineLevel="0" collapsed="false">
      <c r="B357" s="879" t="n">
        <v>9025939</v>
      </c>
      <c r="C357" s="880" t="s">
        <v>2348</v>
      </c>
      <c r="D357" s="881" t="s">
        <v>2349</v>
      </c>
      <c r="E357" s="886" t="n">
        <v>20</v>
      </c>
    </row>
  </sheetData>
  <mergeCells count="38">
    <mergeCell ref="B4:E4"/>
    <mergeCell ref="B6:E6"/>
    <mergeCell ref="B8:E8"/>
    <mergeCell ref="B15:E15"/>
    <mergeCell ref="B26:E26"/>
    <mergeCell ref="B30:E30"/>
    <mergeCell ref="B34:E34"/>
    <mergeCell ref="B55:E55"/>
    <mergeCell ref="B61:E61"/>
    <mergeCell ref="B65:E65"/>
    <mergeCell ref="B68:E68"/>
    <mergeCell ref="B71:E71"/>
    <mergeCell ref="B76:E76"/>
    <mergeCell ref="B81:E81"/>
    <mergeCell ref="B106:E106"/>
    <mergeCell ref="B116:E116"/>
    <mergeCell ref="B118:E118"/>
    <mergeCell ref="B130:E130"/>
    <mergeCell ref="B144:E144"/>
    <mergeCell ref="B166:E166"/>
    <mergeCell ref="B168:E168"/>
    <mergeCell ref="B177:E177"/>
    <mergeCell ref="B188:E188"/>
    <mergeCell ref="B195:E195"/>
    <mergeCell ref="B204:E204"/>
    <mergeCell ref="B206:E206"/>
    <mergeCell ref="B215:E215"/>
    <mergeCell ref="B216:E216"/>
    <mergeCell ref="B221:E221"/>
    <mergeCell ref="B225:E225"/>
    <mergeCell ref="B232:E232"/>
    <mergeCell ref="B234:E234"/>
    <mergeCell ref="B273:E273"/>
    <mergeCell ref="B277:E277"/>
    <mergeCell ref="B312:E312"/>
    <mergeCell ref="B325:E325"/>
    <mergeCell ref="B332:E332"/>
    <mergeCell ref="B347:E34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0"/>
  <sheetViews>
    <sheetView showFormulas="false" showGridLines="true" showRowColHeaders="true" showZeros="true" rightToLeft="false" tabSelected="false" showOutlineSymbols="true" defaultGridColor="true" view="normal" topLeftCell="A130" colorId="64" zoomScale="110" zoomScaleNormal="11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36" width="5.28"/>
    <col collapsed="false" customWidth="true" hidden="false" outlineLevel="0" max="2" min="2" style="936" width="58.14"/>
    <col collapsed="false" customWidth="true" hidden="false" outlineLevel="0" max="3" min="3" style="937" width="93.71"/>
    <col collapsed="false" customWidth="true" hidden="false" outlineLevel="0" max="4" min="4" style="938" width="10.12"/>
    <col collapsed="false" customWidth="true" hidden="false" outlineLevel="0" max="9" min="5" style="937" width="10.12"/>
    <col collapsed="false" customWidth="true" hidden="false" outlineLevel="0" max="10" min="10" style="937" width="15.88"/>
    <col collapsed="false" customWidth="true" hidden="false" outlineLevel="0" max="11" min="11" style="937" width="7.71"/>
    <col collapsed="false" customWidth="false" hidden="false" outlineLevel="0" max="1024" min="12" style="937" width="9.13"/>
  </cols>
  <sheetData>
    <row r="1" customFormat="false" ht="36.75" hidden="false" customHeight="true" outlineLevel="0" collapsed="false">
      <c r="A1" s="939" t="s">
        <v>2492</v>
      </c>
      <c r="B1" s="939"/>
      <c r="C1" s="939"/>
      <c r="D1" s="939"/>
      <c r="E1" s="939"/>
      <c r="F1" s="939"/>
      <c r="G1" s="939"/>
      <c r="H1" s="939"/>
      <c r="I1" s="939"/>
    </row>
    <row r="2" customFormat="false" ht="22.05" hidden="false" customHeight="false" outlineLevel="0" collapsed="false">
      <c r="A2" s="940" t="str">
        <f aca="false">T('[1]ПЛАСТИК АЛЮМИНИЙ'!A2:E2)</f>
        <v>ООО "Компания Феникс"</v>
      </c>
      <c r="B2" s="940"/>
      <c r="C2" s="940"/>
      <c r="D2" s="940"/>
      <c r="E2" s="940"/>
      <c r="F2" s="940"/>
      <c r="G2" s="940"/>
      <c r="H2" s="940"/>
      <c r="I2" s="940"/>
      <c r="J2" s="941"/>
      <c r="K2" s="941"/>
      <c r="L2" s="942"/>
      <c r="M2" s="942"/>
      <c r="N2" s="942"/>
      <c r="O2" s="942"/>
    </row>
    <row r="3" customFormat="false" ht="22.05" hidden="false" customHeight="false" outlineLevel="0" collapsed="false">
      <c r="A3" s="943" t="str">
        <f aca="false">T('[1]ПЛАСТИК АЛЮМИНИЙ'!A3:E3)</f>
        <v>Санкт-Петербург , ул. Цветочная 19</v>
      </c>
      <c r="B3" s="943"/>
      <c r="C3" s="943"/>
      <c r="D3" s="943"/>
      <c r="E3" s="943"/>
      <c r="F3" s="943"/>
      <c r="G3" s="943"/>
      <c r="H3" s="943"/>
      <c r="I3" s="943"/>
      <c r="J3" s="941"/>
      <c r="K3" s="941"/>
      <c r="L3" s="942"/>
      <c r="M3" s="942"/>
      <c r="N3" s="942"/>
      <c r="O3" s="942"/>
    </row>
    <row r="4" customFormat="false" ht="22.05" hidden="false" customHeight="false" outlineLevel="0" collapsed="false">
      <c r="A4" s="944" t="str">
        <f aca="false">T('[1]ПЛАСТИК АЛЮМИНИЙ'!A4:E4)</f>
        <v>Тел./факс (812)327-97-81,327-97-82, 327-66-17,371-88-50.</v>
      </c>
      <c r="B4" s="944"/>
      <c r="C4" s="944"/>
      <c r="D4" s="944"/>
      <c r="E4" s="944"/>
      <c r="F4" s="944"/>
      <c r="G4" s="944"/>
      <c r="H4" s="944"/>
      <c r="I4" s="944"/>
      <c r="J4" s="941"/>
      <c r="K4" s="941"/>
      <c r="L4" s="941"/>
      <c r="M4" s="941"/>
      <c r="N4" s="941"/>
      <c r="O4" s="941"/>
    </row>
    <row r="5" customFormat="false" ht="37.5" hidden="false" customHeight="true" outlineLevel="0" collapsed="false">
      <c r="A5" s="945" t="str">
        <f aca="false">T('[1]ПЛАСТИК АЛЮМИНИЙ'!A5:E5)</f>
        <v>E-mail: Ухаров Олег ukharov@fenixspb.com, Чапаева Елена chapaeva@fenixspb.com, Голосун Татьяна golosun@fenixspb.com, Рубиш Ольга rubish@fenixspb.com</v>
      </c>
      <c r="B5" s="945"/>
      <c r="C5" s="945"/>
      <c r="D5" s="945"/>
      <c r="E5" s="945"/>
      <c r="F5" s="945"/>
      <c r="G5" s="945"/>
      <c r="H5" s="945"/>
      <c r="I5" s="945"/>
      <c r="J5" s="946"/>
      <c r="K5" s="946"/>
      <c r="L5" s="941"/>
      <c r="M5" s="941"/>
      <c r="N5" s="941"/>
      <c r="O5" s="941"/>
    </row>
    <row r="6" customFormat="false" ht="17.35" hidden="false" customHeight="false" outlineLevel="0" collapsed="false">
      <c r="A6" s="947" t="s">
        <v>1611</v>
      </c>
      <c r="B6" s="947"/>
      <c r="C6" s="947"/>
      <c r="D6" s="947"/>
      <c r="E6" s="947"/>
      <c r="F6" s="947"/>
      <c r="G6" s="947"/>
      <c r="H6" s="947"/>
      <c r="I6" s="947"/>
      <c r="J6" s="948"/>
      <c r="K6" s="948"/>
    </row>
    <row r="7" customFormat="false" ht="24.05" hidden="false" customHeight="false" outlineLevel="0" collapsed="false">
      <c r="A7" s="949" t="s">
        <v>2493</v>
      </c>
      <c r="B7" s="950" t="s">
        <v>345</v>
      </c>
      <c r="C7" s="951" t="s">
        <v>2494</v>
      </c>
      <c r="D7" s="952" t="s">
        <v>2495</v>
      </c>
      <c r="E7" s="953" t="s">
        <v>855</v>
      </c>
      <c r="F7" s="954" t="s">
        <v>856</v>
      </c>
      <c r="G7" s="954" t="s">
        <v>857</v>
      </c>
      <c r="H7" s="954" t="s">
        <v>858</v>
      </c>
      <c r="I7" s="955" t="s">
        <v>859</v>
      </c>
    </row>
    <row r="8" customFormat="false" ht="17" hidden="false" customHeight="true" outlineLevel="0" collapsed="false">
      <c r="A8" s="956"/>
      <c r="B8" s="957" t="s">
        <v>2496</v>
      </c>
      <c r="C8" s="957"/>
      <c r="D8" s="958"/>
      <c r="E8" s="958"/>
      <c r="F8" s="958"/>
      <c r="G8" s="958"/>
      <c r="H8" s="958"/>
      <c r="I8" s="958"/>
    </row>
    <row r="9" customFormat="false" ht="12.75" hidden="false" customHeight="true" outlineLevel="0" collapsed="false">
      <c r="A9" s="532" t="n">
        <v>1</v>
      </c>
      <c r="B9" s="959" t="s">
        <v>2497</v>
      </c>
      <c r="C9" s="960" t="s">
        <v>2498</v>
      </c>
      <c r="D9" s="961" t="n">
        <v>159.01804257</v>
      </c>
      <c r="E9" s="961" t="n">
        <v>154.2475012929</v>
      </c>
      <c r="F9" s="961" t="n">
        <v>149.4769600158</v>
      </c>
      <c r="G9" s="961" t="n">
        <v>144.7064187387</v>
      </c>
      <c r="H9" s="961" t="n">
        <v>139.9358774616</v>
      </c>
      <c r="I9" s="962" t="n">
        <v>135.1653361845</v>
      </c>
    </row>
    <row r="10" customFormat="false" ht="12.75" hidden="false" customHeight="true" outlineLevel="0" collapsed="false">
      <c r="A10" s="532" t="n">
        <v>2</v>
      </c>
      <c r="B10" s="959" t="s">
        <v>1612</v>
      </c>
      <c r="C10" s="960" t="s">
        <v>2499</v>
      </c>
      <c r="D10" s="963" t="n">
        <v>159.01804257</v>
      </c>
      <c r="E10" s="963" t="n">
        <v>154.2475012929</v>
      </c>
      <c r="F10" s="963" t="n">
        <v>149.4769600158</v>
      </c>
      <c r="G10" s="963" t="n">
        <v>144.7064187387</v>
      </c>
      <c r="H10" s="963" t="n">
        <v>139.9358774616</v>
      </c>
      <c r="I10" s="964" t="n">
        <v>135.1653361845</v>
      </c>
    </row>
    <row r="11" customFormat="false" ht="12.75" hidden="false" customHeight="true" outlineLevel="0" collapsed="false">
      <c r="A11" s="532" t="n">
        <v>3</v>
      </c>
      <c r="B11" s="965" t="s">
        <v>1613</v>
      </c>
      <c r="C11" s="966" t="s">
        <v>2500</v>
      </c>
      <c r="D11" s="967" t="n">
        <v>124.9429</v>
      </c>
      <c r="E11" s="967" t="n">
        <v>121.194613</v>
      </c>
      <c r="F11" s="967" t="n">
        <v>117.446326</v>
      </c>
      <c r="G11" s="967" t="n">
        <v>113.698039</v>
      </c>
      <c r="H11" s="967" t="n">
        <v>109.949752</v>
      </c>
      <c r="I11" s="968" t="n">
        <v>106.201465</v>
      </c>
    </row>
    <row r="12" customFormat="false" ht="12.75" hidden="false" customHeight="true" outlineLevel="0" collapsed="false">
      <c r="A12" s="532" t="n">
        <v>4</v>
      </c>
      <c r="B12" s="965" t="s">
        <v>1614</v>
      </c>
      <c r="C12" s="966" t="s">
        <v>2501</v>
      </c>
      <c r="D12" s="967" t="n">
        <v>113.58447592</v>
      </c>
      <c r="E12" s="967" t="n">
        <v>110.1769416424</v>
      </c>
      <c r="F12" s="967" t="n">
        <v>106.7694073648</v>
      </c>
      <c r="G12" s="967" t="n">
        <v>103.3618730872</v>
      </c>
      <c r="H12" s="967" t="n">
        <v>99.9543388096</v>
      </c>
      <c r="I12" s="968" t="n">
        <v>96.546804532</v>
      </c>
    </row>
    <row r="13" customFormat="false" ht="12.75" hidden="false" customHeight="true" outlineLevel="0" collapsed="false">
      <c r="A13" s="532" t="n">
        <v>5</v>
      </c>
      <c r="B13" s="965" t="s">
        <v>1615</v>
      </c>
      <c r="C13" s="966" t="s">
        <v>2502</v>
      </c>
      <c r="D13" s="967" t="n">
        <v>131.1901</v>
      </c>
      <c r="E13" s="967" t="n">
        <v>127.254397</v>
      </c>
      <c r="F13" s="967" t="n">
        <v>123.318694</v>
      </c>
      <c r="G13" s="967" t="n">
        <v>119.382991</v>
      </c>
      <c r="H13" s="967" t="n">
        <v>115.447288</v>
      </c>
      <c r="I13" s="968" t="n">
        <v>111.511585</v>
      </c>
    </row>
    <row r="14" customFormat="false" ht="12.75" hidden="false" customHeight="true" outlineLevel="0" collapsed="false">
      <c r="A14" s="532" t="n">
        <v>6</v>
      </c>
      <c r="B14" s="965" t="s">
        <v>2503</v>
      </c>
      <c r="C14" s="966" t="s">
        <v>2504</v>
      </c>
      <c r="D14" s="967" t="n">
        <v>149.45318286</v>
      </c>
      <c r="E14" s="967" t="n">
        <v>144.9695873742</v>
      </c>
      <c r="F14" s="967" t="n">
        <v>140.4859918884</v>
      </c>
      <c r="G14" s="967" t="n">
        <v>136.0023964026</v>
      </c>
      <c r="H14" s="967" t="n">
        <v>131.5188009168</v>
      </c>
      <c r="I14" s="968" t="n">
        <v>127.035205431</v>
      </c>
    </row>
    <row r="15" customFormat="false" ht="12.75" hidden="false" customHeight="true" outlineLevel="0" collapsed="false">
      <c r="A15" s="532" t="n">
        <v>7</v>
      </c>
      <c r="B15" s="965" t="s">
        <v>1618</v>
      </c>
      <c r="C15" s="966" t="s">
        <v>2505</v>
      </c>
      <c r="D15" s="967" t="n">
        <v>58.90515278</v>
      </c>
      <c r="E15" s="967" t="n">
        <v>57.1379981966</v>
      </c>
      <c r="F15" s="967" t="n">
        <v>55.3708436132</v>
      </c>
      <c r="G15" s="967" t="n">
        <v>53.6036890298</v>
      </c>
      <c r="H15" s="967" t="n">
        <v>51.8365344464</v>
      </c>
      <c r="I15" s="968" t="n">
        <v>50.069379863</v>
      </c>
    </row>
    <row r="16" customFormat="false" ht="12.75" hidden="false" customHeight="true" outlineLevel="0" collapsed="false">
      <c r="A16" s="532" t="n">
        <v>8</v>
      </c>
      <c r="B16" s="965" t="s">
        <v>1619</v>
      </c>
      <c r="C16" s="966" t="s">
        <v>2505</v>
      </c>
      <c r="D16" s="967" t="n">
        <v>61.84511237</v>
      </c>
      <c r="E16" s="967" t="n">
        <v>59.9897589989</v>
      </c>
      <c r="F16" s="967" t="n">
        <v>58.1344056278</v>
      </c>
      <c r="G16" s="967" t="n">
        <v>56.2790522567</v>
      </c>
      <c r="H16" s="967" t="n">
        <v>54.4236988856</v>
      </c>
      <c r="I16" s="968" t="n">
        <v>52.5683455145</v>
      </c>
    </row>
    <row r="17" customFormat="false" ht="12.75" hidden="false" customHeight="true" outlineLevel="0" collapsed="false">
      <c r="A17" s="532" t="n">
        <v>9</v>
      </c>
      <c r="B17" s="965" t="s">
        <v>2506</v>
      </c>
      <c r="C17" s="966" t="s">
        <v>2507</v>
      </c>
      <c r="D17" s="967" t="n">
        <v>61.8463</v>
      </c>
      <c r="E17" s="967" t="n">
        <v>59.990911</v>
      </c>
      <c r="F17" s="967" t="n">
        <v>58.135522</v>
      </c>
      <c r="G17" s="967" t="n">
        <v>56.280133</v>
      </c>
      <c r="H17" s="967" t="n">
        <v>54.424744</v>
      </c>
      <c r="I17" s="968" t="n">
        <v>52.569355</v>
      </c>
    </row>
    <row r="18" customFormat="false" ht="12.75" hidden="false" customHeight="true" outlineLevel="0" collapsed="false">
      <c r="A18" s="532" t="n">
        <v>10</v>
      </c>
      <c r="B18" s="965" t="s">
        <v>2508</v>
      </c>
      <c r="C18" s="966" t="s">
        <v>2507</v>
      </c>
      <c r="D18" s="967" t="n">
        <v>61.8463</v>
      </c>
      <c r="E18" s="967" t="n">
        <v>59.990911</v>
      </c>
      <c r="F18" s="967" t="n">
        <v>58.135522</v>
      </c>
      <c r="G18" s="967" t="n">
        <v>56.280133</v>
      </c>
      <c r="H18" s="967" t="n">
        <v>54.424744</v>
      </c>
      <c r="I18" s="968" t="n">
        <v>52.569355</v>
      </c>
    </row>
    <row r="19" customFormat="false" ht="12.75" hidden="false" customHeight="true" outlineLevel="0" collapsed="false">
      <c r="A19" s="532" t="n">
        <v>11</v>
      </c>
      <c r="B19" s="965" t="s">
        <v>1622</v>
      </c>
      <c r="C19" s="966" t="s">
        <v>2509</v>
      </c>
      <c r="D19" s="967" t="n">
        <v>103.69054737</v>
      </c>
      <c r="E19" s="967" t="n">
        <v>100.5798309489</v>
      </c>
      <c r="F19" s="967" t="n">
        <v>97.4691145278</v>
      </c>
      <c r="G19" s="967" t="n">
        <v>94.3583981067</v>
      </c>
      <c r="H19" s="967" t="n">
        <v>91.2476816856</v>
      </c>
      <c r="I19" s="968" t="n">
        <v>88.1369652645</v>
      </c>
    </row>
    <row r="20" customFormat="false" ht="12.75" hidden="false" customHeight="true" outlineLevel="0" collapsed="false">
      <c r="A20" s="532" t="n">
        <v>12</v>
      </c>
      <c r="B20" s="965" t="s">
        <v>1623</v>
      </c>
      <c r="C20" s="966" t="s">
        <v>2509</v>
      </c>
      <c r="D20" s="967" t="n">
        <v>103.69054737</v>
      </c>
      <c r="E20" s="967" t="n">
        <v>100.5798309489</v>
      </c>
      <c r="F20" s="967" t="n">
        <v>97.4691145278</v>
      </c>
      <c r="G20" s="967" t="n">
        <v>94.3583981067</v>
      </c>
      <c r="H20" s="967" t="n">
        <v>91.2476816856</v>
      </c>
      <c r="I20" s="968" t="n">
        <v>88.1369652645</v>
      </c>
    </row>
    <row r="21" customFormat="false" ht="12.75" hidden="false" customHeight="true" outlineLevel="0" collapsed="false">
      <c r="A21" s="532" t="n">
        <v>13</v>
      </c>
      <c r="B21" s="965" t="s">
        <v>2510</v>
      </c>
      <c r="C21" s="966" t="s">
        <v>2511</v>
      </c>
      <c r="D21" s="967" t="n">
        <v>106.0389</v>
      </c>
      <c r="E21" s="967" t="n">
        <v>102.857733</v>
      </c>
      <c r="F21" s="967" t="n">
        <v>99.676566</v>
      </c>
      <c r="G21" s="967" t="n">
        <v>96.495399</v>
      </c>
      <c r="H21" s="967" t="n">
        <v>93.314232</v>
      </c>
      <c r="I21" s="968" t="n">
        <v>90.133065</v>
      </c>
    </row>
    <row r="22" customFormat="false" ht="12.75" hidden="false" customHeight="true" outlineLevel="0" collapsed="false">
      <c r="A22" s="532" t="n">
        <v>14</v>
      </c>
      <c r="B22" s="965" t="s">
        <v>2512</v>
      </c>
      <c r="C22" s="966" t="s">
        <v>2511</v>
      </c>
      <c r="D22" s="967" t="n">
        <v>106.0389</v>
      </c>
      <c r="E22" s="967" t="n">
        <v>102.857733</v>
      </c>
      <c r="F22" s="967" t="n">
        <v>99.676566</v>
      </c>
      <c r="G22" s="967" t="n">
        <v>96.495399</v>
      </c>
      <c r="H22" s="967" t="n">
        <v>93.314232</v>
      </c>
      <c r="I22" s="968" t="n">
        <v>90.133065</v>
      </c>
    </row>
    <row r="23" customFormat="false" ht="12.75" hidden="false" customHeight="true" outlineLevel="0" collapsed="false">
      <c r="A23" s="532" t="n">
        <v>15</v>
      </c>
      <c r="B23" s="965" t="s">
        <v>2513</v>
      </c>
      <c r="C23" s="966" t="s">
        <v>2514</v>
      </c>
      <c r="D23" s="967" t="n">
        <v>114.5219634</v>
      </c>
      <c r="E23" s="967" t="n">
        <v>111.086304498</v>
      </c>
      <c r="F23" s="967" t="n">
        <v>107.650645596</v>
      </c>
      <c r="G23" s="967" t="n">
        <v>104.214986694</v>
      </c>
      <c r="H23" s="967" t="n">
        <v>100.779327792</v>
      </c>
      <c r="I23" s="968" t="n">
        <v>97.34366889</v>
      </c>
    </row>
    <row r="24" customFormat="false" ht="12.75" hidden="false" customHeight="true" outlineLevel="0" collapsed="false">
      <c r="A24" s="532" t="n">
        <v>16</v>
      </c>
      <c r="B24" s="965" t="s">
        <v>2515</v>
      </c>
      <c r="C24" s="966" t="s">
        <v>2514</v>
      </c>
      <c r="D24" s="967" t="n">
        <v>114.5219634</v>
      </c>
      <c r="E24" s="967" t="n">
        <v>111.086304498</v>
      </c>
      <c r="F24" s="967" t="n">
        <v>107.650645596</v>
      </c>
      <c r="G24" s="967" t="n">
        <v>104.214986694</v>
      </c>
      <c r="H24" s="967" t="n">
        <v>100.779327792</v>
      </c>
      <c r="I24" s="968" t="n">
        <v>97.34366889</v>
      </c>
    </row>
    <row r="25" customFormat="false" ht="12.75" hidden="false" customHeight="true" outlineLevel="0" collapsed="false">
      <c r="A25" s="532" t="n">
        <v>17</v>
      </c>
      <c r="B25" s="965" t="s">
        <v>2516</v>
      </c>
      <c r="C25" s="966" t="s">
        <v>2517</v>
      </c>
      <c r="D25" s="967" t="n">
        <v>121.4956</v>
      </c>
      <c r="E25" s="967" t="n">
        <v>117.850732</v>
      </c>
      <c r="F25" s="967" t="n">
        <v>114.205864</v>
      </c>
      <c r="G25" s="967" t="n">
        <v>110.560996</v>
      </c>
      <c r="H25" s="967" t="n">
        <v>106.916128</v>
      </c>
      <c r="I25" s="968" t="n">
        <v>103.27126</v>
      </c>
    </row>
    <row r="26" customFormat="false" ht="12.75" hidden="false" customHeight="true" outlineLevel="0" collapsed="false">
      <c r="A26" s="532" t="n">
        <v>18</v>
      </c>
      <c r="B26" s="965" t="s">
        <v>2518</v>
      </c>
      <c r="C26" s="966" t="s">
        <v>2517</v>
      </c>
      <c r="D26" s="967" t="n">
        <v>121.4956</v>
      </c>
      <c r="E26" s="967" t="n">
        <v>117.850732</v>
      </c>
      <c r="F26" s="967" t="n">
        <v>114.205864</v>
      </c>
      <c r="G26" s="967" t="n">
        <v>110.560996</v>
      </c>
      <c r="H26" s="967" t="n">
        <v>106.916128</v>
      </c>
      <c r="I26" s="968" t="n">
        <v>103.27126</v>
      </c>
    </row>
    <row r="27" customFormat="false" ht="12.75" hidden="false" customHeight="true" outlineLevel="0" collapsed="false">
      <c r="A27" s="532" t="n">
        <v>19</v>
      </c>
      <c r="B27" s="965" t="s">
        <v>1630</v>
      </c>
      <c r="C27" s="966" t="s">
        <v>2519</v>
      </c>
      <c r="D27" s="967" t="n">
        <v>169.09562326</v>
      </c>
      <c r="E27" s="967" t="n">
        <v>164.0227545622</v>
      </c>
      <c r="F27" s="967" t="n">
        <v>158.9498858644</v>
      </c>
      <c r="G27" s="967" t="n">
        <v>153.8770171666</v>
      </c>
      <c r="H27" s="967" t="n">
        <v>148.8041484688</v>
      </c>
      <c r="I27" s="968" t="n">
        <v>143.731279771</v>
      </c>
    </row>
    <row r="28" customFormat="false" ht="12.75" hidden="false" customHeight="true" outlineLevel="0" collapsed="false">
      <c r="A28" s="532" t="n">
        <v>20</v>
      </c>
      <c r="B28" s="965" t="s">
        <v>2520</v>
      </c>
      <c r="C28" s="966" t="s">
        <v>2521</v>
      </c>
      <c r="D28" s="967" t="n">
        <v>171.4258</v>
      </c>
      <c r="E28" s="967" t="n">
        <v>166.283026</v>
      </c>
      <c r="F28" s="967" t="n">
        <v>161.140252</v>
      </c>
      <c r="G28" s="967" t="n">
        <v>155.997478</v>
      </c>
      <c r="H28" s="967" t="n">
        <v>150.854704</v>
      </c>
      <c r="I28" s="968" t="n">
        <v>145.71193</v>
      </c>
    </row>
    <row r="29" customFormat="false" ht="12.75" hidden="false" customHeight="true" outlineLevel="0" collapsed="false">
      <c r="A29" s="532" t="n">
        <v>21</v>
      </c>
      <c r="B29" s="965" t="s">
        <v>2522</v>
      </c>
      <c r="C29" s="966" t="s">
        <v>2523</v>
      </c>
      <c r="D29" s="967" t="n">
        <v>0.23459883</v>
      </c>
      <c r="E29" s="967" t="n">
        <v>0.2275608651</v>
      </c>
      <c r="F29" s="967" t="n">
        <v>0.2205229002</v>
      </c>
      <c r="G29" s="967" t="n">
        <v>0.2134849353</v>
      </c>
      <c r="H29" s="967" t="n">
        <v>0.2064469704</v>
      </c>
      <c r="I29" s="968" t="n">
        <v>0.1994090055</v>
      </c>
    </row>
    <row r="30" customFormat="false" ht="12.75" hidden="false" customHeight="true" outlineLevel="0" collapsed="false">
      <c r="A30" s="532" t="n">
        <v>22</v>
      </c>
      <c r="B30" s="965" t="s">
        <v>2524</v>
      </c>
      <c r="C30" s="966" t="s">
        <v>2525</v>
      </c>
      <c r="D30" s="967" t="n">
        <v>1.31942775</v>
      </c>
      <c r="E30" s="967" t="n">
        <v>1.2798449175</v>
      </c>
      <c r="F30" s="967" t="n">
        <v>1.240262085</v>
      </c>
      <c r="G30" s="967" t="n">
        <v>1.2006792525</v>
      </c>
      <c r="H30" s="967" t="n">
        <v>1.16109642</v>
      </c>
      <c r="I30" s="968" t="n">
        <v>1.1215135875</v>
      </c>
    </row>
    <row r="31" customFormat="false" ht="12.75" hidden="false" customHeight="true" outlineLevel="0" collapsed="false">
      <c r="A31" s="532" t="n">
        <v>23</v>
      </c>
      <c r="B31" s="965" t="s">
        <v>680</v>
      </c>
      <c r="C31" s="966" t="s">
        <v>2526</v>
      </c>
      <c r="D31" s="967" t="n">
        <v>0.73308</v>
      </c>
      <c r="E31" s="967" t="n">
        <v>0.7110876</v>
      </c>
      <c r="F31" s="967" t="n">
        <v>0.6890952</v>
      </c>
      <c r="G31" s="967" t="n">
        <v>0.6671028</v>
      </c>
      <c r="H31" s="967" t="n">
        <v>0.6451104</v>
      </c>
      <c r="I31" s="968" t="n">
        <v>0.623118</v>
      </c>
    </row>
    <row r="32" customFormat="false" ht="12.75" hidden="false" customHeight="true" outlineLevel="0" collapsed="false">
      <c r="A32" s="532" t="n">
        <v>24</v>
      </c>
      <c r="B32" s="965" t="s">
        <v>681</v>
      </c>
      <c r="C32" s="966" t="s">
        <v>2526</v>
      </c>
      <c r="D32" s="967" t="n">
        <v>0.93839532</v>
      </c>
      <c r="E32" s="967" t="n">
        <v>0.9102434604</v>
      </c>
      <c r="F32" s="967" t="n">
        <v>0.8820916008</v>
      </c>
      <c r="G32" s="967" t="n">
        <v>0.8539397412</v>
      </c>
      <c r="H32" s="967" t="n">
        <v>0.8257878816</v>
      </c>
      <c r="I32" s="968" t="n">
        <v>0.797636022</v>
      </c>
    </row>
    <row r="33" customFormat="false" ht="12.75" hidden="false" customHeight="true" outlineLevel="0" collapsed="false">
      <c r="A33" s="532" t="n">
        <v>25</v>
      </c>
      <c r="B33" s="965" t="s">
        <v>1633</v>
      </c>
      <c r="C33" s="966" t="s">
        <v>2527</v>
      </c>
      <c r="D33" s="967" t="n">
        <v>1.6065</v>
      </c>
      <c r="E33" s="967" t="n">
        <v>1.558305</v>
      </c>
      <c r="F33" s="967" t="n">
        <v>1.51011</v>
      </c>
      <c r="G33" s="967" t="n">
        <v>1.461915</v>
      </c>
      <c r="H33" s="967" t="n">
        <v>1.41372</v>
      </c>
      <c r="I33" s="968" t="n">
        <v>1.365525</v>
      </c>
    </row>
    <row r="34" customFormat="false" ht="12.75" hidden="false" customHeight="true" outlineLevel="0" collapsed="false">
      <c r="A34" s="532" t="n">
        <v>26</v>
      </c>
      <c r="B34" s="965" t="s">
        <v>1634</v>
      </c>
      <c r="C34" s="966" t="s">
        <v>2528</v>
      </c>
      <c r="D34" s="967" t="n">
        <v>2.47503291</v>
      </c>
      <c r="E34" s="967" t="n">
        <v>2.4007819227</v>
      </c>
      <c r="F34" s="967" t="n">
        <v>2.3265309354</v>
      </c>
      <c r="G34" s="967" t="n">
        <v>2.2522799481</v>
      </c>
      <c r="H34" s="967" t="n">
        <v>2.1780289608</v>
      </c>
      <c r="I34" s="968" t="n">
        <v>2.1037779735</v>
      </c>
    </row>
    <row r="35" customFormat="false" ht="12.75" hidden="false" customHeight="true" outlineLevel="0" collapsed="false">
      <c r="A35" s="532" t="n">
        <v>27</v>
      </c>
      <c r="B35" s="965" t="s">
        <v>1635</v>
      </c>
      <c r="C35" s="966" t="s">
        <v>2529</v>
      </c>
      <c r="D35" s="967" t="n">
        <v>3.07937658</v>
      </c>
      <c r="E35" s="967" t="n">
        <v>2.9869952826</v>
      </c>
      <c r="F35" s="967" t="n">
        <v>2.8946139852</v>
      </c>
      <c r="G35" s="967" t="n">
        <v>2.8022326878</v>
      </c>
      <c r="H35" s="967" t="n">
        <v>2.7098513904</v>
      </c>
      <c r="I35" s="968" t="n">
        <v>2.617470093</v>
      </c>
    </row>
    <row r="36" customFormat="false" ht="12.75" hidden="false" customHeight="true" outlineLevel="0" collapsed="false">
      <c r="A36" s="532" t="n">
        <v>28</v>
      </c>
      <c r="B36" s="965" t="s">
        <v>1636</v>
      </c>
      <c r="C36" s="966" t="s">
        <v>2530</v>
      </c>
      <c r="D36" s="967" t="n">
        <v>3.13022158</v>
      </c>
      <c r="E36" s="967" t="n">
        <v>3.0363149326</v>
      </c>
      <c r="F36" s="967" t="n">
        <v>2.9424082852</v>
      </c>
      <c r="G36" s="967" t="n">
        <v>2.8485016378</v>
      </c>
      <c r="H36" s="967" t="n">
        <v>2.7545949904</v>
      </c>
      <c r="I36" s="968" t="n">
        <v>2.660688343</v>
      </c>
    </row>
    <row r="37" customFormat="false" ht="12.75" hidden="false" customHeight="true" outlineLevel="0" collapsed="false">
      <c r="A37" s="532" t="n">
        <v>29</v>
      </c>
      <c r="B37" s="965" t="s">
        <v>1637</v>
      </c>
      <c r="C37" s="966" t="s">
        <v>2531</v>
      </c>
      <c r="D37" s="967" t="n">
        <v>1.89784047</v>
      </c>
      <c r="E37" s="967" t="n">
        <v>1.8409052559</v>
      </c>
      <c r="F37" s="967" t="n">
        <v>1.7839700418</v>
      </c>
      <c r="G37" s="967" t="n">
        <v>1.7270348277</v>
      </c>
      <c r="H37" s="967" t="n">
        <v>1.6700996136</v>
      </c>
      <c r="I37" s="968" t="n">
        <v>1.6131643995</v>
      </c>
    </row>
    <row r="38" customFormat="false" ht="12.75" hidden="false" customHeight="true" outlineLevel="0" collapsed="false">
      <c r="A38" s="532" t="n">
        <v>30</v>
      </c>
      <c r="B38" s="965" t="s">
        <v>1638</v>
      </c>
      <c r="C38" s="966" t="s">
        <v>2532</v>
      </c>
      <c r="D38" s="967" t="n">
        <v>2.33958183</v>
      </c>
      <c r="E38" s="967" t="n">
        <v>2.2693943751</v>
      </c>
      <c r="F38" s="967" t="n">
        <v>2.1992069202</v>
      </c>
      <c r="G38" s="967" t="n">
        <v>2.1290194653</v>
      </c>
      <c r="H38" s="967" t="n">
        <v>2.0588320104</v>
      </c>
      <c r="I38" s="968" t="n">
        <v>1.9886445555</v>
      </c>
    </row>
    <row r="39" customFormat="false" ht="12.75" hidden="false" customHeight="true" outlineLevel="0" collapsed="false">
      <c r="A39" s="532" t="n">
        <v>31</v>
      </c>
      <c r="B39" s="965" t="s">
        <v>1639</v>
      </c>
      <c r="C39" s="966" t="s">
        <v>2533</v>
      </c>
      <c r="D39" s="967" t="n">
        <v>2.38859641</v>
      </c>
      <c r="E39" s="967" t="n">
        <v>2.3169385177</v>
      </c>
      <c r="F39" s="967" t="n">
        <v>2.2452806254</v>
      </c>
      <c r="G39" s="967" t="n">
        <v>2.1736227331</v>
      </c>
      <c r="H39" s="967" t="n">
        <v>2.1019648408</v>
      </c>
      <c r="I39" s="968" t="n">
        <v>2.0303069485</v>
      </c>
    </row>
    <row r="40" customFormat="false" ht="12.75" hidden="false" customHeight="true" outlineLevel="0" collapsed="false">
      <c r="A40" s="532" t="n">
        <v>32</v>
      </c>
      <c r="B40" s="965" t="s">
        <v>1640</v>
      </c>
      <c r="C40" s="966" t="s">
        <v>2534</v>
      </c>
      <c r="D40" s="967" t="n">
        <v>0.7471</v>
      </c>
      <c r="E40" s="967" t="n">
        <v>0.724687</v>
      </c>
      <c r="F40" s="967" t="n">
        <v>0.702274</v>
      </c>
      <c r="G40" s="967" t="n">
        <v>0.679861</v>
      </c>
      <c r="H40" s="967" t="n">
        <v>0.657448</v>
      </c>
      <c r="I40" s="968" t="n">
        <v>0.635035</v>
      </c>
    </row>
    <row r="41" customFormat="false" ht="12.75" hidden="false" customHeight="true" outlineLevel="0" collapsed="false">
      <c r="A41" s="532" t="n">
        <v>33</v>
      </c>
      <c r="B41" s="965" t="s">
        <v>1641</v>
      </c>
      <c r="C41" s="966" t="s">
        <v>2535</v>
      </c>
      <c r="D41" s="967" t="n">
        <v>0.82501097</v>
      </c>
      <c r="E41" s="967" t="n">
        <v>0.8002606409</v>
      </c>
      <c r="F41" s="967" t="n">
        <v>0.7755103118</v>
      </c>
      <c r="G41" s="967" t="n">
        <v>0.7507599827</v>
      </c>
      <c r="H41" s="967" t="n">
        <v>0.7260096536</v>
      </c>
      <c r="I41" s="968" t="n">
        <v>0.7012593245</v>
      </c>
    </row>
    <row r="42" customFormat="false" ht="12.75" hidden="false" customHeight="true" outlineLevel="0" collapsed="false">
      <c r="A42" s="532" t="n">
        <v>34</v>
      </c>
      <c r="B42" s="965" t="s">
        <v>1642</v>
      </c>
      <c r="C42" s="966" t="s">
        <v>2536</v>
      </c>
      <c r="D42" s="967" t="n">
        <v>0.86344979</v>
      </c>
      <c r="E42" s="967" t="n">
        <v>0.8375462963</v>
      </c>
      <c r="F42" s="967" t="n">
        <v>0.8116428026</v>
      </c>
      <c r="G42" s="967" t="n">
        <v>0.7857393089</v>
      </c>
      <c r="H42" s="967" t="n">
        <v>0.7598358152</v>
      </c>
      <c r="I42" s="968" t="n">
        <v>0.7339323215</v>
      </c>
    </row>
    <row r="43" customFormat="false" ht="12.75" hidden="false" customHeight="true" outlineLevel="0" collapsed="false">
      <c r="A43" s="532" t="n">
        <v>35</v>
      </c>
      <c r="B43" s="965" t="s">
        <v>1643</v>
      </c>
      <c r="C43" s="966" t="s">
        <v>2537</v>
      </c>
      <c r="D43" s="967" t="n">
        <v>0.8633481</v>
      </c>
      <c r="E43" s="967" t="n">
        <v>0.837447657</v>
      </c>
      <c r="F43" s="967" t="n">
        <v>0.811547214</v>
      </c>
      <c r="G43" s="967" t="n">
        <v>0.785646771</v>
      </c>
      <c r="H43" s="967" t="n">
        <v>0.759746328</v>
      </c>
      <c r="I43" s="968" t="n">
        <v>0.733845885</v>
      </c>
    </row>
    <row r="44" customFormat="false" ht="12.75" hidden="false" customHeight="true" outlineLevel="0" collapsed="false">
      <c r="A44" s="532" t="n">
        <v>36</v>
      </c>
      <c r="B44" s="965" t="s">
        <v>1644</v>
      </c>
      <c r="C44" s="966" t="s">
        <v>2538</v>
      </c>
      <c r="D44" s="967" t="n">
        <v>0.8633481</v>
      </c>
      <c r="E44" s="967" t="n">
        <v>0.837447657</v>
      </c>
      <c r="F44" s="967" t="n">
        <v>0.811547214</v>
      </c>
      <c r="G44" s="967" t="n">
        <v>0.785646771</v>
      </c>
      <c r="H44" s="967" t="n">
        <v>0.759746328</v>
      </c>
      <c r="I44" s="968" t="n">
        <v>0.733845885</v>
      </c>
    </row>
    <row r="45" customFormat="false" ht="12.75" hidden="false" customHeight="true" outlineLevel="0" collapsed="false">
      <c r="A45" s="532" t="n">
        <v>37</v>
      </c>
      <c r="B45" s="965" t="s">
        <v>1645</v>
      </c>
      <c r="C45" s="966" t="s">
        <v>2539</v>
      </c>
      <c r="D45" s="967" t="n">
        <v>0.97124119</v>
      </c>
      <c r="E45" s="967" t="n">
        <v>0.9421039543</v>
      </c>
      <c r="F45" s="967" t="n">
        <v>0.9129667186</v>
      </c>
      <c r="G45" s="967" t="n">
        <v>0.8838294829</v>
      </c>
      <c r="H45" s="967" t="n">
        <v>0.8546922472</v>
      </c>
      <c r="I45" s="968" t="n">
        <v>0.8255550115</v>
      </c>
    </row>
    <row r="46" customFormat="false" ht="12.75" hidden="false" customHeight="true" outlineLevel="0" collapsed="false">
      <c r="A46" s="532" t="n">
        <v>38</v>
      </c>
      <c r="B46" s="965" t="s">
        <v>1646</v>
      </c>
      <c r="C46" s="966" t="s">
        <v>2540</v>
      </c>
      <c r="D46" s="967" t="n">
        <v>0.97124119</v>
      </c>
      <c r="E46" s="967" t="n">
        <v>0.9421039543</v>
      </c>
      <c r="F46" s="967" t="n">
        <v>0.9129667186</v>
      </c>
      <c r="G46" s="967" t="n">
        <v>0.8838294829</v>
      </c>
      <c r="H46" s="967" t="n">
        <v>0.8546922472</v>
      </c>
      <c r="I46" s="968" t="n">
        <v>0.8255550115</v>
      </c>
    </row>
    <row r="47" customFormat="false" ht="12.75" hidden="false" customHeight="true" outlineLevel="0" collapsed="false">
      <c r="A47" s="532" t="n">
        <v>39</v>
      </c>
      <c r="B47" s="965" t="s">
        <v>1647</v>
      </c>
      <c r="C47" s="966" t="s">
        <v>2541</v>
      </c>
      <c r="D47" s="967" t="n">
        <v>1.10974297</v>
      </c>
      <c r="E47" s="967" t="n">
        <v>1.0764506809</v>
      </c>
      <c r="F47" s="967" t="n">
        <v>1.0431583918</v>
      </c>
      <c r="G47" s="967" t="n">
        <v>1.0098661027</v>
      </c>
      <c r="H47" s="967" t="n">
        <v>0.9765738136</v>
      </c>
      <c r="I47" s="968" t="n">
        <v>0.9432815245</v>
      </c>
    </row>
    <row r="48" customFormat="false" ht="12.75" hidden="false" customHeight="true" outlineLevel="0" collapsed="false">
      <c r="A48" s="532" t="n">
        <v>40</v>
      </c>
      <c r="B48" s="965" t="s">
        <v>1648</v>
      </c>
      <c r="C48" s="966" t="s">
        <v>2542</v>
      </c>
      <c r="D48" s="967" t="n">
        <v>1.18723075</v>
      </c>
      <c r="E48" s="967" t="n">
        <v>1.1516138275</v>
      </c>
      <c r="F48" s="967" t="n">
        <v>1.115996905</v>
      </c>
      <c r="G48" s="967" t="n">
        <v>1.0803799825</v>
      </c>
      <c r="H48" s="967" t="n">
        <v>1.04476306</v>
      </c>
      <c r="I48" s="968" t="n">
        <v>1.0091461375</v>
      </c>
    </row>
    <row r="49" customFormat="false" ht="12.75" hidden="false" customHeight="true" outlineLevel="0" collapsed="false">
      <c r="A49" s="532" t="n">
        <v>41</v>
      </c>
      <c r="B49" s="965" t="s">
        <v>1649</v>
      </c>
      <c r="C49" s="966" t="s">
        <v>2543</v>
      </c>
      <c r="D49" s="967" t="n">
        <v>1.80377722</v>
      </c>
      <c r="E49" s="967" t="n">
        <v>1.7496639034</v>
      </c>
      <c r="F49" s="967" t="n">
        <v>1.6955505868</v>
      </c>
      <c r="G49" s="967" t="n">
        <v>1.6414372702</v>
      </c>
      <c r="H49" s="967" t="n">
        <v>1.5873239536</v>
      </c>
      <c r="I49" s="968" t="n">
        <v>1.533210637</v>
      </c>
    </row>
    <row r="50" customFormat="false" ht="12.75" hidden="false" customHeight="true" outlineLevel="0" collapsed="false">
      <c r="A50" s="532" t="n">
        <v>42</v>
      </c>
      <c r="B50" s="965" t="s">
        <v>1650</v>
      </c>
      <c r="C50" s="966" t="s">
        <v>2544</v>
      </c>
      <c r="D50" s="967" t="n">
        <v>1.80377722</v>
      </c>
      <c r="E50" s="967" t="n">
        <v>1.7496639034</v>
      </c>
      <c r="F50" s="967" t="n">
        <v>1.6955505868</v>
      </c>
      <c r="G50" s="967" t="n">
        <v>1.6414372702</v>
      </c>
      <c r="H50" s="967" t="n">
        <v>1.5873239536</v>
      </c>
      <c r="I50" s="968" t="n">
        <v>1.533210637</v>
      </c>
    </row>
    <row r="51" customFormat="false" ht="12.75" hidden="false" customHeight="true" outlineLevel="0" collapsed="false">
      <c r="A51" s="532" t="n">
        <v>43</v>
      </c>
      <c r="B51" s="965" t="s">
        <v>1651</v>
      </c>
      <c r="C51" s="966" t="s">
        <v>2545</v>
      </c>
      <c r="D51" s="967" t="n">
        <v>1.80377722</v>
      </c>
      <c r="E51" s="967" t="n">
        <v>1.7496639034</v>
      </c>
      <c r="F51" s="967" t="n">
        <v>1.6955505868</v>
      </c>
      <c r="G51" s="967" t="n">
        <v>1.6414372702</v>
      </c>
      <c r="H51" s="967" t="n">
        <v>1.5873239536</v>
      </c>
      <c r="I51" s="968" t="n">
        <v>1.533210637</v>
      </c>
    </row>
    <row r="52" customFormat="false" ht="12.75" hidden="false" customHeight="true" outlineLevel="0" collapsed="false">
      <c r="A52" s="532" t="n">
        <v>44</v>
      </c>
      <c r="B52" s="965" t="s">
        <v>1652</v>
      </c>
      <c r="C52" s="966" t="s">
        <v>2546</v>
      </c>
      <c r="D52" s="967" t="n">
        <v>0.909</v>
      </c>
      <c r="E52" s="967" t="n">
        <v>0.88173</v>
      </c>
      <c r="F52" s="967" t="n">
        <v>0.85446</v>
      </c>
      <c r="G52" s="967" t="n">
        <v>0.82719</v>
      </c>
      <c r="H52" s="967" t="n">
        <v>0.79992</v>
      </c>
      <c r="I52" s="968" t="n">
        <v>0.77265</v>
      </c>
    </row>
    <row r="53" customFormat="false" ht="12.75" hidden="false" customHeight="true" outlineLevel="0" collapsed="false">
      <c r="A53" s="532" t="n">
        <v>45</v>
      </c>
      <c r="B53" s="965" t="s">
        <v>1047</v>
      </c>
      <c r="C53" s="966" t="s">
        <v>2547</v>
      </c>
      <c r="D53" s="967" t="n">
        <v>73.49532891</v>
      </c>
      <c r="E53" s="967" t="n">
        <v>71.2904690427</v>
      </c>
      <c r="F53" s="967" t="n">
        <v>69.0856091754</v>
      </c>
      <c r="G53" s="967" t="n">
        <v>66.8807493081</v>
      </c>
      <c r="H53" s="967" t="n">
        <v>64.6758894408</v>
      </c>
      <c r="I53" s="968" t="n">
        <v>62.4710295735</v>
      </c>
    </row>
    <row r="54" customFormat="false" ht="12.75" hidden="false" customHeight="true" outlineLevel="0" collapsed="false">
      <c r="A54" s="532" t="n">
        <v>46</v>
      </c>
      <c r="B54" s="965" t="s">
        <v>1653</v>
      </c>
      <c r="C54" s="966" t="s">
        <v>2548</v>
      </c>
      <c r="D54" s="967" t="n">
        <v>0.874862</v>
      </c>
      <c r="E54" s="967" t="n">
        <v>0.84861614</v>
      </c>
      <c r="F54" s="967" t="n">
        <v>0.82237028</v>
      </c>
      <c r="G54" s="967" t="n">
        <v>0.79612442</v>
      </c>
      <c r="H54" s="967" t="n">
        <v>0.76987856</v>
      </c>
      <c r="I54" s="968" t="n">
        <v>0.7436327</v>
      </c>
    </row>
    <row r="55" customFormat="false" ht="12.75" hidden="false" customHeight="true" outlineLevel="0" collapsed="false">
      <c r="A55" s="532" t="n">
        <v>47</v>
      </c>
      <c r="B55" s="965" t="s">
        <v>2549</v>
      </c>
      <c r="C55" s="966" t="s">
        <v>2548</v>
      </c>
      <c r="D55" s="967" t="n">
        <v>1.8288</v>
      </c>
      <c r="E55" s="967" t="n">
        <v>1.773936</v>
      </c>
      <c r="F55" s="967" t="n">
        <v>1.719072</v>
      </c>
      <c r="G55" s="967" t="n">
        <v>1.664208</v>
      </c>
      <c r="H55" s="967" t="n">
        <v>1.609344</v>
      </c>
      <c r="I55" s="968" t="n">
        <v>1.55448</v>
      </c>
    </row>
    <row r="56" customFormat="false" ht="12.75" hidden="false" customHeight="true" outlineLevel="0" collapsed="false">
      <c r="A56" s="532" t="n">
        <v>48</v>
      </c>
      <c r="B56" s="965" t="s">
        <v>1654</v>
      </c>
      <c r="C56" s="966" t="s">
        <v>2550</v>
      </c>
      <c r="D56" s="967" t="n">
        <v>3.78345155</v>
      </c>
      <c r="E56" s="967" t="n">
        <v>3.6699480035</v>
      </c>
      <c r="F56" s="967" t="n">
        <v>3.556444457</v>
      </c>
      <c r="G56" s="967" t="n">
        <v>3.4429409105</v>
      </c>
      <c r="H56" s="967" t="n">
        <v>3.329437364</v>
      </c>
      <c r="I56" s="968" t="n">
        <v>3.280235</v>
      </c>
    </row>
    <row r="57" customFormat="false" ht="12.75" hidden="false" customHeight="true" outlineLevel="0" collapsed="false">
      <c r="A57" s="532" t="n">
        <v>49</v>
      </c>
      <c r="B57" s="965" t="s">
        <v>1136</v>
      </c>
      <c r="C57" s="966" t="s">
        <v>2551</v>
      </c>
      <c r="D57" s="967" t="n">
        <v>5.10687309</v>
      </c>
      <c r="E57" s="967" t="n">
        <v>4.9536668973</v>
      </c>
      <c r="F57" s="967" t="n">
        <v>4.8004607046</v>
      </c>
      <c r="G57" s="967" t="n">
        <v>4.6472545119</v>
      </c>
      <c r="H57" s="967" t="n">
        <v>4.4940483192</v>
      </c>
      <c r="I57" s="968" t="n">
        <v>4.42765</v>
      </c>
    </row>
    <row r="58" customFormat="false" ht="12.75" hidden="false" customHeight="true" outlineLevel="0" collapsed="false">
      <c r="A58" s="532" t="n">
        <v>50</v>
      </c>
      <c r="B58" s="969" t="s">
        <v>1655</v>
      </c>
      <c r="C58" s="970" t="s">
        <v>2552</v>
      </c>
      <c r="D58" s="967" t="n">
        <v>13.77517931</v>
      </c>
      <c r="E58" s="967" t="n">
        <v>13.3619239307</v>
      </c>
      <c r="F58" s="967" t="n">
        <v>12.9486685514</v>
      </c>
      <c r="G58" s="967" t="n">
        <v>12.5354131721</v>
      </c>
      <c r="H58" s="967" t="n">
        <v>12.1221577928</v>
      </c>
      <c r="I58" s="968" t="n">
        <v>11.94301</v>
      </c>
    </row>
    <row r="59" customFormat="false" ht="17" hidden="false" customHeight="true" outlineLevel="0" collapsed="false">
      <c r="A59" s="956"/>
      <c r="B59" s="971" t="s">
        <v>2553</v>
      </c>
      <c r="C59" s="971"/>
      <c r="D59" s="958"/>
      <c r="E59" s="958"/>
      <c r="F59" s="958"/>
      <c r="G59" s="958"/>
      <c r="H59" s="958"/>
      <c r="I59" s="958"/>
    </row>
    <row r="60" customFormat="false" ht="12.8" hidden="false" customHeight="false" outlineLevel="0" collapsed="false">
      <c r="A60" s="532" t="n">
        <v>1</v>
      </c>
      <c r="B60" s="959" t="s">
        <v>1619</v>
      </c>
      <c r="C60" s="960" t="s">
        <v>2554</v>
      </c>
      <c r="D60" s="967" t="n">
        <v>61.84511</v>
      </c>
      <c r="E60" s="967" t="n">
        <v>59.9897567</v>
      </c>
      <c r="F60" s="967" t="n">
        <v>58.1344034</v>
      </c>
      <c r="G60" s="967" t="n">
        <v>56.2790501</v>
      </c>
      <c r="H60" s="967" t="n">
        <v>54.4236968</v>
      </c>
      <c r="I60" s="968" t="n">
        <v>52.5683435</v>
      </c>
    </row>
    <row r="61" customFormat="false" ht="12.8" hidden="false" customHeight="false" outlineLevel="0" collapsed="false">
      <c r="A61" s="532" t="n">
        <v>2</v>
      </c>
      <c r="B61" s="965" t="s">
        <v>1656</v>
      </c>
      <c r="C61" s="966" t="s">
        <v>2555</v>
      </c>
      <c r="D61" s="967" t="n">
        <v>103.69055</v>
      </c>
      <c r="E61" s="967" t="n">
        <v>100.5798335</v>
      </c>
      <c r="F61" s="967" t="n">
        <v>97.469117</v>
      </c>
      <c r="G61" s="967" t="n">
        <v>94.3584005</v>
      </c>
      <c r="H61" s="967" t="n">
        <v>91.247684</v>
      </c>
      <c r="I61" s="968" t="n">
        <v>88.1369675</v>
      </c>
    </row>
    <row r="62" customFormat="false" ht="12.8" hidden="false" customHeight="false" outlineLevel="0" collapsed="false">
      <c r="A62" s="532" t="n">
        <v>3</v>
      </c>
      <c r="B62" s="965" t="s">
        <v>2556</v>
      </c>
      <c r="C62" s="966" t="s">
        <v>2514</v>
      </c>
      <c r="D62" s="967" t="n">
        <v>114.5219634</v>
      </c>
      <c r="E62" s="967" t="n">
        <v>111.086304498</v>
      </c>
      <c r="F62" s="967" t="n">
        <v>107.650645596</v>
      </c>
      <c r="G62" s="967" t="n">
        <v>104.214986694</v>
      </c>
      <c r="H62" s="967" t="n">
        <v>100.779327792</v>
      </c>
      <c r="I62" s="968" t="n">
        <v>97.34366889</v>
      </c>
    </row>
    <row r="63" customFormat="false" ht="12.75" hidden="false" customHeight="true" outlineLevel="0" collapsed="false">
      <c r="A63" s="532" t="n">
        <v>4</v>
      </c>
      <c r="B63" s="965" t="s">
        <v>2557</v>
      </c>
      <c r="C63" s="966" t="s">
        <v>2517</v>
      </c>
      <c r="D63" s="967" t="n">
        <v>121.4956</v>
      </c>
      <c r="E63" s="967" t="n">
        <v>117.850732</v>
      </c>
      <c r="F63" s="967" t="n">
        <v>114.205864</v>
      </c>
      <c r="G63" s="967" t="n">
        <v>110.560996</v>
      </c>
      <c r="H63" s="967" t="n">
        <v>106.916128</v>
      </c>
      <c r="I63" s="968" t="n">
        <v>103.27126</v>
      </c>
    </row>
    <row r="64" customFormat="false" ht="12.8" hidden="false" customHeight="false" outlineLevel="0" collapsed="false">
      <c r="A64" s="532" t="n">
        <v>5</v>
      </c>
      <c r="B64" s="965" t="s">
        <v>680</v>
      </c>
      <c r="C64" s="966" t="s">
        <v>2558</v>
      </c>
      <c r="D64" s="967" t="n">
        <v>0.73308321</v>
      </c>
      <c r="E64" s="967" t="n">
        <v>0.7110907137</v>
      </c>
      <c r="F64" s="967" t="n">
        <v>0.6890982174</v>
      </c>
      <c r="G64" s="967" t="n">
        <v>0.6671057211</v>
      </c>
      <c r="H64" s="967" t="n">
        <v>0.6451132248</v>
      </c>
      <c r="I64" s="968" t="n">
        <v>0.6231207285</v>
      </c>
    </row>
    <row r="65" customFormat="false" ht="12.8" hidden="false" customHeight="false" outlineLevel="0" collapsed="false">
      <c r="A65" s="532" t="n">
        <v>6</v>
      </c>
      <c r="B65" s="965" t="s">
        <v>681</v>
      </c>
      <c r="C65" s="966" t="s">
        <v>2558</v>
      </c>
      <c r="D65" s="967" t="n">
        <v>0.9384</v>
      </c>
      <c r="E65" s="967" t="n">
        <v>0.910248</v>
      </c>
      <c r="F65" s="967" t="n">
        <v>0.882096</v>
      </c>
      <c r="G65" s="967" t="n">
        <v>0.853944</v>
      </c>
      <c r="H65" s="967" t="n">
        <v>0.825792</v>
      </c>
      <c r="I65" s="968" t="n">
        <v>0.79764</v>
      </c>
    </row>
    <row r="66" customFormat="false" ht="12.8" hidden="false" customHeight="false" outlineLevel="0" collapsed="false">
      <c r="A66" s="532" t="n">
        <v>7</v>
      </c>
      <c r="B66" s="965" t="s">
        <v>682</v>
      </c>
      <c r="C66" s="966"/>
      <c r="D66" s="967" t="n">
        <v>2.58038375</v>
      </c>
      <c r="E66" s="967" t="n">
        <v>2.5029722375</v>
      </c>
      <c r="F66" s="967" t="n">
        <v>2.425560725</v>
      </c>
      <c r="G66" s="967" t="n">
        <v>2.3481492125</v>
      </c>
      <c r="H66" s="967" t="n">
        <v>2.2707377</v>
      </c>
      <c r="I66" s="968" t="n">
        <v>2.1933261875</v>
      </c>
    </row>
    <row r="67" customFormat="false" ht="12.8" hidden="false" customHeight="false" outlineLevel="0" collapsed="false">
      <c r="A67" s="532" t="n">
        <v>8</v>
      </c>
      <c r="B67" s="965" t="s">
        <v>683</v>
      </c>
      <c r="C67" s="966"/>
      <c r="D67" s="967" t="n">
        <v>0.99696876</v>
      </c>
      <c r="E67" s="967" t="n">
        <v>0.9670596972</v>
      </c>
      <c r="F67" s="967" t="n">
        <v>0.9371506344</v>
      </c>
      <c r="G67" s="967" t="n">
        <v>0.9072415716</v>
      </c>
      <c r="H67" s="967" t="n">
        <v>0.8773325088</v>
      </c>
      <c r="I67" s="968" t="n">
        <v>0.847423446</v>
      </c>
    </row>
    <row r="68" customFormat="false" ht="12.8" hidden="false" customHeight="false" outlineLevel="0" collapsed="false">
      <c r="A68" s="532" t="n">
        <v>9</v>
      </c>
      <c r="B68" s="965" t="s">
        <v>685</v>
      </c>
      <c r="C68" s="966"/>
      <c r="D68" s="967" t="n">
        <v>1.11411564</v>
      </c>
      <c r="E68" s="967" t="n">
        <v>1.0806921708</v>
      </c>
      <c r="F68" s="967" t="n">
        <v>1.0472687016</v>
      </c>
      <c r="G68" s="967" t="n">
        <v>1.0138452324</v>
      </c>
      <c r="H68" s="967" t="n">
        <v>0.9804217632</v>
      </c>
      <c r="I68" s="968" t="n">
        <v>0.946998294</v>
      </c>
    </row>
    <row r="69" customFormat="false" ht="12.8" hidden="false" customHeight="false" outlineLevel="0" collapsed="false">
      <c r="A69" s="532" t="n">
        <v>10</v>
      </c>
      <c r="B69" s="965" t="s">
        <v>686</v>
      </c>
      <c r="C69" s="966"/>
      <c r="D69" s="967" t="n">
        <v>1.34881616</v>
      </c>
      <c r="E69" s="967" t="n">
        <v>1.3083516752</v>
      </c>
      <c r="F69" s="967" t="n">
        <v>1.2678871904</v>
      </c>
      <c r="G69" s="967" t="n">
        <v>1.2274227056</v>
      </c>
      <c r="H69" s="967" t="n">
        <v>1.1869582208</v>
      </c>
      <c r="I69" s="968" t="n">
        <v>1.146493736</v>
      </c>
    </row>
    <row r="70" customFormat="false" ht="12.8" hidden="false" customHeight="false" outlineLevel="0" collapsed="false">
      <c r="A70" s="532" t="n">
        <v>11</v>
      </c>
      <c r="B70" s="972" t="s">
        <v>687</v>
      </c>
      <c r="C70" s="973"/>
      <c r="D70" s="967" t="n">
        <v>4.36667029</v>
      </c>
      <c r="E70" s="967" t="n">
        <v>4.2356701813</v>
      </c>
      <c r="F70" s="967" t="n">
        <v>4.1046700726</v>
      </c>
      <c r="G70" s="967" t="n">
        <v>3.9736699639</v>
      </c>
      <c r="H70" s="967" t="n">
        <v>3.8426698552</v>
      </c>
      <c r="I70" s="968" t="n">
        <v>3.7116697465</v>
      </c>
    </row>
    <row r="71" customFormat="false" ht="17" hidden="false" customHeight="true" outlineLevel="0" collapsed="false">
      <c r="A71" s="956"/>
      <c r="B71" s="971" t="s">
        <v>2559</v>
      </c>
      <c r="C71" s="971"/>
      <c r="D71" s="974"/>
      <c r="E71" s="974"/>
      <c r="F71" s="974"/>
      <c r="G71" s="974"/>
      <c r="H71" s="974"/>
      <c r="I71" s="974"/>
    </row>
    <row r="72" customFormat="false" ht="12.8" hidden="false" customHeight="false" outlineLevel="0" collapsed="false">
      <c r="A72" s="532" t="n">
        <v>1</v>
      </c>
      <c r="B72" s="975" t="s">
        <v>1659</v>
      </c>
      <c r="C72" s="960" t="s">
        <v>2560</v>
      </c>
      <c r="D72" s="967" t="n">
        <v>66.5171109526</v>
      </c>
      <c r="E72" s="967" t="n">
        <v>64.521597624022</v>
      </c>
      <c r="F72" s="967" t="n">
        <v>62.526084295444</v>
      </c>
      <c r="G72" s="967" t="n">
        <v>60.530570966866</v>
      </c>
      <c r="H72" s="967" t="n">
        <v>58.535057638288</v>
      </c>
      <c r="I72" s="968" t="n">
        <v>56.53954430971</v>
      </c>
    </row>
    <row r="73" customFormat="false" ht="12.8" hidden="false" customHeight="false" outlineLevel="0" collapsed="false">
      <c r="A73" s="532" t="n">
        <v>2</v>
      </c>
      <c r="B73" s="976" t="s">
        <v>2561</v>
      </c>
      <c r="C73" s="966" t="s">
        <v>2562</v>
      </c>
      <c r="D73" s="967" t="n">
        <v>104.91601356</v>
      </c>
      <c r="E73" s="967" t="n">
        <v>101.7685331532</v>
      </c>
      <c r="F73" s="967" t="n">
        <v>98.6210527464</v>
      </c>
      <c r="G73" s="967" t="n">
        <v>95.4735723396</v>
      </c>
      <c r="H73" s="967" t="n">
        <v>92.3260919328</v>
      </c>
      <c r="I73" s="968" t="n">
        <v>89.178611526</v>
      </c>
    </row>
    <row r="74" customFormat="false" ht="12.8" hidden="false" customHeight="false" outlineLevel="0" collapsed="false">
      <c r="A74" s="532" t="n">
        <v>3</v>
      </c>
      <c r="B74" s="976" t="s">
        <v>1661</v>
      </c>
      <c r="C74" s="966" t="s">
        <v>2563</v>
      </c>
      <c r="D74" s="967" t="n">
        <v>115.40761</v>
      </c>
      <c r="E74" s="967" t="n">
        <v>111.9453817</v>
      </c>
      <c r="F74" s="967" t="n">
        <v>108.4831534</v>
      </c>
      <c r="G74" s="967" t="n">
        <v>105.0209251</v>
      </c>
      <c r="H74" s="967" t="n">
        <v>101.5586968</v>
      </c>
      <c r="I74" s="968" t="n">
        <v>98.0964685</v>
      </c>
    </row>
    <row r="75" customFormat="false" ht="12.8" hidden="false" customHeight="false" outlineLevel="0" collapsed="false">
      <c r="A75" s="532" t="n">
        <v>4</v>
      </c>
      <c r="B75" s="976" t="s">
        <v>1662</v>
      </c>
      <c r="C75" s="966"/>
      <c r="D75" s="967" t="n">
        <v>16.71315826</v>
      </c>
      <c r="E75" s="967" t="n">
        <v>16.2117635122</v>
      </c>
      <c r="F75" s="967" t="n">
        <v>15.7103687644</v>
      </c>
      <c r="G75" s="967" t="n">
        <v>15.2089740166</v>
      </c>
      <c r="H75" s="967" t="n">
        <v>14.7075792688</v>
      </c>
      <c r="I75" s="968" t="n">
        <v>14.206184521</v>
      </c>
    </row>
    <row r="76" customFormat="false" ht="12.8" hidden="false" customHeight="false" outlineLevel="0" collapsed="false">
      <c r="A76" s="532" t="n">
        <v>5</v>
      </c>
      <c r="B76" s="976" t="s">
        <v>1663</v>
      </c>
      <c r="C76" s="966"/>
      <c r="D76" s="967" t="n">
        <v>0.29317227</v>
      </c>
      <c r="E76" s="967" t="n">
        <v>0.2843771019</v>
      </c>
      <c r="F76" s="967" t="n">
        <v>0.2755819338</v>
      </c>
      <c r="G76" s="967" t="n">
        <v>0.2667867657</v>
      </c>
      <c r="H76" s="967" t="n">
        <v>0.2579915976</v>
      </c>
      <c r="I76" s="968" t="n">
        <v>0.2491964295</v>
      </c>
    </row>
    <row r="77" customFormat="false" ht="12.8" hidden="false" customHeight="false" outlineLevel="0" collapsed="false">
      <c r="A77" s="532" t="n">
        <v>6</v>
      </c>
      <c r="B77" s="976" t="s">
        <v>1664</v>
      </c>
      <c r="C77" s="966"/>
      <c r="D77" s="967" t="n">
        <v>0.70573</v>
      </c>
      <c r="E77" s="967" t="n">
        <v>0.6845581</v>
      </c>
      <c r="F77" s="967" t="n">
        <v>0.6633862</v>
      </c>
      <c r="G77" s="967" t="n">
        <v>0.6422143</v>
      </c>
      <c r="H77" s="967" t="n">
        <v>0.6210424</v>
      </c>
      <c r="I77" s="968" t="n">
        <v>0.5998705</v>
      </c>
    </row>
    <row r="78" customFormat="false" ht="12.8" hidden="false" customHeight="false" outlineLevel="0" collapsed="false">
      <c r="A78" s="532" t="n">
        <v>7</v>
      </c>
      <c r="B78" s="977" t="s">
        <v>1665</v>
      </c>
      <c r="C78" s="970"/>
      <c r="D78" s="967" t="n">
        <v>5.57108665</v>
      </c>
      <c r="E78" s="967" t="n">
        <v>5.4039540505</v>
      </c>
      <c r="F78" s="967" t="n">
        <v>5.236821451</v>
      </c>
      <c r="G78" s="967" t="n">
        <v>5.0696888515</v>
      </c>
      <c r="H78" s="967" t="n">
        <v>4.902556252</v>
      </c>
      <c r="I78" s="968" t="n">
        <v>4.7354236525</v>
      </c>
    </row>
    <row r="79" customFormat="false" ht="17" hidden="false" customHeight="true" outlineLevel="0" collapsed="false">
      <c r="A79" s="978"/>
      <c r="B79" s="979" t="s">
        <v>2564</v>
      </c>
      <c r="C79" s="979"/>
      <c r="D79" s="980"/>
      <c r="E79" s="974"/>
      <c r="F79" s="974"/>
      <c r="G79" s="974"/>
      <c r="H79" s="974"/>
      <c r="I79" s="974"/>
    </row>
    <row r="80" customFormat="false" ht="12.8" hidden="false" customHeight="false" outlineLevel="0" collapsed="false">
      <c r="A80" s="981" t="n">
        <v>1</v>
      </c>
      <c r="B80" s="982" t="s">
        <v>2561</v>
      </c>
      <c r="C80" s="983" t="s">
        <v>2562</v>
      </c>
      <c r="D80" s="984" t="n">
        <v>104.91601356</v>
      </c>
      <c r="E80" s="985" t="n">
        <v>101.7685331532</v>
      </c>
      <c r="F80" s="986" t="n">
        <v>98.6210527464</v>
      </c>
      <c r="G80" s="986" t="n">
        <v>95.4735723396</v>
      </c>
      <c r="H80" s="986" t="n">
        <v>92.3260919328</v>
      </c>
      <c r="I80" s="986" t="n">
        <v>89.178611526</v>
      </c>
    </row>
    <row r="81" customFormat="false" ht="12.8" hidden="false" customHeight="false" outlineLevel="0" collapsed="false">
      <c r="A81" s="537" t="n">
        <v>2</v>
      </c>
      <c r="B81" s="987" t="s">
        <v>1661</v>
      </c>
      <c r="C81" s="988" t="s">
        <v>2563</v>
      </c>
      <c r="D81" s="989" t="n">
        <v>115.40761</v>
      </c>
      <c r="E81" s="985" t="n">
        <v>111.9453817</v>
      </c>
      <c r="F81" s="986" t="n">
        <v>108.4831534</v>
      </c>
      <c r="G81" s="986" t="n">
        <v>105.0209251</v>
      </c>
      <c r="H81" s="986" t="n">
        <v>101.5586968</v>
      </c>
      <c r="I81" s="986" t="n">
        <v>98.0964685</v>
      </c>
    </row>
    <row r="82" customFormat="false" ht="12.8" hidden="false" customHeight="false" outlineLevel="0" collapsed="false">
      <c r="A82" s="520" t="n">
        <v>3</v>
      </c>
      <c r="B82" s="987" t="s">
        <v>1666</v>
      </c>
      <c r="C82" s="988"/>
      <c r="D82" s="989" t="n">
        <v>0.4051</v>
      </c>
      <c r="E82" s="990" t="n">
        <v>0.392947</v>
      </c>
      <c r="F82" s="991" t="n">
        <v>0.380794</v>
      </c>
      <c r="G82" s="991" t="n">
        <v>0.368641</v>
      </c>
      <c r="H82" s="991" t="n">
        <v>0.356488</v>
      </c>
      <c r="I82" s="991" t="n">
        <v>0.344335</v>
      </c>
    </row>
    <row r="83" customFormat="false" ht="12.8" hidden="false" customHeight="false" outlineLevel="0" collapsed="false">
      <c r="A83" s="522" t="n">
        <v>4</v>
      </c>
      <c r="B83" s="992" t="s">
        <v>1664</v>
      </c>
      <c r="C83" s="993"/>
      <c r="D83" s="994" t="n">
        <v>0.70573</v>
      </c>
      <c r="E83" s="990" t="n">
        <v>0.6845581</v>
      </c>
      <c r="F83" s="991" t="n">
        <v>0.6633862</v>
      </c>
      <c r="G83" s="991" t="n">
        <v>0.6422143</v>
      </c>
      <c r="H83" s="991" t="n">
        <v>0.6210424</v>
      </c>
      <c r="I83" s="991" t="n">
        <v>0.5998705</v>
      </c>
    </row>
    <row r="84" customFormat="false" ht="17" hidden="false" customHeight="true" outlineLevel="0" collapsed="false">
      <c r="A84" s="956"/>
      <c r="B84" s="995" t="s">
        <v>2565</v>
      </c>
      <c r="C84" s="995"/>
      <c r="D84" s="996"/>
      <c r="E84" s="974"/>
      <c r="F84" s="974"/>
      <c r="G84" s="974"/>
      <c r="H84" s="974"/>
      <c r="I84" s="974"/>
    </row>
    <row r="85" customFormat="false" ht="12.8" hidden="false" customHeight="false" outlineLevel="0" collapsed="false">
      <c r="A85" s="532" t="n">
        <v>1</v>
      </c>
      <c r="B85" s="997" t="s">
        <v>1667</v>
      </c>
      <c r="C85" s="983" t="s">
        <v>2566</v>
      </c>
      <c r="D85" s="967" t="n">
        <v>294.270522</v>
      </c>
      <c r="E85" s="967" t="n">
        <v>285.44240634</v>
      </c>
      <c r="F85" s="967" t="n">
        <v>276.61429068</v>
      </c>
      <c r="G85" s="967" t="n">
        <v>267.78617502</v>
      </c>
      <c r="H85" s="967" t="n">
        <v>258.95805936</v>
      </c>
      <c r="I85" s="968" t="n">
        <v>250.1299437</v>
      </c>
    </row>
    <row r="86" customFormat="false" ht="12.8" hidden="false" customHeight="false" outlineLevel="0" collapsed="false">
      <c r="A86" s="521" t="n">
        <v>2</v>
      </c>
      <c r="B86" s="998" t="s">
        <v>1668</v>
      </c>
      <c r="C86" s="988"/>
      <c r="D86" s="967" t="n">
        <v>2.776137</v>
      </c>
      <c r="E86" s="967" t="n">
        <v>2.69285289</v>
      </c>
      <c r="F86" s="967" t="n">
        <v>2.60956878</v>
      </c>
      <c r="G86" s="967" t="n">
        <v>2.52628467</v>
      </c>
      <c r="H86" s="967" t="n">
        <v>2.44300056</v>
      </c>
      <c r="I86" s="968" t="n">
        <v>2.35971645</v>
      </c>
    </row>
    <row r="87" customFormat="false" ht="12.8" hidden="false" customHeight="false" outlineLevel="0" collapsed="false">
      <c r="A87" s="521" t="n">
        <v>3</v>
      </c>
      <c r="B87" s="999" t="s">
        <v>1669</v>
      </c>
      <c r="C87" s="993"/>
      <c r="D87" s="967" t="n">
        <v>1.057576</v>
      </c>
      <c r="E87" s="967" t="n">
        <v>1.02584872</v>
      </c>
      <c r="F87" s="967" t="n">
        <v>0.99412144</v>
      </c>
      <c r="G87" s="967" t="n">
        <v>0.96239416</v>
      </c>
      <c r="H87" s="967" t="n">
        <v>0.93066688</v>
      </c>
      <c r="I87" s="968" t="n">
        <v>0.8989396</v>
      </c>
    </row>
    <row r="88" customFormat="false" ht="17" hidden="false" customHeight="true" outlineLevel="0" collapsed="false">
      <c r="A88" s="978"/>
      <c r="B88" s="1000" t="s">
        <v>2567</v>
      </c>
      <c r="C88" s="1000"/>
      <c r="D88" s="980"/>
      <c r="E88" s="980"/>
      <c r="F88" s="980"/>
      <c r="G88" s="980"/>
      <c r="H88" s="980"/>
      <c r="I88" s="980"/>
    </row>
    <row r="89" customFormat="false" ht="12.8" hidden="false" customHeight="false" outlineLevel="0" collapsed="false">
      <c r="A89" s="1001" t="n">
        <v>1</v>
      </c>
      <c r="B89" s="1002" t="s">
        <v>1659</v>
      </c>
      <c r="C89" s="1003" t="s">
        <v>2568</v>
      </c>
      <c r="D89" s="1004" t="n">
        <v>66.5171109526</v>
      </c>
      <c r="E89" s="1004" t="n">
        <v>64.521597624022</v>
      </c>
      <c r="F89" s="1005" t="n">
        <v>62.526084295444</v>
      </c>
      <c r="G89" s="1004" t="n">
        <v>60.530570966866</v>
      </c>
      <c r="H89" s="1005" t="n">
        <v>58.535057638288</v>
      </c>
      <c r="I89" s="1004" t="n">
        <v>56.53954430971</v>
      </c>
    </row>
    <row r="90" customFormat="false" ht="12.8" hidden="false" customHeight="false" outlineLevel="0" collapsed="false">
      <c r="A90" s="1006" t="n">
        <v>2</v>
      </c>
      <c r="B90" s="1002" t="s">
        <v>2561</v>
      </c>
      <c r="C90" s="1003" t="s">
        <v>2569</v>
      </c>
      <c r="D90" s="1007" t="n">
        <v>104.91601356</v>
      </c>
      <c r="E90" s="1007" t="n">
        <v>101.7685331532</v>
      </c>
      <c r="F90" s="1008" t="n">
        <v>98.6210527464</v>
      </c>
      <c r="G90" s="1007" t="n">
        <v>95.4735723396</v>
      </c>
      <c r="H90" s="1008" t="n">
        <v>92.3260919328</v>
      </c>
      <c r="I90" s="1007" t="n">
        <v>89.178611526</v>
      </c>
    </row>
    <row r="91" customFormat="false" ht="12.8" hidden="false" customHeight="false" outlineLevel="0" collapsed="false">
      <c r="A91" s="1006" t="n">
        <v>3</v>
      </c>
      <c r="B91" s="1002" t="s">
        <v>1661</v>
      </c>
      <c r="C91" s="1003" t="s">
        <v>2563</v>
      </c>
      <c r="D91" s="1007" t="n">
        <v>115.40761</v>
      </c>
      <c r="E91" s="1007" t="n">
        <v>111.9453817</v>
      </c>
      <c r="F91" s="1008" t="n">
        <v>108.4831534</v>
      </c>
      <c r="G91" s="1007" t="n">
        <v>105.0209251</v>
      </c>
      <c r="H91" s="1008" t="n">
        <v>101.5586968</v>
      </c>
      <c r="I91" s="1007" t="n">
        <v>98.0964685</v>
      </c>
    </row>
    <row r="92" customFormat="false" ht="12.8" hidden="false" customHeight="false" outlineLevel="0" collapsed="false">
      <c r="A92" s="1009" t="n">
        <v>4</v>
      </c>
      <c r="B92" s="1010" t="s">
        <v>1670</v>
      </c>
      <c r="C92" s="988" t="s">
        <v>2570</v>
      </c>
      <c r="D92" s="1011" t="n">
        <v>159.76</v>
      </c>
      <c r="E92" s="1011" t="n">
        <v>154.9672</v>
      </c>
      <c r="F92" s="1012" t="n">
        <v>150.1744</v>
      </c>
      <c r="G92" s="1011" t="n">
        <v>145.3816</v>
      </c>
      <c r="H92" s="1012" t="n">
        <v>140.5888</v>
      </c>
      <c r="I92" s="1011" t="n">
        <v>135.796</v>
      </c>
    </row>
    <row r="93" customFormat="false" ht="12.8" hidden="false" customHeight="false" outlineLevel="0" collapsed="false">
      <c r="A93" s="1013" t="n">
        <v>5</v>
      </c>
      <c r="B93" s="1014" t="s">
        <v>1662</v>
      </c>
      <c r="C93" s="1015"/>
      <c r="D93" s="1016" t="n">
        <v>16.71315826</v>
      </c>
      <c r="E93" s="1016" t="n">
        <v>16.2117635122</v>
      </c>
      <c r="F93" s="1017" t="n">
        <v>15.7103687644</v>
      </c>
      <c r="G93" s="1016" t="n">
        <v>15.2089740166</v>
      </c>
      <c r="H93" s="1017" t="n">
        <v>14.7075792688</v>
      </c>
      <c r="I93" s="1016" t="n">
        <v>14.206184521</v>
      </c>
    </row>
    <row r="94" customFormat="false" ht="17" hidden="false" customHeight="true" outlineLevel="0" collapsed="false">
      <c r="A94" s="978"/>
      <c r="B94" s="1018" t="s">
        <v>2571</v>
      </c>
      <c r="C94" s="1018"/>
      <c r="D94" s="980"/>
      <c r="E94" s="980"/>
      <c r="F94" s="980"/>
      <c r="G94" s="980"/>
      <c r="H94" s="980"/>
      <c r="I94" s="980"/>
    </row>
    <row r="95" customFormat="false" ht="12.75" hidden="false" customHeight="true" outlineLevel="0" collapsed="false">
      <c r="A95" s="1001" t="n">
        <v>1</v>
      </c>
      <c r="B95" s="997" t="s">
        <v>2572</v>
      </c>
      <c r="C95" s="983" t="s">
        <v>2511</v>
      </c>
      <c r="D95" s="1019" t="n">
        <v>106.0389</v>
      </c>
      <c r="E95" s="1020" t="n">
        <v>102.857733</v>
      </c>
      <c r="F95" s="1020" t="n">
        <v>99.676566</v>
      </c>
      <c r="G95" s="1020" t="n">
        <v>96.495399</v>
      </c>
      <c r="H95" s="1020" t="n">
        <v>93.314232</v>
      </c>
      <c r="I95" s="1021" t="n">
        <v>90.133065</v>
      </c>
    </row>
    <row r="96" customFormat="false" ht="12.75" hidden="false" customHeight="true" outlineLevel="0" collapsed="false">
      <c r="A96" s="1009" t="n">
        <v>2</v>
      </c>
      <c r="B96" s="998" t="s">
        <v>2573</v>
      </c>
      <c r="C96" s="988" t="s">
        <v>2514</v>
      </c>
      <c r="D96" s="1022" t="n">
        <v>114.5219634</v>
      </c>
      <c r="E96" s="1023" t="n">
        <v>111.086304498</v>
      </c>
      <c r="F96" s="1023" t="n">
        <v>107.650645596</v>
      </c>
      <c r="G96" s="1023" t="n">
        <v>104.214986694</v>
      </c>
      <c r="H96" s="1023" t="n">
        <v>100.779327792</v>
      </c>
      <c r="I96" s="1024" t="n">
        <v>97.34366889</v>
      </c>
    </row>
    <row r="97" customFormat="false" ht="12.75" hidden="false" customHeight="true" outlineLevel="0" collapsed="false">
      <c r="A97" s="1009" t="n">
        <v>3</v>
      </c>
      <c r="B97" s="998" t="s">
        <v>2516</v>
      </c>
      <c r="C97" s="988" t="s">
        <v>2517</v>
      </c>
      <c r="D97" s="1022" t="n">
        <v>121.4956</v>
      </c>
      <c r="E97" s="1023" t="n">
        <v>117.850732</v>
      </c>
      <c r="F97" s="1023" t="n">
        <v>114.205864</v>
      </c>
      <c r="G97" s="1023" t="n">
        <v>110.560996</v>
      </c>
      <c r="H97" s="1023" t="n">
        <v>106.916128</v>
      </c>
      <c r="I97" s="1024" t="n">
        <v>103.27126</v>
      </c>
    </row>
    <row r="98" customFormat="false" ht="17" hidden="false" customHeight="true" outlineLevel="0" collapsed="false">
      <c r="A98" s="1025"/>
      <c r="B98" s="1026" t="s">
        <v>2574</v>
      </c>
      <c r="C98" s="1026"/>
      <c r="D98" s="996"/>
      <c r="E98" s="996"/>
      <c r="F98" s="996"/>
      <c r="G98" s="996"/>
      <c r="H98" s="996"/>
      <c r="I98" s="996"/>
    </row>
    <row r="99" customFormat="false" ht="12.8" hidden="false" customHeight="false" outlineLevel="0" collapsed="false">
      <c r="A99" s="532" t="n">
        <v>1</v>
      </c>
      <c r="B99" s="975" t="s">
        <v>1673</v>
      </c>
      <c r="C99" s="960"/>
      <c r="D99" s="963" t="n">
        <v>0.10036803</v>
      </c>
      <c r="E99" s="963" t="n">
        <v>0.0973569891</v>
      </c>
      <c r="F99" s="963" t="n">
        <v>0.0943459482</v>
      </c>
      <c r="G99" s="963" t="n">
        <v>0.0913349073</v>
      </c>
      <c r="H99" s="963" t="n">
        <v>0.0883238664</v>
      </c>
      <c r="I99" s="964" t="n">
        <v>0.0853128255</v>
      </c>
    </row>
    <row r="100" customFormat="false" ht="12.8" hidden="false" customHeight="false" outlineLevel="0" collapsed="false">
      <c r="A100" s="532" t="n">
        <v>2</v>
      </c>
      <c r="B100" s="976" t="s">
        <v>2561</v>
      </c>
      <c r="C100" s="966" t="s">
        <v>2575</v>
      </c>
      <c r="D100" s="967" t="n">
        <v>104.91601356</v>
      </c>
      <c r="E100" s="967" t="n">
        <v>101.7685331532</v>
      </c>
      <c r="F100" s="967" t="n">
        <v>98.6210527464</v>
      </c>
      <c r="G100" s="967" t="n">
        <v>95.4735723396</v>
      </c>
      <c r="H100" s="967" t="n">
        <v>92.3260919328</v>
      </c>
      <c r="I100" s="968" t="n">
        <v>89.178611526</v>
      </c>
    </row>
    <row r="101" customFormat="false" ht="12.8" hidden="false" customHeight="false" outlineLevel="0" collapsed="false">
      <c r="A101" s="532" t="n">
        <v>3</v>
      </c>
      <c r="B101" s="976" t="s">
        <v>1661</v>
      </c>
      <c r="C101" s="966" t="s">
        <v>2563</v>
      </c>
      <c r="D101" s="967" t="n">
        <v>115.40761</v>
      </c>
      <c r="E101" s="967" t="n">
        <v>111.9453817</v>
      </c>
      <c r="F101" s="967" t="n">
        <v>108.4831534</v>
      </c>
      <c r="G101" s="967" t="n">
        <v>105.0209251</v>
      </c>
      <c r="H101" s="967" t="n">
        <v>101.5586968</v>
      </c>
      <c r="I101" s="968" t="n">
        <v>98.0964685</v>
      </c>
    </row>
    <row r="102" customFormat="false" ht="12.8" hidden="false" customHeight="false" outlineLevel="0" collapsed="false">
      <c r="A102" s="532" t="n">
        <v>4</v>
      </c>
      <c r="B102" s="976" t="s">
        <v>1674</v>
      </c>
      <c r="C102" s="966"/>
      <c r="D102" s="967" t="n">
        <v>0.86385655</v>
      </c>
      <c r="E102" s="967" t="n">
        <v>0.8379408535</v>
      </c>
      <c r="F102" s="967" t="n">
        <v>0.812025157</v>
      </c>
      <c r="G102" s="967" t="n">
        <v>0.7861094605</v>
      </c>
      <c r="H102" s="967" t="n">
        <v>0.760193764</v>
      </c>
      <c r="I102" s="968" t="n">
        <v>0.7342780675</v>
      </c>
    </row>
    <row r="103" customFormat="false" ht="12.8" hidden="false" customHeight="false" outlineLevel="0" collapsed="false">
      <c r="A103" s="1027" t="n">
        <v>5</v>
      </c>
      <c r="B103" s="977" t="s">
        <v>1675</v>
      </c>
      <c r="C103" s="970"/>
      <c r="D103" s="1028" t="n">
        <v>0.69098355</v>
      </c>
      <c r="E103" s="1028" t="n">
        <v>0.6702540435</v>
      </c>
      <c r="F103" s="1028" t="n">
        <v>0.649524537</v>
      </c>
      <c r="G103" s="1028" t="n">
        <v>0.6287950305</v>
      </c>
      <c r="H103" s="1028" t="n">
        <v>0.608065524</v>
      </c>
      <c r="I103" s="1029" t="n">
        <v>0.5873360175</v>
      </c>
    </row>
    <row r="104" customFormat="false" ht="17" hidden="false" customHeight="true" outlineLevel="0" collapsed="false">
      <c r="A104" s="956"/>
      <c r="B104" s="971" t="s">
        <v>2576</v>
      </c>
      <c r="C104" s="971"/>
      <c r="D104" s="974"/>
      <c r="E104" s="974"/>
      <c r="F104" s="974"/>
      <c r="G104" s="974"/>
      <c r="H104" s="974"/>
      <c r="I104" s="974"/>
    </row>
    <row r="105" customFormat="false" ht="12.8" hidden="false" customHeight="false" outlineLevel="0" collapsed="false">
      <c r="A105" s="532" t="n">
        <v>1</v>
      </c>
      <c r="B105" s="975" t="s">
        <v>1676</v>
      </c>
      <c r="C105" s="960"/>
      <c r="D105" s="967" t="n">
        <v>18.78834609</v>
      </c>
      <c r="E105" s="967" t="n">
        <v>18.2246957073</v>
      </c>
      <c r="F105" s="967" t="n">
        <v>17.6610453246</v>
      </c>
      <c r="G105" s="967" t="n">
        <v>17.0973949419</v>
      </c>
      <c r="H105" s="967" t="n">
        <v>16.5337445592</v>
      </c>
      <c r="I105" s="968" t="n">
        <v>15.9700941765</v>
      </c>
    </row>
    <row r="106" customFormat="false" ht="12.8" hidden="false" customHeight="false" outlineLevel="0" collapsed="false">
      <c r="A106" s="532" t="n">
        <v>2</v>
      </c>
      <c r="B106" s="976" t="s">
        <v>1677</v>
      </c>
      <c r="C106" s="966"/>
      <c r="D106" s="967" t="n">
        <v>25.05122981</v>
      </c>
      <c r="E106" s="967" t="n">
        <v>24.2996929157</v>
      </c>
      <c r="F106" s="967" t="n">
        <v>23.5481560214</v>
      </c>
      <c r="G106" s="967" t="n">
        <v>22.7966191271</v>
      </c>
      <c r="H106" s="967" t="n">
        <v>22.0450822328</v>
      </c>
      <c r="I106" s="968" t="n">
        <v>21.2935453385</v>
      </c>
    </row>
    <row r="107" customFormat="false" ht="12.8" hidden="false" customHeight="false" outlineLevel="0" collapsed="false">
      <c r="A107" s="532" t="n">
        <v>3</v>
      </c>
      <c r="B107" s="976" t="s">
        <v>1678</v>
      </c>
      <c r="C107" s="966"/>
      <c r="D107" s="967" t="n">
        <v>26.61695074</v>
      </c>
      <c r="E107" s="967" t="n">
        <v>25.8184422178</v>
      </c>
      <c r="F107" s="967" t="n">
        <v>25.0199336956</v>
      </c>
      <c r="G107" s="967" t="n">
        <v>24.2214251734</v>
      </c>
      <c r="H107" s="967" t="n">
        <v>23.4229166512</v>
      </c>
      <c r="I107" s="968" t="n">
        <v>22.624408129</v>
      </c>
    </row>
    <row r="108" customFormat="false" ht="12.8" hidden="false" customHeight="false" outlineLevel="0" collapsed="false">
      <c r="A108" s="532" t="n">
        <v>4</v>
      </c>
      <c r="B108" s="976" t="s">
        <v>1679</v>
      </c>
      <c r="C108" s="966"/>
      <c r="D108" s="967" t="n">
        <v>31.94011717</v>
      </c>
      <c r="E108" s="967" t="n">
        <v>30.9819136549</v>
      </c>
      <c r="F108" s="967" t="n">
        <v>30.0237101398</v>
      </c>
      <c r="G108" s="967" t="n">
        <v>29.0655066247</v>
      </c>
      <c r="H108" s="967" t="n">
        <v>28.1073031096</v>
      </c>
      <c r="I108" s="968" t="n">
        <v>27.1490995945</v>
      </c>
    </row>
    <row r="109" customFormat="false" ht="12.8" hidden="false" customHeight="false" outlineLevel="0" collapsed="false">
      <c r="A109" s="532" t="n">
        <v>5</v>
      </c>
      <c r="B109" s="976" t="s">
        <v>1680</v>
      </c>
      <c r="C109" s="966"/>
      <c r="D109" s="967" t="n">
        <v>20.02672691</v>
      </c>
      <c r="E109" s="967" t="n">
        <v>19.4259251027</v>
      </c>
      <c r="F109" s="967" t="n">
        <v>18.8251232954</v>
      </c>
      <c r="G109" s="967" t="n">
        <v>18.2243214881</v>
      </c>
      <c r="H109" s="967" t="n">
        <v>17.6235196808</v>
      </c>
      <c r="I109" s="968" t="n">
        <v>17.0227178735</v>
      </c>
    </row>
    <row r="110" customFormat="false" ht="12.8" hidden="false" customHeight="false" outlineLevel="0" collapsed="false">
      <c r="A110" s="532" t="n">
        <v>6</v>
      </c>
      <c r="B110" s="976" t="s">
        <v>1681</v>
      </c>
      <c r="C110" s="966"/>
      <c r="D110" s="967" t="n">
        <v>27.82675667</v>
      </c>
      <c r="E110" s="967" t="n">
        <v>26.9919539699</v>
      </c>
      <c r="F110" s="967" t="n">
        <v>26.1571512698</v>
      </c>
      <c r="G110" s="967" t="n">
        <v>25.3223485697</v>
      </c>
      <c r="H110" s="967" t="n">
        <v>24.4875458696</v>
      </c>
      <c r="I110" s="968" t="n">
        <v>23.6527431695</v>
      </c>
    </row>
    <row r="111" customFormat="false" ht="12.8" hidden="false" customHeight="false" outlineLevel="0" collapsed="false">
      <c r="A111" s="532" t="n">
        <v>7</v>
      </c>
      <c r="B111" s="976" t="s">
        <v>1682</v>
      </c>
      <c r="C111" s="966"/>
      <c r="D111" s="967" t="n">
        <v>36.63738</v>
      </c>
      <c r="E111" s="967" t="n">
        <v>35.5382586</v>
      </c>
      <c r="F111" s="967" t="n">
        <v>34.4391372</v>
      </c>
      <c r="G111" s="967" t="n">
        <v>33.3400158</v>
      </c>
      <c r="H111" s="967" t="n">
        <v>32.2408944</v>
      </c>
      <c r="I111" s="968" t="n">
        <v>31.141773</v>
      </c>
    </row>
    <row r="112" customFormat="false" ht="12.8" hidden="false" customHeight="false" outlineLevel="0" collapsed="false">
      <c r="A112" s="532" t="n">
        <v>8</v>
      </c>
      <c r="B112" s="976" t="s">
        <v>1683</v>
      </c>
      <c r="C112" s="966"/>
      <c r="D112" s="967" t="n">
        <v>42.27395666</v>
      </c>
      <c r="E112" s="967" t="n">
        <v>41.0057379602</v>
      </c>
      <c r="F112" s="967" t="n">
        <v>39.7375192604</v>
      </c>
      <c r="G112" s="967" t="n">
        <v>38.4693005606</v>
      </c>
      <c r="H112" s="967" t="n">
        <v>37.2010818608</v>
      </c>
      <c r="I112" s="968" t="n">
        <v>35.932863161</v>
      </c>
    </row>
    <row r="113" customFormat="false" ht="12.8" hidden="false" customHeight="false" outlineLevel="0" collapsed="false">
      <c r="A113" s="532" t="n">
        <v>9</v>
      </c>
      <c r="B113" s="976" t="s">
        <v>1684</v>
      </c>
      <c r="C113" s="966"/>
      <c r="D113" s="967" t="n">
        <v>37.5767</v>
      </c>
      <c r="E113" s="967" t="n">
        <v>36.449399</v>
      </c>
      <c r="F113" s="967" t="n">
        <v>35.322098</v>
      </c>
      <c r="G113" s="967" t="n">
        <v>34.194797</v>
      </c>
      <c r="H113" s="967" t="n">
        <v>33.067496</v>
      </c>
      <c r="I113" s="968" t="n">
        <v>31.940195</v>
      </c>
    </row>
    <row r="114" customFormat="false" ht="12.8" hidden="false" customHeight="false" outlineLevel="0" collapsed="false">
      <c r="A114" s="532" t="n">
        <v>10</v>
      </c>
      <c r="B114" s="976" t="s">
        <v>1685</v>
      </c>
      <c r="C114" s="966"/>
      <c r="D114" s="967" t="n">
        <v>50.10246</v>
      </c>
      <c r="E114" s="967" t="n">
        <v>48.5993862</v>
      </c>
      <c r="F114" s="967" t="n">
        <v>47.0963124</v>
      </c>
      <c r="G114" s="967" t="n">
        <v>45.5932386</v>
      </c>
      <c r="H114" s="967" t="n">
        <v>44.0901648</v>
      </c>
      <c r="I114" s="968" t="n">
        <v>42.587091</v>
      </c>
    </row>
    <row r="115" customFormat="false" ht="12.8" hidden="false" customHeight="false" outlineLevel="0" collapsed="false">
      <c r="A115" s="532" t="n">
        <v>11</v>
      </c>
      <c r="B115" s="976" t="s">
        <v>1686</v>
      </c>
      <c r="C115" s="966"/>
      <c r="D115" s="967" t="n">
        <v>41.5918</v>
      </c>
      <c r="E115" s="967" t="n">
        <v>40.344046</v>
      </c>
      <c r="F115" s="967" t="n">
        <v>39.096292</v>
      </c>
      <c r="G115" s="967" t="n">
        <v>37.848538</v>
      </c>
      <c r="H115" s="967" t="n">
        <v>36.600784</v>
      </c>
      <c r="I115" s="968" t="n">
        <v>35.35303</v>
      </c>
    </row>
    <row r="116" customFormat="false" ht="12.8" hidden="false" customHeight="false" outlineLevel="0" collapsed="false">
      <c r="A116" s="532" t="n">
        <v>12</v>
      </c>
      <c r="B116" s="976" t="s">
        <v>1687</v>
      </c>
      <c r="C116" s="966" t="s">
        <v>2577</v>
      </c>
      <c r="D116" s="967" t="n">
        <v>26.64</v>
      </c>
      <c r="E116" s="967" t="n">
        <v>25.8408</v>
      </c>
      <c r="F116" s="967" t="n">
        <v>25.0416</v>
      </c>
      <c r="G116" s="967" t="n">
        <v>24.2424</v>
      </c>
      <c r="H116" s="967" t="n">
        <v>23.4432</v>
      </c>
      <c r="I116" s="968" t="n">
        <v>22.644</v>
      </c>
    </row>
    <row r="117" customFormat="false" ht="12.8" hidden="false" customHeight="false" outlineLevel="0" collapsed="false">
      <c r="A117" s="532" t="n">
        <v>13</v>
      </c>
      <c r="B117" s="976" t="s">
        <v>1688</v>
      </c>
      <c r="C117" s="966"/>
      <c r="D117" s="967" t="n">
        <v>35.35629</v>
      </c>
      <c r="E117" s="967" t="n">
        <v>34.2956013</v>
      </c>
      <c r="F117" s="967" t="n">
        <v>33.2349126</v>
      </c>
      <c r="G117" s="967" t="n">
        <v>32.1742239</v>
      </c>
      <c r="H117" s="967" t="n">
        <v>31.1135352</v>
      </c>
      <c r="I117" s="968" t="n">
        <v>30.0528465</v>
      </c>
    </row>
    <row r="118" customFormat="false" ht="12.8" hidden="false" customHeight="false" outlineLevel="0" collapsed="false">
      <c r="A118" s="532" t="n">
        <v>14</v>
      </c>
      <c r="B118" s="976" t="s">
        <v>1690</v>
      </c>
      <c r="C118" s="966"/>
      <c r="D118" s="967" t="n">
        <v>40.47</v>
      </c>
      <c r="E118" s="967" t="n">
        <v>39.2559</v>
      </c>
      <c r="F118" s="967" t="n">
        <v>38.0418</v>
      </c>
      <c r="G118" s="967" t="n">
        <v>36.8277</v>
      </c>
      <c r="H118" s="967" t="n">
        <v>35.6136</v>
      </c>
      <c r="I118" s="968" t="n">
        <v>34.3995</v>
      </c>
    </row>
    <row r="119" customFormat="false" ht="12.8" hidden="false" customHeight="false" outlineLevel="0" collapsed="false">
      <c r="A119" s="532" t="n">
        <v>15</v>
      </c>
      <c r="B119" s="976" t="s">
        <v>1691</v>
      </c>
      <c r="C119" s="966"/>
      <c r="D119" s="967" t="n">
        <v>25.25247432</v>
      </c>
      <c r="E119" s="967" t="n">
        <v>24.4949000904</v>
      </c>
      <c r="F119" s="967" t="n">
        <v>23.7373258608</v>
      </c>
      <c r="G119" s="967" t="n">
        <v>22.9797516312</v>
      </c>
      <c r="H119" s="967" t="n">
        <v>22.2221774016</v>
      </c>
      <c r="I119" s="968" t="n">
        <v>21.464603172</v>
      </c>
    </row>
    <row r="120" customFormat="false" ht="12.8" hidden="false" customHeight="false" outlineLevel="0" collapsed="false">
      <c r="A120" s="532" t="n">
        <v>16</v>
      </c>
      <c r="B120" s="976" t="s">
        <v>1692</v>
      </c>
      <c r="C120" s="966"/>
      <c r="D120" s="967" t="n">
        <v>20.61419004</v>
      </c>
      <c r="E120" s="967" t="n">
        <v>19.9957643388</v>
      </c>
      <c r="F120" s="967" t="n">
        <v>19.3773386376</v>
      </c>
      <c r="G120" s="967" t="n">
        <v>18.7589129364</v>
      </c>
      <c r="H120" s="967" t="n">
        <v>18.1404872352</v>
      </c>
      <c r="I120" s="968" t="n">
        <v>17.522061534</v>
      </c>
    </row>
    <row r="121" customFormat="false" ht="12.8" hidden="false" customHeight="false" outlineLevel="0" collapsed="false">
      <c r="A121" s="532" t="n">
        <v>17</v>
      </c>
      <c r="B121" s="976" t="s">
        <v>1693</v>
      </c>
      <c r="C121" s="966" t="s">
        <v>2578</v>
      </c>
      <c r="D121" s="967" t="n">
        <v>21.3</v>
      </c>
      <c r="E121" s="967" t="n">
        <v>20.661</v>
      </c>
      <c r="F121" s="967" t="n">
        <v>20.022</v>
      </c>
      <c r="G121" s="967" t="n">
        <v>19.383</v>
      </c>
      <c r="H121" s="967" t="n">
        <v>18.744</v>
      </c>
      <c r="I121" s="968" t="n">
        <v>18.105</v>
      </c>
    </row>
    <row r="122" customFormat="false" ht="12.8" hidden="false" customHeight="false" outlineLevel="0" collapsed="false">
      <c r="A122" s="532" t="n">
        <v>18</v>
      </c>
      <c r="B122" s="976" t="s">
        <v>1694</v>
      </c>
      <c r="C122" s="966"/>
      <c r="D122" s="967" t="n">
        <v>30.26866</v>
      </c>
      <c r="E122" s="967" t="n">
        <v>29.3606002</v>
      </c>
      <c r="F122" s="967" t="n">
        <v>28.4525404</v>
      </c>
      <c r="G122" s="967" t="n">
        <v>27.5444806</v>
      </c>
      <c r="H122" s="967" t="n">
        <v>26.6364208</v>
      </c>
      <c r="I122" s="968" t="n">
        <v>25.728361</v>
      </c>
    </row>
    <row r="123" customFormat="false" ht="12.8" hidden="false" customHeight="false" outlineLevel="0" collapsed="false">
      <c r="A123" s="532" t="n">
        <v>19</v>
      </c>
      <c r="B123" s="977" t="s">
        <v>1695</v>
      </c>
      <c r="C123" s="970" t="s">
        <v>2579</v>
      </c>
      <c r="D123" s="967" t="n">
        <v>170</v>
      </c>
      <c r="E123" s="967" t="n">
        <v>164.9</v>
      </c>
      <c r="F123" s="967" t="n">
        <v>159.8</v>
      </c>
      <c r="G123" s="967" t="n">
        <v>154.7</v>
      </c>
      <c r="H123" s="967" t="n">
        <v>149.6</v>
      </c>
      <c r="I123" s="968" t="n">
        <v>144.5</v>
      </c>
    </row>
    <row r="124" customFormat="false" ht="17" hidden="false" customHeight="true" outlineLevel="0" collapsed="false">
      <c r="A124" s="978"/>
      <c r="B124" s="1030" t="s">
        <v>2580</v>
      </c>
      <c r="C124" s="1030"/>
      <c r="D124" s="980"/>
      <c r="E124" s="980"/>
      <c r="F124" s="980"/>
      <c r="G124" s="980"/>
      <c r="H124" s="980"/>
      <c r="I124" s="980"/>
    </row>
    <row r="125" customFormat="false" ht="12.8" hidden="false" customHeight="false" outlineLevel="0" collapsed="false">
      <c r="A125" s="515" t="n">
        <v>1</v>
      </c>
      <c r="B125" s="1031" t="s">
        <v>1696</v>
      </c>
      <c r="C125" s="1032" t="s">
        <v>2581</v>
      </c>
      <c r="D125" s="962" t="n">
        <v>37.10556241</v>
      </c>
      <c r="E125" s="962" t="n">
        <v>35.9923955377</v>
      </c>
      <c r="F125" s="962" t="n">
        <v>34.8792286654</v>
      </c>
      <c r="G125" s="962" t="n">
        <v>33.7660617931</v>
      </c>
      <c r="H125" s="962" t="n">
        <v>32.6528949208</v>
      </c>
      <c r="I125" s="962" t="n">
        <v>31.5397280485</v>
      </c>
    </row>
    <row r="126" customFormat="false" ht="12.8" hidden="false" customHeight="false" outlineLevel="0" collapsed="false">
      <c r="A126" s="532" t="n">
        <v>2</v>
      </c>
      <c r="B126" s="975" t="s">
        <v>1697</v>
      </c>
      <c r="C126" s="960" t="s">
        <v>2582</v>
      </c>
      <c r="D126" s="964" t="n">
        <v>37.10556241</v>
      </c>
      <c r="E126" s="964" t="n">
        <v>35.9923955377</v>
      </c>
      <c r="F126" s="964" t="n">
        <v>34.8792286654</v>
      </c>
      <c r="G126" s="964" t="n">
        <v>33.7660617931</v>
      </c>
      <c r="H126" s="964" t="n">
        <v>32.6528949208</v>
      </c>
      <c r="I126" s="964" t="n">
        <v>31.5397280485</v>
      </c>
    </row>
    <row r="127" customFormat="false" ht="12.8" hidden="false" customHeight="false" outlineLevel="0" collapsed="false">
      <c r="A127" s="532" t="n">
        <v>3</v>
      </c>
      <c r="B127" s="975" t="s">
        <v>2583</v>
      </c>
      <c r="C127" s="960" t="s">
        <v>2584</v>
      </c>
      <c r="D127" s="964" t="n">
        <v>40.19775193</v>
      </c>
      <c r="E127" s="964" t="n">
        <v>38.9918193721</v>
      </c>
      <c r="F127" s="964" t="n">
        <v>37.7858868142</v>
      </c>
      <c r="G127" s="964" t="n">
        <v>36.5799542563</v>
      </c>
      <c r="H127" s="964" t="n">
        <v>35.3740216984</v>
      </c>
      <c r="I127" s="964" t="n">
        <v>34.1680891405</v>
      </c>
    </row>
    <row r="128" customFormat="false" ht="12.8" hidden="false" customHeight="false" outlineLevel="0" collapsed="false">
      <c r="A128" s="521" t="n">
        <v>4</v>
      </c>
      <c r="B128" s="976" t="s">
        <v>1699</v>
      </c>
      <c r="C128" s="966" t="s">
        <v>2585</v>
      </c>
      <c r="D128" s="968" t="n">
        <v>40.19775193</v>
      </c>
      <c r="E128" s="968" t="n">
        <v>38.9918193721</v>
      </c>
      <c r="F128" s="968" t="n">
        <v>37.7858868142</v>
      </c>
      <c r="G128" s="968" t="n">
        <v>36.5799542563</v>
      </c>
      <c r="H128" s="968" t="n">
        <v>35.3740216984</v>
      </c>
      <c r="I128" s="968" t="n">
        <v>34.1680891405</v>
      </c>
    </row>
    <row r="129" customFormat="false" ht="12.8" hidden="false" customHeight="false" outlineLevel="0" collapsed="false">
      <c r="A129" s="523" t="n">
        <v>5</v>
      </c>
      <c r="B129" s="972" t="s">
        <v>1700</v>
      </c>
      <c r="C129" s="1033" t="s">
        <v>2586</v>
      </c>
      <c r="D129" s="1034" t="n">
        <v>41.18</v>
      </c>
      <c r="E129" s="1034" t="n">
        <v>39.9446</v>
      </c>
      <c r="F129" s="1034" t="n">
        <v>38.7092</v>
      </c>
      <c r="G129" s="1034" t="n">
        <v>37.4738</v>
      </c>
      <c r="H129" s="1034" t="n">
        <v>36.2384</v>
      </c>
      <c r="I129" s="1034" t="n">
        <v>35.003</v>
      </c>
    </row>
    <row r="130" customFormat="false" ht="17" hidden="false" customHeight="true" outlineLevel="0" collapsed="false">
      <c r="A130" s="1035"/>
      <c r="B130" s="1036" t="s">
        <v>1701</v>
      </c>
      <c r="C130" s="1036"/>
      <c r="D130" s="1037"/>
      <c r="E130" s="1037"/>
      <c r="F130" s="1037"/>
      <c r="G130" s="1037"/>
      <c r="H130" s="1037"/>
      <c r="I130" s="1037"/>
    </row>
    <row r="131" customFormat="false" ht="12.8" hidden="false" customHeight="false" outlineLevel="0" collapsed="false">
      <c r="A131" s="981" t="n">
        <v>1</v>
      </c>
      <c r="B131" s="982" t="s">
        <v>1702</v>
      </c>
      <c r="C131" s="983" t="s">
        <v>2587</v>
      </c>
      <c r="D131" s="962" t="n">
        <v>17.68704339</v>
      </c>
      <c r="E131" s="1038" t="n">
        <v>17.1564320883</v>
      </c>
      <c r="F131" s="1038" t="n">
        <v>16.6258207866</v>
      </c>
      <c r="G131" s="1038" t="n">
        <v>16.0952094849</v>
      </c>
      <c r="H131" s="1038" t="n">
        <v>15.5645981832</v>
      </c>
      <c r="I131" s="1038" t="n">
        <v>15.0339868815</v>
      </c>
    </row>
    <row r="132" customFormat="false" ht="12.8" hidden="false" customHeight="false" outlineLevel="0" collapsed="false">
      <c r="A132" s="520" t="n">
        <v>2</v>
      </c>
      <c r="B132" s="987" t="s">
        <v>1703</v>
      </c>
      <c r="C132" s="988" t="s">
        <v>2588</v>
      </c>
      <c r="D132" s="968" t="n">
        <v>16.07912111</v>
      </c>
      <c r="E132" s="1039" t="n">
        <v>15.5967474767</v>
      </c>
      <c r="F132" s="1039" t="n">
        <v>15.1143738434</v>
      </c>
      <c r="G132" s="1039" t="n">
        <v>14.6320002101</v>
      </c>
      <c r="H132" s="1039" t="n">
        <v>14.1496265768</v>
      </c>
      <c r="I132" s="1039" t="n">
        <v>13.6672529435</v>
      </c>
    </row>
    <row r="133" customFormat="false" ht="12.8" hidden="false" customHeight="false" outlineLevel="0" collapsed="false">
      <c r="A133" s="520" t="n">
        <v>3</v>
      </c>
      <c r="B133" s="987" t="s">
        <v>1704</v>
      </c>
      <c r="C133" s="988" t="s">
        <v>2588</v>
      </c>
      <c r="D133" s="968" t="n">
        <v>34.01347458</v>
      </c>
      <c r="E133" s="1039" t="n">
        <v>32.9930703426</v>
      </c>
      <c r="F133" s="1039" t="n">
        <v>31.9726661052</v>
      </c>
      <c r="G133" s="1039" t="n">
        <v>30.9522618678</v>
      </c>
      <c r="H133" s="1039" t="n">
        <v>29.9318576304</v>
      </c>
      <c r="I133" s="1039" t="n">
        <v>28.911453393</v>
      </c>
    </row>
    <row r="134" customFormat="false" ht="12.8" hidden="false" customHeight="false" outlineLevel="0" collapsed="false">
      <c r="A134" s="520" t="n">
        <v>4</v>
      </c>
      <c r="B134" s="987" t="s">
        <v>1705</v>
      </c>
      <c r="C134" s="988" t="s">
        <v>2589</v>
      </c>
      <c r="D134" s="968" t="n">
        <v>34.01347458</v>
      </c>
      <c r="E134" s="1039" t="n">
        <v>32.9930703426</v>
      </c>
      <c r="F134" s="1039" t="n">
        <v>31.9726661052</v>
      </c>
      <c r="G134" s="1039" t="n">
        <v>30.9522618678</v>
      </c>
      <c r="H134" s="1039" t="n">
        <v>29.9318576304</v>
      </c>
      <c r="I134" s="1039" t="n">
        <v>28.911453393</v>
      </c>
    </row>
    <row r="135" customFormat="false" ht="12.8" hidden="false" customHeight="false" outlineLevel="0" collapsed="false">
      <c r="A135" s="520" t="n">
        <v>5</v>
      </c>
      <c r="B135" s="987" t="s">
        <v>2590</v>
      </c>
      <c r="C135" s="988" t="s">
        <v>2587</v>
      </c>
      <c r="D135" s="968" t="n">
        <v>21.64491988</v>
      </c>
      <c r="E135" s="1039" t="n">
        <v>20.9955722836</v>
      </c>
      <c r="F135" s="1039" t="n">
        <v>20.3462246872</v>
      </c>
      <c r="G135" s="1039" t="n">
        <v>19.6968770908</v>
      </c>
      <c r="H135" s="1039" t="n">
        <v>19.0475294944</v>
      </c>
      <c r="I135" s="1039" t="n">
        <v>18.398181898</v>
      </c>
    </row>
    <row r="136" customFormat="false" ht="12.8" hidden="false" customHeight="false" outlineLevel="0" collapsed="false">
      <c r="A136" s="520" t="n">
        <v>6</v>
      </c>
      <c r="B136" s="987" t="s">
        <v>2591</v>
      </c>
      <c r="C136" s="988" t="s">
        <v>2592</v>
      </c>
      <c r="D136" s="968" t="n">
        <v>34.27125873</v>
      </c>
      <c r="E136" s="1039" t="n">
        <v>33.2431209681</v>
      </c>
      <c r="F136" s="1039" t="n">
        <v>32.2149832062</v>
      </c>
      <c r="G136" s="1039" t="n">
        <v>31.1868454443</v>
      </c>
      <c r="H136" s="1039" t="n">
        <v>30.1587076824</v>
      </c>
      <c r="I136" s="1039" t="n">
        <v>29.1305699205</v>
      </c>
    </row>
    <row r="137" customFormat="false" ht="12.8" hidden="false" customHeight="false" outlineLevel="0" collapsed="false">
      <c r="A137" s="520" t="n">
        <v>7</v>
      </c>
      <c r="B137" s="987" t="s">
        <v>1707</v>
      </c>
      <c r="C137" s="988" t="s">
        <v>2592</v>
      </c>
      <c r="D137" s="968" t="n">
        <v>65.1965097</v>
      </c>
      <c r="E137" s="1039" t="n">
        <v>63.240614409</v>
      </c>
      <c r="F137" s="1039" t="n">
        <v>61.284719118</v>
      </c>
      <c r="G137" s="1039" t="n">
        <v>59.328823827</v>
      </c>
      <c r="H137" s="1039" t="n">
        <v>57.372928536</v>
      </c>
      <c r="I137" s="1039" t="n">
        <v>55.417033245</v>
      </c>
    </row>
    <row r="138" customFormat="false" ht="12.8" hidden="false" customHeight="false" outlineLevel="0" collapsed="false">
      <c r="A138" s="520" t="n">
        <v>8</v>
      </c>
      <c r="B138" s="987" t="s">
        <v>699</v>
      </c>
      <c r="C138" s="988" t="s">
        <v>700</v>
      </c>
      <c r="D138" s="968" t="n">
        <v>13.71584551</v>
      </c>
      <c r="E138" s="1039" t="n">
        <v>13.3043701447</v>
      </c>
      <c r="F138" s="1039" t="n">
        <v>12.8928947794</v>
      </c>
      <c r="G138" s="1039" t="n">
        <v>12.4814194141</v>
      </c>
      <c r="H138" s="1039" t="n">
        <v>12.0699440488</v>
      </c>
      <c r="I138" s="1039" t="n">
        <v>11.6584686835</v>
      </c>
    </row>
    <row r="139" customFormat="false" ht="12.8" hidden="false" customHeight="false" outlineLevel="0" collapsed="false">
      <c r="A139" s="520" t="n">
        <v>9</v>
      </c>
      <c r="B139" s="987" t="s">
        <v>1708</v>
      </c>
      <c r="C139" s="988" t="s">
        <v>2593</v>
      </c>
      <c r="D139" s="968" t="n">
        <v>3.12340835</v>
      </c>
      <c r="E139" s="1039" t="n">
        <v>3.0297060995</v>
      </c>
      <c r="F139" s="1039" t="n">
        <v>2.936003849</v>
      </c>
      <c r="G139" s="1039" t="n">
        <v>2.8423015985</v>
      </c>
      <c r="H139" s="1039" t="n">
        <v>2.748599348</v>
      </c>
      <c r="I139" s="1039" t="n">
        <v>2.6548970975</v>
      </c>
    </row>
    <row r="140" customFormat="false" ht="12.8" hidden="false" customHeight="false" outlineLevel="0" collapsed="false">
      <c r="A140" s="520" t="n">
        <v>10</v>
      </c>
      <c r="B140" s="987" t="s">
        <v>1709</v>
      </c>
      <c r="C140" s="988" t="s">
        <v>2594</v>
      </c>
      <c r="D140" s="968" t="n">
        <v>14.2</v>
      </c>
      <c r="E140" s="1039" t="n">
        <v>13.774</v>
      </c>
      <c r="F140" s="1039" t="n">
        <v>13.348</v>
      </c>
      <c r="G140" s="1039" t="n">
        <v>12.922</v>
      </c>
      <c r="H140" s="1039" t="n">
        <v>12.496</v>
      </c>
      <c r="I140" s="1039" t="n">
        <v>12.07</v>
      </c>
    </row>
    <row r="141" customFormat="false" ht="12.8" hidden="false" customHeight="false" outlineLevel="0" collapsed="false">
      <c r="A141" s="522" t="n">
        <v>11</v>
      </c>
      <c r="B141" s="992" t="s">
        <v>1710</v>
      </c>
      <c r="C141" s="993" t="s">
        <v>2595</v>
      </c>
      <c r="D141" s="1034" t="n">
        <v>12.78</v>
      </c>
      <c r="E141" s="1040" t="n">
        <v>12.3966</v>
      </c>
      <c r="F141" s="1040" t="n">
        <v>12.0132</v>
      </c>
      <c r="G141" s="1040" t="n">
        <v>11.6298</v>
      </c>
      <c r="H141" s="1040" t="n">
        <v>11.2464</v>
      </c>
      <c r="I141" s="1040" t="n">
        <v>10.863</v>
      </c>
    </row>
    <row r="142" customFormat="false" ht="17" hidden="false" customHeight="true" outlineLevel="0" collapsed="false">
      <c r="A142" s="1035"/>
      <c r="B142" s="1036" t="s">
        <v>1711</v>
      </c>
      <c r="C142" s="1036"/>
      <c r="D142" s="1037"/>
      <c r="E142" s="1037"/>
      <c r="F142" s="1037"/>
      <c r="G142" s="1037"/>
      <c r="H142" s="1037"/>
      <c r="I142" s="1037"/>
    </row>
    <row r="143" customFormat="false" ht="12.8" hidden="false" customHeight="false" outlineLevel="0" collapsed="false">
      <c r="A143" s="1001" t="n">
        <v>1</v>
      </c>
      <c r="B143" s="1041" t="s">
        <v>1712</v>
      </c>
      <c r="C143" s="1032" t="s">
        <v>2596</v>
      </c>
      <c r="D143" s="962" t="n">
        <v>46.11692345</v>
      </c>
      <c r="E143" s="1042" t="n">
        <v>44.7334157465</v>
      </c>
      <c r="F143" s="962" t="n">
        <v>43.349908043</v>
      </c>
      <c r="G143" s="1042" t="n">
        <v>41.9664003395</v>
      </c>
      <c r="H143" s="962" t="n">
        <v>40.582892636</v>
      </c>
      <c r="I143" s="1043" t="n">
        <v>39.1993849325</v>
      </c>
    </row>
    <row r="144" customFormat="false" ht="12.8" hidden="false" customHeight="false" outlineLevel="0" collapsed="false">
      <c r="A144" s="1009" t="n">
        <v>2</v>
      </c>
      <c r="B144" s="1044" t="s">
        <v>1713</v>
      </c>
      <c r="C144" s="966" t="s">
        <v>2596</v>
      </c>
      <c r="D144" s="968" t="n">
        <v>8.07042347</v>
      </c>
      <c r="E144" s="1045" t="n">
        <v>7.8283107659</v>
      </c>
      <c r="F144" s="968" t="n">
        <v>7.5861980618</v>
      </c>
      <c r="G144" s="1045" t="n">
        <v>7.3440853577</v>
      </c>
      <c r="H144" s="968" t="n">
        <v>7.1019726536</v>
      </c>
      <c r="I144" s="1046" t="n">
        <v>6.8598599495</v>
      </c>
    </row>
    <row r="145" customFormat="false" ht="12.8" hidden="false" customHeight="false" outlineLevel="0" collapsed="false">
      <c r="A145" s="1009" t="n">
        <v>3</v>
      </c>
      <c r="B145" s="1044" t="s">
        <v>1714</v>
      </c>
      <c r="C145" s="966" t="s">
        <v>2596</v>
      </c>
      <c r="D145" s="968" t="n">
        <v>8.07042347</v>
      </c>
      <c r="E145" s="1045" t="n">
        <v>7.8283107659</v>
      </c>
      <c r="F145" s="968" t="n">
        <v>7.5861980618</v>
      </c>
      <c r="G145" s="1045" t="n">
        <v>7.3440853577</v>
      </c>
      <c r="H145" s="968" t="n">
        <v>7.1019726536</v>
      </c>
      <c r="I145" s="1046" t="n">
        <v>6.8598599495</v>
      </c>
    </row>
    <row r="146" customFormat="false" ht="12.8" hidden="false" customHeight="false" outlineLevel="0" collapsed="false">
      <c r="A146" s="1009" t="n">
        <v>4</v>
      </c>
      <c r="B146" s="1044" t="s">
        <v>1715</v>
      </c>
      <c r="C146" s="966" t="s">
        <v>2597</v>
      </c>
      <c r="D146" s="968" t="n">
        <v>8.07042347</v>
      </c>
      <c r="E146" s="1045" t="n">
        <v>7.8283107659</v>
      </c>
      <c r="F146" s="968" t="n">
        <v>7.5861980618</v>
      </c>
      <c r="G146" s="1045" t="n">
        <v>7.3440853577</v>
      </c>
      <c r="H146" s="968" t="n">
        <v>7.1019726536</v>
      </c>
      <c r="I146" s="1046" t="n">
        <v>6.8598599495</v>
      </c>
    </row>
    <row r="147" customFormat="false" ht="12.8" hidden="false" customHeight="false" outlineLevel="0" collapsed="false">
      <c r="A147" s="1009" t="n">
        <v>5</v>
      </c>
      <c r="B147" s="1044" t="s">
        <v>1716</v>
      </c>
      <c r="C147" s="966" t="s">
        <v>2598</v>
      </c>
      <c r="D147" s="968" t="n">
        <v>53.8031621</v>
      </c>
      <c r="E147" s="1045" t="n">
        <v>52.189067237</v>
      </c>
      <c r="F147" s="968" t="n">
        <v>50.574972374</v>
      </c>
      <c r="G147" s="1045" t="n">
        <v>48.960877511</v>
      </c>
      <c r="H147" s="968" t="n">
        <v>47.346782648</v>
      </c>
      <c r="I147" s="1046" t="n">
        <v>45.732687785</v>
      </c>
    </row>
    <row r="148" customFormat="false" ht="12.8" hidden="false" customHeight="false" outlineLevel="0" collapsed="false">
      <c r="A148" s="1009" t="n">
        <v>6</v>
      </c>
      <c r="B148" s="1044" t="s">
        <v>1717</v>
      </c>
      <c r="C148" s="966"/>
      <c r="D148" s="968" t="n">
        <v>24.92310041</v>
      </c>
      <c r="E148" s="1045" t="n">
        <v>24.1754073977</v>
      </c>
      <c r="F148" s="968" t="n">
        <v>23.4277143854</v>
      </c>
      <c r="G148" s="1045" t="n">
        <v>22.6800213731</v>
      </c>
      <c r="H148" s="968" t="n">
        <v>21.9323283608</v>
      </c>
      <c r="I148" s="1046" t="n">
        <v>21.1846353485</v>
      </c>
    </row>
    <row r="149" customFormat="false" ht="12.8" hidden="false" customHeight="false" outlineLevel="0" collapsed="false">
      <c r="A149" s="1009" t="n">
        <v>7</v>
      </c>
      <c r="B149" s="1044" t="s">
        <v>1718</v>
      </c>
      <c r="C149" s="966"/>
      <c r="D149" s="968" t="n">
        <v>32.25342406</v>
      </c>
      <c r="E149" s="1045" t="n">
        <v>31.2858213382</v>
      </c>
      <c r="F149" s="968" t="n">
        <v>30.3182186164</v>
      </c>
      <c r="G149" s="1045" t="n">
        <v>29.3506158946</v>
      </c>
      <c r="H149" s="968" t="n">
        <v>28.3830131728</v>
      </c>
      <c r="I149" s="1046" t="n">
        <v>27.415410451</v>
      </c>
    </row>
    <row r="150" customFormat="false" ht="12.8" hidden="false" customHeight="false" outlineLevel="0" collapsed="false">
      <c r="A150" s="1047" t="n">
        <v>8</v>
      </c>
      <c r="B150" s="1048" t="s">
        <v>1719</v>
      </c>
      <c r="C150" s="1033" t="s">
        <v>2599</v>
      </c>
      <c r="D150" s="1034" t="n">
        <v>71.4</v>
      </c>
      <c r="E150" s="1049" t="n">
        <v>69.258</v>
      </c>
      <c r="F150" s="1034" t="n">
        <v>67.116</v>
      </c>
      <c r="G150" s="1049" t="n">
        <v>64.974</v>
      </c>
      <c r="H150" s="1034" t="n">
        <v>62.832</v>
      </c>
      <c r="I150" s="1050" t="n">
        <v>60.69</v>
      </c>
    </row>
  </sheetData>
  <mergeCells count="18">
    <mergeCell ref="A1:I1"/>
    <mergeCell ref="A2:I2"/>
    <mergeCell ref="A3:I3"/>
    <mergeCell ref="A4:I4"/>
    <mergeCell ref="A5:I5"/>
    <mergeCell ref="A6:I6"/>
    <mergeCell ref="B8:C8"/>
    <mergeCell ref="B59:C59"/>
    <mergeCell ref="B71:C71"/>
    <mergeCell ref="B79:C79"/>
    <mergeCell ref="B84:C84"/>
    <mergeCell ref="B88:C88"/>
    <mergeCell ref="B94:C94"/>
    <mergeCell ref="B98:C98"/>
    <mergeCell ref="B104:C104"/>
    <mergeCell ref="B124:C124"/>
    <mergeCell ref="B130:C130"/>
    <mergeCell ref="B142:C142"/>
  </mergeCells>
  <hyperlinks>
    <hyperlink ref="A1" location="Главная!R1C1" display="&lt; На главную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7" width="34.73"/>
    <col collapsed="false" customWidth="false" hidden="false" outlineLevel="0" max="2" min="2" style="308" width="11.52"/>
    <col collapsed="false" customWidth="true" hidden="false" outlineLevel="0" max="3" min="3" style="309" width="32.99"/>
    <col collapsed="false" customWidth="true" hidden="false" outlineLevel="0" max="4" min="4" style="307" width="22.69"/>
    <col collapsed="false" customWidth="false" hidden="false" outlineLevel="0" max="7" min="5" style="307" width="11.52"/>
    <col collapsed="false" customWidth="true" hidden="false" outlineLevel="0" max="8" min="8" style="307" width="36.38"/>
    <col collapsed="false" customWidth="false" hidden="false" outlineLevel="0" max="64" min="9" style="307" width="11.52"/>
  </cols>
  <sheetData>
    <row r="1" customFormat="false" ht="12.8" hidden="false" customHeight="false" outlineLevel="0" collapsed="false">
      <c r="A1" s="309"/>
      <c r="B1" s="4" t="s">
        <v>0</v>
      </c>
      <c r="C1" s="5" t="s">
        <v>1</v>
      </c>
      <c r="D1" s="6" t="s">
        <v>2</v>
      </c>
      <c r="E1" s="0"/>
      <c r="F1" s="0"/>
    </row>
    <row r="2" customFormat="false" ht="12.8" hidden="false" customHeight="false" outlineLevel="0" collapsed="false">
      <c r="A2" s="309" t="s">
        <v>224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  <c r="E2" s="0"/>
      <c r="F2" s="0"/>
    </row>
    <row r="4" customFormat="false" ht="12.8" hidden="false" customHeight="false" outlineLevel="0" collapsed="false">
      <c r="A4" s="307" t="s">
        <v>6</v>
      </c>
      <c r="G4" s="311" t="s">
        <v>225</v>
      </c>
    </row>
    <row r="5" customFormat="false" ht="12.8" hidden="false" customHeight="false" outlineLevel="0" collapsed="false">
      <c r="A5" s="307" t="s">
        <v>226</v>
      </c>
      <c r="B5" s="308" t="n">
        <f aca="false">ROUNDUP(G5*$B$2,-2)</f>
        <v>2300</v>
      </c>
      <c r="C5" s="309" t="s">
        <v>227</v>
      </c>
      <c r="D5" s="307" t="s">
        <v>228</v>
      </c>
      <c r="G5" s="308" t="n">
        <v>27</v>
      </c>
      <c r="H5" s="312"/>
      <c r="I5" s="308" t="n">
        <v>1980</v>
      </c>
    </row>
    <row r="6" customFormat="false" ht="12.8" hidden="false" customHeight="false" outlineLevel="0" collapsed="false">
      <c r="A6" s="307" t="s">
        <v>229</v>
      </c>
      <c r="B6" s="308" t="n">
        <f aca="false">ROUNDUP(G6*$B$2,-2)</f>
        <v>2300</v>
      </c>
      <c r="C6" s="309" t="s">
        <v>230</v>
      </c>
      <c r="D6" s="307" t="s">
        <v>231</v>
      </c>
      <c r="G6" s="308" t="n">
        <v>26.4</v>
      </c>
      <c r="H6" s="312"/>
      <c r="I6" s="308" t="n">
        <v>1980</v>
      </c>
    </row>
    <row r="7" customFormat="false" ht="12.8" hidden="false" customHeight="false" outlineLevel="0" collapsed="false">
      <c r="A7" s="307" t="s">
        <v>232</v>
      </c>
      <c r="B7" s="308" t="n">
        <f aca="false">ROUNDUP(G7*$B$2,-2)</f>
        <v>2500</v>
      </c>
      <c r="C7" s="309" t="s">
        <v>233</v>
      </c>
      <c r="D7" s="307" t="s">
        <v>228</v>
      </c>
      <c r="G7" s="308" t="n">
        <v>29.2</v>
      </c>
      <c r="H7" s="312"/>
      <c r="I7" s="308" t="n">
        <v>2190</v>
      </c>
    </row>
    <row r="8" customFormat="false" ht="12.8" hidden="false" customHeight="false" outlineLevel="0" collapsed="false">
      <c r="A8" s="307" t="s">
        <v>234</v>
      </c>
      <c r="B8" s="308" t="n">
        <f aca="false">ROUNDUP(G8*$B$2,-2)</f>
        <v>2500</v>
      </c>
      <c r="C8" s="309" t="s">
        <v>235</v>
      </c>
      <c r="D8" s="307" t="s">
        <v>231</v>
      </c>
      <c r="G8" s="308" t="n">
        <v>29.2</v>
      </c>
      <c r="H8" s="312"/>
      <c r="I8" s="308" t="n">
        <v>2190</v>
      </c>
    </row>
    <row r="9" customFormat="false" ht="12.8" hidden="false" customHeight="false" outlineLevel="0" collapsed="false">
      <c r="A9" s="307" t="s">
        <v>236</v>
      </c>
      <c r="B9" s="308" t="n">
        <f aca="false">ROUNDUP(G9*$B$2,-2)</f>
        <v>2700</v>
      </c>
      <c r="C9" s="309" t="s">
        <v>237</v>
      </c>
      <c r="D9" s="307" t="s">
        <v>228</v>
      </c>
      <c r="G9" s="308" t="n">
        <v>31.7333333333333</v>
      </c>
      <c r="H9" s="312"/>
      <c r="I9" s="308" t="n">
        <v>2380</v>
      </c>
    </row>
    <row r="10" customFormat="false" ht="12.8" hidden="false" customHeight="false" outlineLevel="0" collapsed="false">
      <c r="A10" s="307" t="s">
        <v>238</v>
      </c>
      <c r="B10" s="308" t="n">
        <f aca="false">ROUNDUP(G10*$B$2,-2)</f>
        <v>2800</v>
      </c>
      <c r="C10" s="309" t="s">
        <v>239</v>
      </c>
      <c r="D10" s="307" t="s">
        <v>231</v>
      </c>
      <c r="G10" s="308" t="n">
        <v>31.8666666666667</v>
      </c>
      <c r="H10" s="312"/>
      <c r="I10" s="308" t="n">
        <v>2390</v>
      </c>
    </row>
    <row r="11" customFormat="false" ht="12.8" hidden="false" customHeight="false" outlineLevel="0" collapsed="false">
      <c r="A11" s="307" t="s">
        <v>240</v>
      </c>
      <c r="B11" s="308" t="n">
        <f aca="false">ROUNDUP(G11*$B$2,-2)</f>
        <v>2800</v>
      </c>
      <c r="C11" s="309" t="s">
        <v>241</v>
      </c>
      <c r="D11" s="307" t="s">
        <v>231</v>
      </c>
      <c r="G11" s="308" t="n">
        <v>32</v>
      </c>
      <c r="H11" s="312"/>
      <c r="I11" s="308" t="n">
        <v>2400</v>
      </c>
    </row>
    <row r="12" customFormat="false" ht="12.8" hidden="false" customHeight="false" outlineLevel="0" collapsed="false">
      <c r="A12" s="307" t="s">
        <v>242</v>
      </c>
      <c r="B12" s="308" t="n">
        <f aca="false">ROUNDUP(G12*$B$2,-2)</f>
        <v>2800</v>
      </c>
      <c r="C12" s="309" t="s">
        <v>243</v>
      </c>
      <c r="D12" s="307" t="s">
        <v>228</v>
      </c>
      <c r="G12" s="308" t="n">
        <v>32</v>
      </c>
      <c r="H12" s="312"/>
      <c r="I12" s="308" t="n">
        <v>2400</v>
      </c>
    </row>
    <row r="13" customFormat="false" ht="12.8" hidden="false" customHeight="false" outlineLevel="0" collapsed="false">
      <c r="A13" s="307" t="s">
        <v>244</v>
      </c>
      <c r="B13" s="308" t="n">
        <f aca="false">ROUNDUP(G13*$B$2,-2)</f>
        <v>3000</v>
      </c>
      <c r="C13" s="309" t="s">
        <v>245</v>
      </c>
      <c r="D13" s="307" t="s">
        <v>228</v>
      </c>
      <c r="G13" s="308" t="n">
        <v>34.6666666666667</v>
      </c>
      <c r="H13" s="312"/>
      <c r="I13" s="308" t="n">
        <v>2600</v>
      </c>
    </row>
    <row r="14" customFormat="false" ht="12.8" hidden="false" customHeight="false" outlineLevel="0" collapsed="false">
      <c r="A14" s="307" t="s">
        <v>246</v>
      </c>
      <c r="B14" s="308" t="n">
        <f aca="false">ROUNDUP(G14*$B$2,-2)</f>
        <v>3000</v>
      </c>
      <c r="C14" s="309" t="s">
        <v>247</v>
      </c>
      <c r="D14" s="307" t="s">
        <v>231</v>
      </c>
      <c r="G14" s="308" t="n">
        <v>34.6666666666667</v>
      </c>
      <c r="H14" s="312"/>
      <c r="I14" s="308" t="n">
        <v>2600</v>
      </c>
    </row>
    <row r="15" customFormat="false" ht="12.8" hidden="false" customHeight="false" outlineLevel="0" collapsed="false">
      <c r="A15" s="307" t="s">
        <v>248</v>
      </c>
      <c r="B15" s="308" t="n">
        <f aca="false">ROUNDUP(G15*$B$2,-2)</f>
        <v>3000</v>
      </c>
      <c r="C15" s="309" t="s">
        <v>249</v>
      </c>
      <c r="D15" s="307" t="s">
        <v>228</v>
      </c>
      <c r="G15" s="308" t="n">
        <v>34.6666666666667</v>
      </c>
      <c r="H15" s="312"/>
      <c r="I15" s="308" t="n">
        <v>2600</v>
      </c>
    </row>
    <row r="16" customFormat="false" ht="12.8" hidden="false" customHeight="false" outlineLevel="0" collapsed="false">
      <c r="A16" s="307" t="s">
        <v>250</v>
      </c>
      <c r="B16" s="308" t="n">
        <f aca="false">ROUNDUP(G16*$B$2,-2)</f>
        <v>3200</v>
      </c>
      <c r="C16" s="309" t="s">
        <v>251</v>
      </c>
      <c r="D16" s="307" t="s">
        <v>228</v>
      </c>
      <c r="G16" s="308" t="n">
        <v>37.3333333333333</v>
      </c>
      <c r="H16" s="312"/>
      <c r="I16" s="308" t="n">
        <v>2800</v>
      </c>
    </row>
    <row r="17" customFormat="false" ht="12.8" hidden="false" customHeight="false" outlineLevel="0" collapsed="false">
      <c r="A17" s="307" t="s">
        <v>252</v>
      </c>
      <c r="B17" s="308" t="n">
        <f aca="false">ROUNDUP(G17*$B$2,-2)</f>
        <v>3200</v>
      </c>
      <c r="C17" s="309" t="s">
        <v>253</v>
      </c>
      <c r="D17" s="307" t="s">
        <v>228</v>
      </c>
      <c r="G17" s="308" t="n">
        <v>37.6</v>
      </c>
      <c r="H17" s="312"/>
      <c r="I17" s="308" t="n">
        <v>2820</v>
      </c>
    </row>
    <row r="18" customFormat="false" ht="12.8" hidden="false" customHeight="false" outlineLevel="0" collapsed="false">
      <c r="A18" s="307" t="s">
        <v>254</v>
      </c>
      <c r="B18" s="308" t="n">
        <f aca="false">ROUNDUP(G18*$B$2,-2)</f>
        <v>3200</v>
      </c>
      <c r="C18" s="309" t="s">
        <v>255</v>
      </c>
      <c r="D18" s="307" t="s">
        <v>228</v>
      </c>
      <c r="G18" s="308" t="n">
        <v>37.6</v>
      </c>
      <c r="H18" s="312"/>
      <c r="I18" s="308" t="n">
        <v>2820</v>
      </c>
    </row>
    <row r="19" customFormat="false" ht="12.8" hidden="false" customHeight="false" outlineLevel="0" collapsed="false">
      <c r="A19" s="313" t="s">
        <v>256</v>
      </c>
      <c r="B19" s="314" t="n">
        <f aca="false">ROUNDUP(G19*$C$2,-2)</f>
        <v>6000</v>
      </c>
      <c r="C19" s="313" t="s">
        <v>257</v>
      </c>
      <c r="D19" s="307" t="s">
        <v>258</v>
      </c>
      <c r="F19" s="315"/>
      <c r="G19" s="307" t="n">
        <v>49.41</v>
      </c>
      <c r="I19" s="316" t="n">
        <f aca="false">_xlfn.CEILING.MATH(G19*$C$2,10,0)</f>
        <v>5930</v>
      </c>
    </row>
    <row r="20" customFormat="false" ht="12.8" hidden="false" customHeight="false" outlineLevel="0" collapsed="false">
      <c r="A20" s="313" t="s">
        <v>259</v>
      </c>
      <c r="B20" s="314" t="n">
        <f aca="false">ROUNDUP(G20*$C$2,-2)</f>
        <v>10000</v>
      </c>
      <c r="C20" s="313" t="s">
        <v>260</v>
      </c>
      <c r="D20" s="307" t="s">
        <v>261</v>
      </c>
      <c r="F20" s="315"/>
      <c r="G20" s="307" t="n">
        <v>83.06</v>
      </c>
      <c r="I20" s="316" t="n">
        <f aca="false">_xlfn.CEILING.MATH(G20*$C$2,10,0)</f>
        <v>9970</v>
      </c>
    </row>
    <row r="21" customFormat="false" ht="12.8" hidden="false" customHeight="false" outlineLevel="0" collapsed="false">
      <c r="A21" s="313" t="s">
        <v>262</v>
      </c>
      <c r="B21" s="314" t="n">
        <f aca="false">ROUNDUP(G21*$C$2,-2)</f>
        <v>10000</v>
      </c>
      <c r="C21" s="313" t="s">
        <v>263</v>
      </c>
      <c r="D21" s="307" t="s">
        <v>264</v>
      </c>
      <c r="F21" s="315"/>
      <c r="G21" s="307" t="n">
        <v>83.06</v>
      </c>
      <c r="I21" s="316" t="n">
        <f aca="false">_xlfn.CEILING.MATH(G21*$C$2,10,0)</f>
        <v>9970</v>
      </c>
    </row>
    <row r="22" customFormat="false" ht="12.8" hidden="false" customHeight="false" outlineLevel="0" collapsed="false">
      <c r="A22" s="313" t="s">
        <v>265</v>
      </c>
      <c r="B22" s="314" t="n">
        <f aca="false">ROUNDUP(G22*$C$2,-2)</f>
        <v>10000</v>
      </c>
      <c r="C22" s="313" t="s">
        <v>266</v>
      </c>
      <c r="D22" s="307" t="s">
        <v>267</v>
      </c>
      <c r="F22" s="315"/>
      <c r="G22" s="307" t="n">
        <v>83.06</v>
      </c>
      <c r="I22" s="316" t="n">
        <f aca="false">_xlfn.CEILING.MATH(G22*$C$2,10,0)</f>
        <v>9970</v>
      </c>
    </row>
    <row r="23" customFormat="false" ht="12.8" hidden="false" customHeight="false" outlineLevel="0" collapsed="false">
      <c r="A23" s="313" t="s">
        <v>268</v>
      </c>
      <c r="B23" s="314" t="n">
        <f aca="false">ROUNDUP(G23*$C$2,-2)</f>
        <v>10000</v>
      </c>
      <c r="C23" s="313" t="s">
        <v>269</v>
      </c>
      <c r="D23" s="307" t="s">
        <v>270</v>
      </c>
      <c r="F23" s="315"/>
      <c r="G23" s="307" t="n">
        <v>83.06</v>
      </c>
      <c r="I23" s="316" t="n">
        <f aca="false">_xlfn.CEILING.MATH(G23*$C$2,10,0)</f>
        <v>9970</v>
      </c>
    </row>
    <row r="24" customFormat="false" ht="12.8" hidden="false" customHeight="false" outlineLevel="0" collapsed="false">
      <c r="A24" s="313" t="s">
        <v>271</v>
      </c>
      <c r="B24" s="314" t="n">
        <f aca="false">ROUNDUP(G24*$C$2,-2)</f>
        <v>10800</v>
      </c>
      <c r="C24" s="313" t="s">
        <v>272</v>
      </c>
      <c r="D24" s="307" t="s">
        <v>273</v>
      </c>
      <c r="F24" s="315"/>
      <c r="G24" s="307" t="n">
        <v>90</v>
      </c>
      <c r="I24" s="316" t="n">
        <f aca="false">_xlfn.CEILING.MATH(G24*$C$2,10,0)</f>
        <v>10800</v>
      </c>
    </row>
    <row r="25" customFormat="false" ht="12.8" hidden="false" customHeight="false" outlineLevel="0" collapsed="false">
      <c r="A25" s="313" t="s">
        <v>274</v>
      </c>
      <c r="B25" s="314" t="n">
        <f aca="false">ROUNDUP(G25*$C$2,-2)</f>
        <v>13100</v>
      </c>
      <c r="C25" s="313" t="s">
        <v>275</v>
      </c>
      <c r="D25" s="307" t="s">
        <v>261</v>
      </c>
      <c r="F25" s="315"/>
      <c r="G25" s="307" t="n">
        <v>108.47</v>
      </c>
      <c r="I25" s="316" t="n">
        <f aca="false">_xlfn.CEILING.MATH(G25*$C$2,10,0)</f>
        <v>13020</v>
      </c>
    </row>
    <row r="26" customFormat="false" ht="12.8" hidden="false" customHeight="false" outlineLevel="0" collapsed="false">
      <c r="A26" s="313" t="s">
        <v>276</v>
      </c>
      <c r="B26" s="314" t="n">
        <f aca="false">ROUNDUP(G26*$C$2,-2)</f>
        <v>13100</v>
      </c>
      <c r="C26" s="313" t="s">
        <v>277</v>
      </c>
      <c r="D26" s="309" t="s">
        <v>278</v>
      </c>
      <c r="F26" s="315"/>
      <c r="G26" s="307" t="n">
        <v>108.47</v>
      </c>
      <c r="I26" s="316" t="n">
        <f aca="false">_xlfn.CEILING.MATH(G26*$C$2,10,0)</f>
        <v>13020</v>
      </c>
    </row>
    <row r="27" customFormat="false" ht="12.8" hidden="false" customHeight="false" outlineLevel="0" collapsed="false">
      <c r="A27" s="313" t="s">
        <v>279</v>
      </c>
      <c r="B27" s="314" t="n">
        <f aca="false">ROUNDUP(G27*$C$2,-2)</f>
        <v>13100</v>
      </c>
      <c r="C27" s="313" t="s">
        <v>280</v>
      </c>
      <c r="D27" s="309" t="s">
        <v>281</v>
      </c>
      <c r="F27" s="315"/>
      <c r="G27" s="307" t="n">
        <v>108.47</v>
      </c>
      <c r="I27" s="316" t="n">
        <f aca="false">_xlfn.CEILING.MATH(G27*$C$2,10,0)</f>
        <v>13020</v>
      </c>
    </row>
    <row r="28" customFormat="false" ht="14.75" hidden="false" customHeight="true" outlineLevel="0" collapsed="false">
      <c r="A28" s="313" t="s">
        <v>282</v>
      </c>
      <c r="B28" s="314" t="n">
        <f aca="false">ROUNDUP(G28*$C$2,-2)</f>
        <v>11800</v>
      </c>
      <c r="C28" s="313" t="s">
        <v>283</v>
      </c>
      <c r="D28" s="309" t="s">
        <v>270</v>
      </c>
      <c r="F28" s="315"/>
      <c r="G28" s="307" t="n">
        <v>97.88</v>
      </c>
      <c r="I28" s="316" t="n">
        <f aca="false">_xlfn.CEILING.MATH(G28*$C$2,10,0)</f>
        <v>11750</v>
      </c>
    </row>
    <row r="29" customFormat="false" ht="12.8" hidden="false" customHeight="false" outlineLevel="0" collapsed="false">
      <c r="A29" s="313" t="s">
        <v>284</v>
      </c>
      <c r="B29" s="314" t="n">
        <f aca="false">ROUNDUP(G29*$C$2,-2)</f>
        <v>14300</v>
      </c>
      <c r="C29" s="313" t="s">
        <v>285</v>
      </c>
      <c r="D29" s="307" t="s">
        <v>286</v>
      </c>
      <c r="F29" s="315"/>
      <c r="G29" s="307" t="n">
        <v>118.82</v>
      </c>
      <c r="I29" s="316" t="n">
        <f aca="false">_xlfn.CEILING.MATH(G29*$C$2,10,0)</f>
        <v>14260</v>
      </c>
    </row>
    <row r="30" customFormat="false" ht="12.8" hidden="false" customHeight="false" outlineLevel="0" collapsed="false">
      <c r="A30" s="313" t="s">
        <v>287</v>
      </c>
      <c r="B30" s="314" t="n">
        <f aca="false">ROUNDUP(G30*$C$2,-2)</f>
        <v>14700</v>
      </c>
      <c r="C30" s="313" t="s">
        <v>288</v>
      </c>
      <c r="D30" s="307" t="s">
        <v>270</v>
      </c>
      <c r="F30" s="315"/>
      <c r="G30" s="307" t="n">
        <v>122.35</v>
      </c>
      <c r="I30" s="316" t="n">
        <f aca="false">_xlfn.CEILING.MATH(G30*$C$2,10,0)</f>
        <v>14690</v>
      </c>
    </row>
    <row r="31" customFormat="false" ht="12.8" hidden="false" customHeight="false" outlineLevel="0" collapsed="false">
      <c r="A31" s="317" t="s">
        <v>289</v>
      </c>
      <c r="B31" s="314" t="n">
        <f aca="false">ROUNDUP(G31*$C$2,-2)</f>
        <v>17900</v>
      </c>
      <c r="C31" s="318" t="s">
        <v>290</v>
      </c>
      <c r="D31" s="307" t="s">
        <v>286</v>
      </c>
      <c r="F31" s="315"/>
      <c r="G31" s="307" t="n">
        <v>148.71</v>
      </c>
      <c r="I31" s="316" t="n">
        <f aca="false">_xlfn.CEILING.MATH(G31*$C$2,10,0)</f>
        <v>17850</v>
      </c>
    </row>
    <row r="32" customFormat="false" ht="12.8" hidden="false" customHeight="false" outlineLevel="0" collapsed="false">
      <c r="A32" s="317" t="s">
        <v>291</v>
      </c>
      <c r="B32" s="314" t="n">
        <f aca="false">ROUNDUP(G32*$C$2,-2)</f>
        <v>9600</v>
      </c>
      <c r="C32" s="318" t="s">
        <v>292</v>
      </c>
      <c r="D32" s="307" t="s">
        <v>293</v>
      </c>
      <c r="F32" s="315"/>
      <c r="G32" s="307" t="n">
        <v>79.41</v>
      </c>
      <c r="I32" s="316" t="n">
        <f aca="false">_xlfn.CEILING.MATH(G32*$C$2,10,0)</f>
        <v>9530</v>
      </c>
    </row>
    <row r="33" customFormat="false" ht="12.8" hidden="false" customHeight="false" outlineLevel="0" collapsed="false">
      <c r="A33" s="319" t="s">
        <v>294</v>
      </c>
      <c r="B33" s="314" t="n">
        <f aca="false">ROUNDUP(G33*$C$2,-2)</f>
        <v>11100</v>
      </c>
      <c r="C33" s="319" t="s">
        <v>295</v>
      </c>
      <c r="D33" s="307" t="s">
        <v>296</v>
      </c>
      <c r="F33" s="315"/>
      <c r="G33" s="307" t="n">
        <v>91.76</v>
      </c>
      <c r="I33" s="316" t="n">
        <f aca="false">_xlfn.CEILING.MATH(G33*$C$2,10,0)</f>
        <v>11020</v>
      </c>
    </row>
    <row r="34" customFormat="false" ht="12.8" hidden="false" customHeight="false" outlineLevel="0" collapsed="false">
      <c r="A34" s="319" t="s">
        <v>297</v>
      </c>
      <c r="B34" s="314" t="n">
        <f aca="false">ROUNDUP(G34*$C$2,-2)</f>
        <v>13600</v>
      </c>
      <c r="C34" s="319" t="s">
        <v>298</v>
      </c>
      <c r="D34" s="307" t="s">
        <v>293</v>
      </c>
      <c r="F34" s="315"/>
      <c r="G34" s="307" t="n">
        <v>113.06</v>
      </c>
      <c r="I34" s="316" t="n">
        <f aca="false">_xlfn.CEILING.MATH(G34*$C$2,10,0)</f>
        <v>13570</v>
      </c>
    </row>
    <row r="35" customFormat="false" ht="12.8" hidden="false" customHeight="false" outlineLevel="0" collapsed="false">
      <c r="A35" s="319" t="s">
        <v>299</v>
      </c>
      <c r="B35" s="314" t="n">
        <f aca="false">ROUNDUP(G35*$C$2,-2)</f>
        <v>16200</v>
      </c>
      <c r="C35" s="319" t="s">
        <v>300</v>
      </c>
      <c r="D35" s="307" t="s">
        <v>296</v>
      </c>
      <c r="F35" s="315"/>
      <c r="G35" s="307" t="n">
        <v>134.47</v>
      </c>
      <c r="I35" s="316" t="n">
        <f aca="false">_xlfn.CEILING.MATH(G35*$C$2,10,0)</f>
        <v>16140</v>
      </c>
    </row>
    <row r="36" customFormat="false" ht="12.8" hidden="false" customHeight="false" outlineLevel="0" collapsed="false">
      <c r="A36" s="319" t="s">
        <v>301</v>
      </c>
      <c r="B36" s="314" t="n">
        <f aca="false">ROUNDUP(G36*$C$2,-2)</f>
        <v>27900</v>
      </c>
      <c r="C36" s="319" t="s">
        <v>302</v>
      </c>
      <c r="D36" s="307" t="s">
        <v>303</v>
      </c>
      <c r="F36" s="315"/>
      <c r="G36" s="307" t="n">
        <v>232.35</v>
      </c>
      <c r="I36" s="316" t="n">
        <f aca="false">_xlfn.CEILING.MATH(G36*$C$2,10,0)</f>
        <v>27890</v>
      </c>
    </row>
    <row r="37" customFormat="false" ht="12.8" hidden="false" customHeight="false" outlineLevel="0" collapsed="false">
      <c r="A37" s="319" t="s">
        <v>304</v>
      </c>
      <c r="B37" s="314" t="n">
        <f aca="false">ROUNDUP(G37*$C$2,-2)</f>
        <v>30900</v>
      </c>
      <c r="C37" s="319" t="s">
        <v>305</v>
      </c>
      <c r="D37" s="307" t="s">
        <v>306</v>
      </c>
      <c r="F37" s="315"/>
      <c r="G37" s="307" t="n">
        <v>256.82</v>
      </c>
      <c r="I37" s="316" t="n">
        <f aca="false">_xlfn.CEILING.MATH(G37*$C$2,10,0)</f>
        <v>30820</v>
      </c>
    </row>
    <row r="38" customFormat="false" ht="19.25" hidden="false" customHeight="false" outlineLevel="0" collapsed="false">
      <c r="A38" s="319" t="s">
        <v>307</v>
      </c>
      <c r="B38" s="314" t="n">
        <f aca="false">ROUNDUP(G38*$C$2,-2)</f>
        <v>31600</v>
      </c>
      <c r="C38" s="319" t="s">
        <v>308</v>
      </c>
      <c r="D38" s="307" t="s">
        <v>303</v>
      </c>
      <c r="F38" s="315"/>
      <c r="G38" s="307" t="n">
        <v>262.94</v>
      </c>
      <c r="I38" s="316" t="n">
        <f aca="false">_xlfn.CEILING.MATH(G38*$C$2,10,0)</f>
        <v>31560</v>
      </c>
    </row>
    <row r="39" customFormat="false" ht="19.25" hidden="false" customHeight="false" outlineLevel="0" collapsed="false">
      <c r="A39" s="319" t="s">
        <v>309</v>
      </c>
      <c r="B39" s="314" t="n">
        <f aca="false">ROUNDUP(G39*$C$2,-2)</f>
        <v>34500</v>
      </c>
      <c r="C39" s="319" t="s">
        <v>310</v>
      </c>
      <c r="D39" s="307" t="s">
        <v>306</v>
      </c>
      <c r="F39" s="315"/>
      <c r="G39" s="307" t="n">
        <v>287.41</v>
      </c>
      <c r="I39" s="316" t="n">
        <f aca="false">_xlfn.CEILING.MATH(G39*$C$2,10,0)</f>
        <v>34490</v>
      </c>
    </row>
    <row r="40" customFormat="false" ht="19.25" hidden="false" customHeight="false" outlineLevel="0" collapsed="false">
      <c r="A40" s="319" t="s">
        <v>311</v>
      </c>
      <c r="B40" s="314" t="n">
        <f aca="false">ROUNDUP(G40*$C$2,-2)</f>
        <v>18400</v>
      </c>
      <c r="C40" s="319" t="s">
        <v>312</v>
      </c>
      <c r="D40" s="307" t="s">
        <v>313</v>
      </c>
      <c r="F40" s="315"/>
      <c r="G40" s="307" t="n">
        <v>152.94</v>
      </c>
      <c r="I40" s="316" t="n">
        <f aca="false">_xlfn.CEILING.MATH(G40*$C$2,10,0)</f>
        <v>18360</v>
      </c>
    </row>
    <row r="41" customFormat="false" ht="19.25" hidden="false" customHeight="false" outlineLevel="0" collapsed="false">
      <c r="A41" s="319" t="s">
        <v>314</v>
      </c>
      <c r="B41" s="314" t="n">
        <f aca="false">ROUNDUP(G41*$C$2,-2)</f>
        <v>13300</v>
      </c>
      <c r="C41" s="319" t="s">
        <v>315</v>
      </c>
      <c r="D41" s="307" t="s">
        <v>316</v>
      </c>
      <c r="F41" s="315"/>
      <c r="G41" s="307" t="n">
        <v>110.12</v>
      </c>
      <c r="I41" s="316" t="n">
        <f aca="false">_xlfn.CEILING.MATH(G41*$C$2,10,0)</f>
        <v>13220</v>
      </c>
    </row>
    <row r="42" customFormat="false" ht="12.8" hidden="false" customHeight="false" outlineLevel="0" collapsed="false">
      <c r="A42" s="319" t="s">
        <v>317</v>
      </c>
      <c r="B42" s="314" t="n">
        <f aca="false">ROUNDUP(G42*$C$2,-2)</f>
        <v>11100</v>
      </c>
      <c r="C42" s="319" t="s">
        <v>318</v>
      </c>
      <c r="D42" s="307" t="s">
        <v>319</v>
      </c>
      <c r="F42" s="315"/>
      <c r="G42" s="307" t="n">
        <v>91.76</v>
      </c>
      <c r="I42" s="316" t="n">
        <f aca="false">_xlfn.CEILING.MATH(G42*$C$2,10,0)</f>
        <v>11020</v>
      </c>
    </row>
    <row r="43" customFormat="false" ht="12.8" hidden="false" customHeight="false" outlineLevel="0" collapsed="false">
      <c r="A43" s="319" t="s">
        <v>320</v>
      </c>
      <c r="B43" s="314" t="n">
        <f aca="false">ROUNDUP(G43*$C$2,-2)</f>
        <v>14400</v>
      </c>
      <c r="C43" s="319" t="s">
        <v>321</v>
      </c>
      <c r="D43" s="307" t="s">
        <v>322</v>
      </c>
      <c r="F43" s="315"/>
      <c r="G43" s="307" t="n">
        <v>119.18</v>
      </c>
      <c r="I43" s="316" t="n">
        <f aca="false">_xlfn.CEILING.MATH(G43*$C$2,10,0)</f>
        <v>14310</v>
      </c>
    </row>
    <row r="44" customFormat="false" ht="19.25" hidden="false" customHeight="false" outlineLevel="0" collapsed="false">
      <c r="A44" s="320" t="s">
        <v>323</v>
      </c>
      <c r="B44" s="314" t="n">
        <f aca="false">ROUNDUP(G44*$C$2,-2)</f>
        <v>17300</v>
      </c>
      <c r="C44" s="320" t="s">
        <v>324</v>
      </c>
      <c r="D44" s="307" t="s">
        <v>322</v>
      </c>
      <c r="F44" s="315"/>
      <c r="G44" s="307" t="n">
        <v>143.65</v>
      </c>
      <c r="I44" s="316" t="n">
        <f aca="false">_xlfn.CEILING.MATH(G44*$C$2,10,0)</f>
        <v>17240</v>
      </c>
    </row>
    <row r="45" customFormat="false" ht="12.8" hidden="false" customHeight="false" outlineLevel="0" collapsed="false">
      <c r="A45" s="320" t="s">
        <v>320</v>
      </c>
      <c r="B45" s="314" t="n">
        <f aca="false">ROUNDUP(G45*$C$2,-2)</f>
        <v>14400</v>
      </c>
      <c r="C45" s="320" t="s">
        <v>321</v>
      </c>
      <c r="D45" s="307" t="s">
        <v>322</v>
      </c>
      <c r="F45" s="315"/>
      <c r="G45" s="307" t="n">
        <v>119.18</v>
      </c>
      <c r="I45" s="316" t="n">
        <f aca="false">_xlfn.CEILING.MATH(G45*$C$2,10,0)</f>
        <v>14310</v>
      </c>
    </row>
    <row r="46" customFormat="false" ht="12.8" hidden="false" customHeight="false" outlineLevel="0" collapsed="false">
      <c r="A46" s="320"/>
      <c r="B46" s="308" t="n">
        <f aca="false">I46*1.3</f>
        <v>0</v>
      </c>
      <c r="C46" s="320"/>
      <c r="F46" s="315"/>
      <c r="I46" s="316"/>
    </row>
    <row r="47" customFormat="false" ht="12.8" hidden="false" customHeight="false" outlineLevel="0" collapsed="false">
      <c r="A47" s="320"/>
      <c r="B47" s="308" t="n">
        <f aca="false">I47*1.3</f>
        <v>0</v>
      </c>
      <c r="C47" s="320"/>
      <c r="F47" s="315"/>
      <c r="I47" s="316"/>
    </row>
    <row r="48" customFormat="false" ht="12.8" hidden="false" customHeight="false" outlineLevel="0" collapsed="false">
      <c r="A48" s="307" t="s">
        <v>325</v>
      </c>
      <c r="B48" s="308" t="n">
        <f aca="false">ROUNDUP(G48*$B$2,-2)</f>
        <v>17000</v>
      </c>
      <c r="C48" s="309" t="s">
        <v>326</v>
      </c>
      <c r="G48" s="307" t="n">
        <f aca="false">14980/75</f>
        <v>199.733333333333</v>
      </c>
      <c r="H48" s="307" t="n">
        <f aca="false">14980/75</f>
        <v>199.733333333333</v>
      </c>
      <c r="I48" s="308" t="n">
        <v>14980</v>
      </c>
    </row>
    <row r="49" customFormat="false" ht="12.8" hidden="false" customHeight="false" outlineLevel="0" collapsed="false">
      <c r="A49" s="321" t="s">
        <v>327</v>
      </c>
      <c r="B49" s="308" t="n">
        <f aca="false">ROUNDUP(G49*$B$2,-2)</f>
        <v>16000</v>
      </c>
      <c r="C49" s="309" t="s">
        <v>328</v>
      </c>
      <c r="G49" s="307" t="n">
        <v>187.06</v>
      </c>
      <c r="I49" s="316" t="n">
        <f aca="false">_xlfn.CEILING.MATH(G49*$C$2,10,0)</f>
        <v>22450</v>
      </c>
    </row>
    <row r="50" customFormat="false" ht="12.8" hidden="false" customHeight="false" outlineLevel="0" collapsed="false">
      <c r="A50" s="320"/>
      <c r="B50" s="316"/>
      <c r="C50" s="320"/>
      <c r="F50" s="315"/>
    </row>
    <row r="51" customFormat="false" ht="12.8" hidden="false" customHeight="false" outlineLevel="0" collapsed="false">
      <c r="A51" s="320"/>
      <c r="B51" s="316"/>
      <c r="C51" s="320"/>
      <c r="F51" s="315"/>
    </row>
    <row r="52" customFormat="false" ht="12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</row>
    <row r="53" customFormat="false" ht="12.8" hidden="false" customHeight="false" outlineLevel="0" collapsed="false">
      <c r="A53" s="320"/>
      <c r="B53" s="316"/>
      <c r="C53" s="320"/>
      <c r="F53" s="315"/>
    </row>
    <row r="54" customFormat="false" ht="12.8" hidden="false" customHeight="false" outlineLevel="0" collapsed="false">
      <c r="A54" s="320"/>
      <c r="B54" s="316"/>
      <c r="C54" s="320"/>
      <c r="F54" s="315"/>
    </row>
    <row r="55" customFormat="false" ht="12.8" hidden="false" customHeight="fals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</row>
    <row r="56" customFormat="false" ht="12.8" hidden="false" customHeight="false" outlineLevel="0" collapsed="false">
      <c r="A56" s="320"/>
      <c r="B56" s="316"/>
      <c r="C56" s="320"/>
      <c r="F56" s="315"/>
    </row>
    <row r="57" customFormat="false" ht="12.8" hidden="false" customHeight="false" outlineLevel="0" collapsed="false">
      <c r="A57" s="320"/>
      <c r="B57" s="316"/>
      <c r="C57" s="320"/>
      <c r="F57" s="315"/>
    </row>
    <row r="58" customFormat="false" ht="12.8" hidden="false" customHeight="false" outlineLevel="0" collapsed="false">
      <c r="A58" s="320"/>
      <c r="B58" s="316"/>
      <c r="C58" s="320"/>
      <c r="F58" s="315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</row>
    <row r="64" customFormat="false" ht="12.8" hidden="false" customHeight="false" outlineLevel="0" collapsed="false">
      <c r="A64" s="307" t="s">
        <v>329</v>
      </c>
    </row>
    <row r="65" customFormat="false" ht="19.25" hidden="false" customHeight="false" outlineLevel="0" collapsed="false">
      <c r="A65" s="322" t="s">
        <v>330</v>
      </c>
      <c r="B65" s="322"/>
      <c r="C65" s="323" t="s">
        <v>331</v>
      </c>
      <c r="D65" s="324"/>
      <c r="E65" s="324"/>
      <c r="F65" s="324"/>
      <c r="G65" s="324" t="s">
        <v>332</v>
      </c>
      <c r="H65" s="322" t="s">
        <v>330</v>
      </c>
    </row>
    <row r="66" customFormat="false" ht="30.6" hidden="false" customHeight="true" outlineLevel="0" collapsed="false">
      <c r="A66" s="325" t="s">
        <v>333</v>
      </c>
      <c r="B66" s="322"/>
      <c r="C66" s="323" t="s">
        <v>96</v>
      </c>
      <c r="D66" s="326"/>
      <c r="E66" s="327" t="n">
        <v>12.85</v>
      </c>
      <c r="F66" s="328" t="n">
        <f aca="false">E66*$B$2</f>
        <v>1092.25</v>
      </c>
      <c r="G66" s="328" t="n">
        <f aca="false">ROUNDDOWN(F66*2,-2)</f>
        <v>2100</v>
      </c>
      <c r="H66" s="325" t="s">
        <v>333</v>
      </c>
    </row>
    <row r="67" customFormat="false" ht="12.8" hidden="false" customHeight="false" outlineLevel="0" collapsed="false">
      <c r="A67" s="329" t="s">
        <v>334</v>
      </c>
      <c r="C67" s="309" t="s">
        <v>172</v>
      </c>
      <c r="D67" s="330"/>
      <c r="E67" s="327" t="n">
        <v>19.46</v>
      </c>
      <c r="F67" s="328"/>
      <c r="G67" s="328" t="n">
        <f aca="false">E67*$C$2</f>
        <v>2335.2</v>
      </c>
      <c r="H67" s="307" t="s">
        <v>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D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9"/>
    <col collapsed="false" customWidth="true" hidden="true" outlineLevel="0" max="2" min="2" style="0" width="40.45"/>
    <col collapsed="false" customWidth="true" hidden="false" outlineLevel="0" max="64" min="3" style="0" width="11.63"/>
  </cols>
  <sheetData>
    <row r="3" customFormat="false" ht="29.95" hidden="false" customHeight="true" outlineLevel="0" collapsed="false">
      <c r="A3" s="1051" t="s">
        <v>2496</v>
      </c>
      <c r="B3" s="1051"/>
      <c r="C3" s="1052"/>
    </row>
    <row r="4" customFormat="false" ht="21.25" hidden="false" customHeight="true" outlineLevel="0" collapsed="false">
      <c r="A4" s="959" t="s">
        <v>2600</v>
      </c>
      <c r="B4" s="1053" t="s">
        <v>2498</v>
      </c>
      <c r="C4" s="962" t="n">
        <v>141.93</v>
      </c>
    </row>
    <row r="5" customFormat="false" ht="21.25" hidden="false" customHeight="true" outlineLevel="0" collapsed="false">
      <c r="A5" s="965" t="s">
        <v>2601</v>
      </c>
      <c r="B5" s="1054" t="s">
        <v>2500</v>
      </c>
      <c r="C5" s="968" t="n">
        <v>117</v>
      </c>
    </row>
    <row r="6" customFormat="false" ht="21.25" hidden="false" customHeight="true" outlineLevel="0" collapsed="false">
      <c r="A6" s="965" t="s">
        <v>2602</v>
      </c>
      <c r="B6" s="1054" t="s">
        <v>2504</v>
      </c>
      <c r="C6" s="968" t="n">
        <v>140</v>
      </c>
    </row>
    <row r="7" customFormat="false" ht="21.25" hidden="false" customHeight="true" outlineLevel="0" collapsed="false">
      <c r="A7" s="965" t="s">
        <v>2603</v>
      </c>
      <c r="B7" s="1054" t="s">
        <v>2505</v>
      </c>
      <c r="C7" s="968" t="n">
        <v>52.57</v>
      </c>
    </row>
    <row r="8" customFormat="false" ht="21.25" hidden="false" customHeight="true" outlineLevel="0" collapsed="false">
      <c r="A8" s="965" t="s">
        <v>2604</v>
      </c>
      <c r="B8" s="1054" t="s">
        <v>2505</v>
      </c>
      <c r="C8" s="968" t="n">
        <v>52.57</v>
      </c>
    </row>
    <row r="9" customFormat="false" ht="21.25" hidden="false" customHeight="true" outlineLevel="0" collapsed="false">
      <c r="A9" s="965" t="s">
        <v>2605</v>
      </c>
      <c r="B9" s="1054" t="s">
        <v>2509</v>
      </c>
      <c r="C9" s="968" t="n">
        <v>92.54</v>
      </c>
    </row>
    <row r="10" customFormat="false" ht="21.25" hidden="false" customHeight="true" outlineLevel="0" collapsed="false">
      <c r="A10" s="965" t="s">
        <v>2606</v>
      </c>
      <c r="B10" s="1054" t="s">
        <v>2509</v>
      </c>
      <c r="C10" s="968" t="n">
        <v>92.54</v>
      </c>
    </row>
    <row r="11" customFormat="false" ht="21.25" hidden="false" customHeight="true" outlineLevel="0" collapsed="false">
      <c r="A11" s="965" t="s">
        <v>2607</v>
      </c>
      <c r="B11" s="1054" t="s">
        <v>2519</v>
      </c>
      <c r="C11" s="968" t="n">
        <v>150.9</v>
      </c>
    </row>
    <row r="12" customFormat="false" ht="21.25" hidden="false" customHeight="true" outlineLevel="0" collapsed="false">
      <c r="A12" s="965" t="s">
        <v>2608</v>
      </c>
      <c r="B12" s="1054" t="s">
        <v>2609</v>
      </c>
      <c r="C12" s="1039" t="n">
        <v>11.6584686835</v>
      </c>
    </row>
    <row r="13" customFormat="false" ht="21.25" hidden="false" customHeight="true" outlineLevel="0" collapsed="false">
      <c r="A13" s="965" t="s">
        <v>2610</v>
      </c>
      <c r="B13" s="1054" t="s">
        <v>2523</v>
      </c>
      <c r="C13" s="968" t="n">
        <v>0.21</v>
      </c>
    </row>
    <row r="14" customFormat="false" ht="21.25" hidden="false" customHeight="true" outlineLevel="0" collapsed="false">
      <c r="A14" s="965" t="s">
        <v>2611</v>
      </c>
      <c r="B14" s="1054" t="s">
        <v>2525</v>
      </c>
      <c r="C14" s="968" t="n">
        <v>1.18</v>
      </c>
    </row>
    <row r="15" customFormat="false" ht="21.25" hidden="false" customHeight="true" outlineLevel="0" collapsed="false">
      <c r="A15" s="965" t="s">
        <v>534</v>
      </c>
      <c r="B15" s="1054" t="s">
        <v>2558</v>
      </c>
      <c r="C15" s="968" t="n">
        <v>0.65</v>
      </c>
    </row>
    <row r="16" customFormat="false" ht="21.25" hidden="false" customHeight="true" outlineLevel="0" collapsed="false">
      <c r="A16" s="965" t="s">
        <v>535</v>
      </c>
      <c r="B16" s="1054" t="s">
        <v>2558</v>
      </c>
      <c r="C16" s="968" t="n">
        <v>0.84</v>
      </c>
    </row>
    <row r="17" customFormat="false" ht="21.25" hidden="false" customHeight="true" outlineLevel="0" collapsed="false">
      <c r="A17" s="965" t="s">
        <v>1021</v>
      </c>
      <c r="B17" s="1054" t="s">
        <v>2528</v>
      </c>
      <c r="C17" s="968" t="n">
        <v>2.21</v>
      </c>
    </row>
    <row r="18" customFormat="false" ht="21.25" hidden="false" customHeight="true" outlineLevel="0" collapsed="false">
      <c r="A18" s="965" t="s">
        <v>1033</v>
      </c>
      <c r="B18" s="1054" t="s">
        <v>2529</v>
      </c>
      <c r="C18" s="968" t="n">
        <v>2.75</v>
      </c>
    </row>
    <row r="19" customFormat="false" ht="21.25" hidden="false" customHeight="true" outlineLevel="0" collapsed="false">
      <c r="A19" s="965" t="s">
        <v>1041</v>
      </c>
      <c r="B19" s="1054" t="s">
        <v>2530</v>
      </c>
      <c r="C19" s="968" t="n">
        <v>2.8</v>
      </c>
    </row>
    <row r="20" customFormat="false" ht="21.25" hidden="false" customHeight="true" outlineLevel="0" collapsed="false">
      <c r="A20" s="965" t="s">
        <v>2612</v>
      </c>
      <c r="B20" s="1054" t="s">
        <v>2535</v>
      </c>
      <c r="C20" s="968" t="n">
        <v>0.7012593245</v>
      </c>
    </row>
    <row r="21" customFormat="false" ht="21.25" hidden="false" customHeight="true" outlineLevel="0" collapsed="false">
      <c r="A21" s="965" t="s">
        <v>2613</v>
      </c>
      <c r="B21" s="1054" t="s">
        <v>2536</v>
      </c>
      <c r="C21" s="968" t="n">
        <v>0.7339323215</v>
      </c>
    </row>
    <row r="22" customFormat="false" ht="21.25" hidden="false" customHeight="true" outlineLevel="0" collapsed="false">
      <c r="A22" s="965" t="s">
        <v>2614</v>
      </c>
      <c r="B22" s="1054" t="s">
        <v>2537</v>
      </c>
      <c r="C22" s="968" t="n">
        <v>0.733845885</v>
      </c>
    </row>
    <row r="23" customFormat="false" ht="21.25" hidden="false" customHeight="true" outlineLevel="0" collapsed="false">
      <c r="A23" s="965" t="s">
        <v>2615</v>
      </c>
      <c r="B23" s="1054" t="s">
        <v>2539</v>
      </c>
      <c r="C23" s="968" t="n">
        <v>0.8255550115</v>
      </c>
    </row>
    <row r="24" customFormat="false" ht="21.25" hidden="false" customHeight="true" outlineLevel="0" collapsed="false">
      <c r="A24" s="965" t="s">
        <v>2616</v>
      </c>
      <c r="B24" s="1054" t="s">
        <v>2540</v>
      </c>
      <c r="C24" s="968" t="n">
        <v>0.8255550115</v>
      </c>
    </row>
    <row r="25" customFormat="false" ht="21.25" hidden="false" customHeight="true" outlineLevel="0" collapsed="false">
      <c r="A25" s="965" t="s">
        <v>1074</v>
      </c>
      <c r="B25" s="1054" t="s">
        <v>2541</v>
      </c>
      <c r="C25" s="968" t="n">
        <v>0.9432815245</v>
      </c>
    </row>
    <row r="26" customFormat="false" ht="21.25" hidden="false" customHeight="true" outlineLevel="0" collapsed="false">
      <c r="A26" s="965" t="s">
        <v>2617</v>
      </c>
      <c r="B26" s="1054" t="s">
        <v>2542</v>
      </c>
      <c r="C26" s="968" t="n">
        <v>1.0091461375</v>
      </c>
    </row>
    <row r="27" customFormat="false" ht="21.25" hidden="false" customHeight="true" outlineLevel="0" collapsed="false">
      <c r="A27" s="965" t="s">
        <v>2618</v>
      </c>
      <c r="B27" s="1054" t="s">
        <v>2543</v>
      </c>
      <c r="C27" s="968" t="n">
        <v>1.533210637</v>
      </c>
    </row>
    <row r="28" customFormat="false" ht="21.25" hidden="false" customHeight="true" outlineLevel="0" collapsed="false">
      <c r="A28" s="965" t="s">
        <v>2619</v>
      </c>
      <c r="B28" s="1054" t="s">
        <v>2544</v>
      </c>
      <c r="C28" s="968" t="n">
        <v>1.533210637</v>
      </c>
    </row>
    <row r="29" customFormat="false" ht="21.25" hidden="false" customHeight="true" outlineLevel="0" collapsed="false">
      <c r="A29" s="965" t="s">
        <v>2620</v>
      </c>
      <c r="B29" s="1054" t="s">
        <v>2545</v>
      </c>
      <c r="C29" s="968" t="n">
        <v>1.533210637</v>
      </c>
    </row>
    <row r="30" customFormat="false" ht="21.25" hidden="false" customHeight="true" outlineLevel="0" collapsed="false">
      <c r="A30" s="1055" t="s">
        <v>2621</v>
      </c>
      <c r="B30" s="1054" t="s">
        <v>2548</v>
      </c>
      <c r="C30" s="968" t="n">
        <v>1.4128089976</v>
      </c>
    </row>
    <row r="31" customFormat="false" ht="21.25" hidden="false" customHeight="true" outlineLevel="0" collapsed="false">
      <c r="A31" s="1055" t="s">
        <v>1019</v>
      </c>
      <c r="B31" s="1054" t="s">
        <v>2550</v>
      </c>
      <c r="C31" s="968" t="n">
        <v>5.09</v>
      </c>
    </row>
    <row r="32" customFormat="false" ht="21.25" hidden="false" customHeight="true" outlineLevel="0" collapsed="false">
      <c r="A32" s="1055" t="s">
        <v>1031</v>
      </c>
      <c r="B32" s="1054" t="s">
        <v>2551</v>
      </c>
      <c r="C32" s="968" t="n">
        <v>6.54</v>
      </c>
    </row>
    <row r="33" customFormat="false" ht="21.25" hidden="false" customHeight="true" outlineLevel="0" collapsed="false">
      <c r="A33" s="1056" t="s">
        <v>1039</v>
      </c>
      <c r="B33" s="1057" t="s">
        <v>2552</v>
      </c>
      <c r="C33" s="968" t="n">
        <v>15.4</v>
      </c>
      <c r="D33" s="0" t="n">
        <v>14.23</v>
      </c>
    </row>
    <row r="34" customFormat="false" ht="12.8" hidden="false" customHeight="true" outlineLevel="0" collapsed="false">
      <c r="A34" s="307" t="s">
        <v>2622</v>
      </c>
      <c r="C34" s="967" t="n">
        <v>9.42</v>
      </c>
    </row>
    <row r="35" customFormat="false" ht="12.8" hidden="false" customHeight="true" outlineLevel="0" collapsed="false">
      <c r="A35" s="0" t="s">
        <v>2623</v>
      </c>
      <c r="C35" s="1058" t="n">
        <v>0.46</v>
      </c>
    </row>
    <row r="36" customFormat="false" ht="12.8" hidden="false" customHeight="true" outlineLevel="0" collapsed="false">
      <c r="A36" s="1059" t="s">
        <v>2624</v>
      </c>
      <c r="C36" s="1060" t="n">
        <v>1.36</v>
      </c>
    </row>
    <row r="37" customFormat="false" ht="12.8" hidden="false" customHeight="true" outlineLevel="0" collapsed="false">
      <c r="A37" s="1059" t="s">
        <v>1189</v>
      </c>
      <c r="C37" s="1060" t="n">
        <v>1.37</v>
      </c>
    </row>
    <row r="38" customFormat="false" ht="12.8" hidden="false" customHeight="true" outlineLevel="0" collapsed="false">
      <c r="A38" s="1061" t="s">
        <v>1182</v>
      </c>
      <c r="B38" s="1062"/>
      <c r="C38" s="1060" t="n">
        <v>8.3</v>
      </c>
    </row>
    <row r="39" customFormat="false" ht="12.8" hidden="false" customHeight="true" outlineLevel="0" collapsed="false">
      <c r="A39" s="1063" t="s">
        <v>2625</v>
      </c>
      <c r="B39" s="1062"/>
      <c r="C39" s="968" t="n">
        <v>65.6</v>
      </c>
    </row>
    <row r="40" customFormat="false" ht="12.8" hidden="false" customHeight="true" outlineLevel="0" collapsed="false">
      <c r="A40" s="1059" t="s">
        <v>1184</v>
      </c>
      <c r="C40" s="1060" t="n">
        <v>7.94</v>
      </c>
    </row>
    <row r="41" customFormat="false" ht="12.8" hidden="false" customHeight="true" outlineLevel="0" collapsed="false">
      <c r="A41" s="1064" t="s">
        <v>1179</v>
      </c>
      <c r="C41" s="1065" t="n">
        <v>1.22028</v>
      </c>
    </row>
    <row r="42" customFormat="false" ht="12.8" hidden="false" customHeight="true" outlineLevel="0" collapsed="false">
      <c r="A42" s="1064" t="s">
        <v>1180</v>
      </c>
      <c r="C42" s="1065" t="n">
        <v>7.32168</v>
      </c>
    </row>
  </sheetData>
  <mergeCells count="1">
    <mergeCell ref="A3: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5" width="45.85"/>
    <col collapsed="false" customWidth="true" hidden="false" outlineLevel="0" max="2" min="2" style="115" width="13.55"/>
    <col collapsed="false" customWidth="false" hidden="false" outlineLevel="0" max="3" min="3" style="115" width="11.52"/>
    <col collapsed="false" customWidth="true" hidden="false" outlineLevel="0" max="4" min="4" style="115" width="13.55"/>
    <col collapsed="false" customWidth="false" hidden="true" outlineLevel="0" max="5" min="5" style="115" width="11.52"/>
    <col collapsed="false" customWidth="false" hidden="false" outlineLevel="0" max="64" min="6" style="115" width="11.52"/>
  </cols>
  <sheetData>
    <row r="1" customFormat="false" ht="12.8" hidden="false" customHeight="false" outlineLevel="0" collapsed="false">
      <c r="B1" s="4" t="s">
        <v>0</v>
      </c>
      <c r="C1" s="5" t="s">
        <v>1</v>
      </c>
      <c r="D1" s="6" t="s">
        <v>2</v>
      </c>
    </row>
    <row r="2" customFormat="false" ht="12.8" hidden="false" customHeight="false" outlineLevel="0" collapsed="false">
      <c r="A2" s="115" t="s">
        <v>818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</row>
    <row r="4" customFormat="false" ht="12.8" hidden="false" customHeight="false" outlineLevel="0" collapsed="false">
      <c r="A4" s="115" t="s">
        <v>2626</v>
      </c>
      <c r="C4" s="115" t="s">
        <v>2627</v>
      </c>
      <c r="F4" s="115" t="s">
        <v>2628</v>
      </c>
      <c r="H4" s="115" t="s">
        <v>2627</v>
      </c>
    </row>
    <row r="6" customFormat="false" ht="12.8" hidden="false" customHeight="false" outlineLevel="0" collapsed="false">
      <c r="A6" s="115" t="s">
        <v>2629</v>
      </c>
      <c r="B6" s="1066" t="n">
        <f aca="false">D13</f>
        <v>2726</v>
      </c>
      <c r="C6" s="115" t="s">
        <v>2630</v>
      </c>
      <c r="F6" s="115" t="s">
        <v>2631</v>
      </c>
      <c r="G6" s="115" t="n">
        <v>1220</v>
      </c>
      <c r="H6" s="115" t="s">
        <v>2632</v>
      </c>
    </row>
    <row r="7" customFormat="false" ht="12.8" hidden="false" customHeight="false" outlineLevel="0" collapsed="false">
      <c r="A7" s="115" t="s">
        <v>2633</v>
      </c>
      <c r="B7" s="1066" t="n">
        <f aca="false">D19</f>
        <v>3563.2</v>
      </c>
      <c r="C7" s="115" t="s">
        <v>2634</v>
      </c>
      <c r="F7" s="115" t="s">
        <v>2635</v>
      </c>
      <c r="G7" s="659" t="n">
        <f aca="false">ROUNDUP(B39,0)</f>
        <v>329</v>
      </c>
      <c r="H7" s="115" t="s">
        <v>2636</v>
      </c>
    </row>
    <row r="8" customFormat="false" ht="12.8" hidden="false" customHeight="false" outlineLevel="0" collapsed="false">
      <c r="A8" s="115" t="s">
        <v>2637</v>
      </c>
      <c r="B8" s="1067" t="n">
        <f aca="false">D25</f>
        <v>2295.98715733333</v>
      </c>
      <c r="C8" s="115" t="s">
        <v>2638</v>
      </c>
      <c r="F8" s="115" t="s">
        <v>2639</v>
      </c>
      <c r="G8" s="659" t="n">
        <f aca="false">$B$40</f>
        <v>1462</v>
      </c>
      <c r="H8" s="115" t="s">
        <v>2640</v>
      </c>
    </row>
    <row r="12" customFormat="false" ht="12.8" hidden="false" customHeight="false" outlineLevel="0" collapsed="false">
      <c r="A12" s="307" t="s">
        <v>2630</v>
      </c>
      <c r="B12" s="307"/>
      <c r="C12" s="311" t="s">
        <v>2641</v>
      </c>
      <c r="D12" s="307" t="s">
        <v>2642</v>
      </c>
      <c r="E12" s="307"/>
      <c r="F12" s="307"/>
    </row>
    <row r="13" customFormat="false" ht="12.8" hidden="false" customHeight="false" outlineLevel="0" collapsed="false">
      <c r="A13" s="606" t="s">
        <v>2643</v>
      </c>
      <c r="B13" s="1068" t="n">
        <f aca="false">$B$2*F13*2*3</f>
        <v>1234.2</v>
      </c>
      <c r="C13" s="1068" t="n">
        <f aca="false">ROUNDUP(SUM(B13:B14),0)</f>
        <v>3168</v>
      </c>
      <c r="D13" s="1068" t="n">
        <f aca="false">ROUNDUP(SUM(B15:B16),0)</f>
        <v>2726</v>
      </c>
      <c r="E13" s="307"/>
      <c r="F13" s="1058" t="n">
        <v>2.42</v>
      </c>
    </row>
    <row r="14" customFormat="false" ht="12.8" hidden="false" customHeight="false" outlineLevel="0" collapsed="false">
      <c r="A14" s="606" t="s">
        <v>2644</v>
      </c>
      <c r="B14" s="1068" t="n">
        <f aca="false">$B$2*F14*2</f>
        <v>1932.9</v>
      </c>
      <c r="C14" s="307"/>
      <c r="D14" s="307"/>
      <c r="E14" s="307"/>
      <c r="F14" s="1069" t="n">
        <v>11.37</v>
      </c>
    </row>
    <row r="15" customFormat="false" ht="12.8" hidden="false" customHeight="false" outlineLevel="0" collapsed="false">
      <c r="A15" s="606" t="s">
        <v>2645</v>
      </c>
      <c r="B15" s="1068" t="n">
        <f aca="false">$B$2*F15*2</f>
        <v>1020</v>
      </c>
      <c r="C15" s="307"/>
      <c r="D15" s="307"/>
      <c r="E15" s="307"/>
      <c r="F15" s="1058" t="n">
        <v>6</v>
      </c>
    </row>
    <row r="16" customFormat="false" ht="12.8" hidden="false" customHeight="false" outlineLevel="0" collapsed="false">
      <c r="A16" s="606" t="s">
        <v>2646</v>
      </c>
      <c r="B16" s="1068" t="n">
        <f aca="false">$B$2*F16*2</f>
        <v>1705.1</v>
      </c>
      <c r="C16" s="307"/>
      <c r="D16" s="307"/>
      <c r="E16" s="307"/>
      <c r="F16" s="1058" t="n">
        <v>10.03</v>
      </c>
    </row>
    <row r="18" customFormat="false" ht="12.8" hidden="false" customHeight="false" outlineLevel="0" collapsed="false">
      <c r="A18" s="115" t="s">
        <v>2634</v>
      </c>
      <c r="C18" s="1066"/>
    </row>
    <row r="19" customFormat="false" ht="12.8" hidden="false" customHeight="false" outlineLevel="0" collapsed="false">
      <c r="A19" s="307" t="s">
        <v>2647</v>
      </c>
      <c r="B19" s="1068" t="n">
        <f aca="false">$B$2*F19*2*3</f>
        <v>1234.2</v>
      </c>
      <c r="C19" s="1068" t="n">
        <f aca="false">SUM(B19:B20)</f>
        <v>4064.7</v>
      </c>
      <c r="D19" s="1068" t="n">
        <f aca="false">SUM(B21:B22)</f>
        <v>3563.2</v>
      </c>
      <c r="E19" s="307"/>
      <c r="F19" s="1060" t="n">
        <v>2.42</v>
      </c>
    </row>
    <row r="20" customFormat="false" ht="12.8" hidden="false" customHeight="false" outlineLevel="0" collapsed="false">
      <c r="A20" s="307" t="s">
        <v>2648</v>
      </c>
      <c r="B20" s="1068" t="n">
        <f aca="false">$B$2*F20*2</f>
        <v>2830.5</v>
      </c>
      <c r="C20" s="307"/>
      <c r="D20" s="307"/>
      <c r="E20" s="307"/>
      <c r="F20" s="1065" t="n">
        <v>16.65</v>
      </c>
    </row>
    <row r="21" customFormat="false" ht="12.8" hidden="false" customHeight="false" outlineLevel="0" collapsed="false">
      <c r="A21" s="606" t="s">
        <v>2649</v>
      </c>
      <c r="B21" s="1068" t="n">
        <f aca="false">$B$2*F21*2</f>
        <v>1390.6</v>
      </c>
      <c r="C21" s="307"/>
      <c r="D21" s="307"/>
      <c r="E21" s="307"/>
      <c r="F21" s="1065" t="n">
        <v>8.18</v>
      </c>
    </row>
    <row r="22" customFormat="false" ht="12.8" hidden="false" customHeight="false" outlineLevel="0" collapsed="false">
      <c r="A22" s="606" t="s">
        <v>2650</v>
      </c>
      <c r="B22" s="1068" t="n">
        <f aca="false">$B$2*F22*2</f>
        <v>2172.6</v>
      </c>
      <c r="C22" s="307"/>
      <c r="D22" s="307"/>
      <c r="E22" s="307"/>
      <c r="F22" s="1065" t="n">
        <v>12.78</v>
      </c>
    </row>
    <row r="23" customFormat="false" ht="12.8" hidden="false" customHeight="false" outlineLevel="0" collapsed="false">
      <c r="A23" s="307"/>
      <c r="B23" s="307"/>
      <c r="C23" s="307"/>
      <c r="D23" s="307"/>
      <c r="E23" s="307"/>
      <c r="F23" s="307"/>
    </row>
    <row r="24" customFormat="false" ht="12.8" hidden="false" customHeight="false" outlineLevel="0" collapsed="false">
      <c r="A24" s="307" t="s">
        <v>2651</v>
      </c>
      <c r="B24" s="307"/>
      <c r="C24" s="307"/>
      <c r="D24" s="307"/>
      <c r="E24" s="307"/>
      <c r="F24" s="307"/>
    </row>
    <row r="25" customFormat="false" ht="12.8" hidden="false" customHeight="false" outlineLevel="0" collapsed="false">
      <c r="A25" s="307" t="s">
        <v>2652</v>
      </c>
      <c r="B25" s="1067" t="n">
        <f aca="false">F25*2*2</f>
        <v>13.7221952</v>
      </c>
      <c r="C25" s="312" t="n">
        <f aca="false">SUM(B25:B30)</f>
        <v>983.7773412</v>
      </c>
      <c r="D25" s="312" t="n">
        <f aca="false">SUM(B31:B32)</f>
        <v>2295.98715733333</v>
      </c>
      <c r="E25" s="307"/>
      <c r="F25" s="312" t="n">
        <v>3.4305488</v>
      </c>
      <c r="G25" s="1067"/>
      <c r="H25" s="1067"/>
    </row>
    <row r="26" customFormat="false" ht="12.8" hidden="false" customHeight="false" outlineLevel="0" collapsed="false">
      <c r="A26" s="307" t="s">
        <v>2653</v>
      </c>
      <c r="B26" s="1067" t="n">
        <f aca="false">F26*2</f>
        <v>43.966912</v>
      </c>
      <c r="C26" s="307"/>
      <c r="D26" s="307"/>
      <c r="E26" s="307"/>
      <c r="F26" s="312" t="n">
        <v>21.983456</v>
      </c>
      <c r="G26" s="1067"/>
      <c r="H26" s="1067"/>
    </row>
    <row r="27" customFormat="false" ht="12.8" hidden="false" customHeight="false" outlineLevel="0" collapsed="false">
      <c r="A27" s="307" t="s">
        <v>2654</v>
      </c>
      <c r="B27" s="1067" t="n">
        <f aca="false">F27*2</f>
        <v>204.732885</v>
      </c>
      <c r="C27" s="307"/>
      <c r="D27" s="307"/>
      <c r="E27" s="307"/>
      <c r="F27" s="312" t="n">
        <v>102.3664425</v>
      </c>
      <c r="G27" s="1067"/>
      <c r="H27" s="1067"/>
    </row>
    <row r="28" customFormat="false" ht="12.8" hidden="false" customHeight="false" outlineLevel="0" collapsed="false">
      <c r="A28" s="307" t="s">
        <v>2655</v>
      </c>
      <c r="B28" s="1067" t="n">
        <f aca="false">F28*2</f>
        <v>204.732885</v>
      </c>
      <c r="C28" s="307"/>
      <c r="D28" s="307"/>
      <c r="E28" s="307"/>
      <c r="F28" s="312" t="n">
        <v>102.3664425</v>
      </c>
      <c r="G28" s="1067"/>
      <c r="H28" s="1067"/>
    </row>
    <row r="29" customFormat="false" ht="12.8" hidden="false" customHeight="false" outlineLevel="0" collapsed="false">
      <c r="A29" s="307" t="s">
        <v>2656</v>
      </c>
      <c r="B29" s="1067" t="n">
        <f aca="false">F29*2</f>
        <v>432.809056</v>
      </c>
      <c r="C29" s="307"/>
      <c r="D29" s="307"/>
      <c r="E29" s="307"/>
      <c r="F29" s="312" t="n">
        <v>216.404528</v>
      </c>
      <c r="G29" s="1067"/>
      <c r="H29" s="1067"/>
    </row>
    <row r="30" customFormat="false" ht="12.8" hidden="false" customHeight="false" outlineLevel="0" collapsed="false">
      <c r="A30" s="307" t="s">
        <v>2657</v>
      </c>
      <c r="B30" s="1067" t="n">
        <f aca="false">F30*2</f>
        <v>83.813408</v>
      </c>
      <c r="C30" s="307"/>
      <c r="D30" s="307"/>
      <c r="E30" s="307"/>
      <c r="F30" s="312" t="n">
        <v>41.906704</v>
      </c>
      <c r="G30" s="1067"/>
      <c r="H30" s="1067"/>
    </row>
    <row r="31" customFormat="false" ht="12.8" hidden="false" customHeight="false" outlineLevel="0" collapsed="false">
      <c r="A31" s="307" t="s">
        <v>2658</v>
      </c>
      <c r="B31" s="1067" t="n">
        <f aca="false">F31*2</f>
        <v>1747.75902933333</v>
      </c>
      <c r="C31" s="307"/>
      <c r="D31" s="307"/>
      <c r="E31" s="307"/>
      <c r="F31" s="312" t="n">
        <v>873.879514666667</v>
      </c>
      <c r="G31" s="1067"/>
      <c r="H31" s="1067"/>
    </row>
    <row r="32" customFormat="false" ht="12.8" hidden="false" customHeight="false" outlineLevel="0" collapsed="false">
      <c r="A32" s="307" t="s">
        <v>2659</v>
      </c>
      <c r="B32" s="1067" t="n">
        <f aca="false">F32*2</f>
        <v>548.228128</v>
      </c>
      <c r="C32" s="307"/>
      <c r="D32" s="307"/>
      <c r="E32" s="307"/>
      <c r="F32" s="312" t="n">
        <v>274.114064</v>
      </c>
      <c r="G32" s="1067"/>
      <c r="H32" s="1067"/>
    </row>
    <row r="33" customFormat="false" ht="12.8" hidden="false" customHeight="false" outlineLevel="0" collapsed="false">
      <c r="A33" s="307"/>
      <c r="B33" s="1067"/>
      <c r="C33" s="307"/>
      <c r="D33" s="307"/>
      <c r="E33" s="307"/>
      <c r="F33" s="312"/>
      <c r="G33" s="1067"/>
      <c r="H33" s="1067"/>
    </row>
    <row r="34" customFormat="false" ht="12.8" hidden="false" customHeight="false" outlineLevel="0" collapsed="false">
      <c r="A34" s="307" t="s">
        <v>90</v>
      </c>
      <c r="B34" s="307"/>
      <c r="C34" s="307"/>
      <c r="D34" s="307"/>
      <c r="E34" s="307"/>
      <c r="F34" s="307"/>
      <c r="G34" s="1067"/>
      <c r="H34" s="1067"/>
    </row>
    <row r="35" customFormat="false" ht="12.8" hidden="false" customHeight="false" outlineLevel="0" collapsed="false">
      <c r="A35" s="307" t="s">
        <v>2660</v>
      </c>
      <c r="B35" s="1067" t="n">
        <f aca="false">F35*2</f>
        <v>1134.94160888889</v>
      </c>
      <c r="C35" s="307"/>
      <c r="D35" s="307"/>
      <c r="E35" s="307"/>
      <c r="F35" s="312" t="n">
        <v>567.470804444444</v>
      </c>
      <c r="G35" s="1067"/>
      <c r="H35" s="1067"/>
    </row>
    <row r="36" customFormat="false" ht="12.8" hidden="false" customHeight="false" outlineLevel="0" collapsed="false">
      <c r="A36" s="115" t="s">
        <v>2661</v>
      </c>
      <c r="B36" s="1067" t="n">
        <f aca="false">F36*2*2</f>
        <v>85.2</v>
      </c>
      <c r="F36" s="115" t="n">
        <v>21.3</v>
      </c>
    </row>
    <row r="37" customFormat="false" ht="12.8" hidden="false" customHeight="false" outlineLevel="0" collapsed="false">
      <c r="A37" s="115" t="s">
        <v>2662</v>
      </c>
      <c r="B37" s="1067" t="n">
        <f aca="false">SUM(B35:B36)</f>
        <v>1220.14160888889</v>
      </c>
    </row>
    <row r="39" customFormat="false" ht="12.8" hidden="false" customHeight="false" outlineLevel="0" collapsed="false">
      <c r="A39" s="115" t="s">
        <v>2635</v>
      </c>
      <c r="B39" s="659" t="n">
        <f aca="false">F39*$B$2*2</f>
        <v>328.1</v>
      </c>
      <c r="F39" s="115" t="n">
        <v>1.93</v>
      </c>
    </row>
    <row r="40" customFormat="false" ht="12.8" hidden="false" customHeight="false" outlineLevel="0" collapsed="false">
      <c r="A40" s="115" t="s">
        <v>2663</v>
      </c>
      <c r="B40" s="659" t="n">
        <f aca="false">(F40*$B$2*2)+B41</f>
        <v>1462</v>
      </c>
      <c r="F40" s="1069" t="n">
        <v>8.08</v>
      </c>
    </row>
    <row r="41" customFormat="false" ht="12.8" hidden="false" customHeight="false" outlineLevel="0" collapsed="false">
      <c r="A41" s="115" t="s">
        <v>2664</v>
      </c>
      <c r="B41" s="659" t="n">
        <f aca="false">F41*$B$2*2</f>
        <v>88.4</v>
      </c>
      <c r="F41" s="1069" t="n">
        <v>0.52</v>
      </c>
    </row>
  </sheetData>
  <dataValidations count="1">
    <dataValidation allowBlank="true" operator="equal" showDropDown="false" showErrorMessage="true" showInputMessage="false" sqref="F6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307" width="19.71"/>
    <col collapsed="false" customWidth="true" hidden="false" outlineLevel="0" max="4" min="3" style="307" width="15.45"/>
    <col collapsed="false" customWidth="true" hidden="false" outlineLevel="0" max="5" min="5" style="307" width="16.07"/>
    <col collapsed="false" customWidth="true" hidden="false" outlineLevel="0" max="6" min="6" style="307" width="14.23"/>
    <col collapsed="false" customWidth="true" hidden="false" outlineLevel="0" max="7" min="7" style="307" width="19.62"/>
    <col collapsed="false" customWidth="false" hidden="false" outlineLevel="0" max="8" min="8" style="307" width="11.52"/>
    <col collapsed="false" customWidth="true" hidden="false" outlineLevel="0" max="9" min="9" style="307" width="70.72"/>
    <col collapsed="false" customWidth="false" hidden="false" outlineLevel="0" max="64" min="10" style="307" width="11.52"/>
  </cols>
  <sheetData>
    <row r="1" customFormat="false" ht="12.8" hidden="false" customHeight="true" outlineLevel="0" collapsed="false">
      <c r="A1" s="311"/>
      <c r="B1" s="4" t="s">
        <v>0</v>
      </c>
      <c r="C1" s="5" t="s">
        <v>1</v>
      </c>
      <c r="D1" s="6" t="s">
        <v>2</v>
      </c>
      <c r="E1" s="0"/>
    </row>
    <row r="2" customFormat="false" ht="12.8" hidden="false" customHeight="true" outlineLevel="0" collapsed="false">
      <c r="A2" s="311" t="s">
        <v>818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  <c r="E2" s="0"/>
    </row>
    <row r="3" customFormat="false" ht="9.9" hidden="false" customHeight="true" outlineLevel="0" collapsed="false">
      <c r="B3" s="311"/>
      <c r="C3" s="311"/>
    </row>
    <row r="7" customFormat="false" ht="17.8" hidden="false" customHeight="true" outlineLevel="0" collapsed="false">
      <c r="B7" s="1070" t="s">
        <v>954</v>
      </c>
      <c r="C7" s="311" t="s">
        <v>586</v>
      </c>
      <c r="D7" s="1071" t="s">
        <v>2665</v>
      </c>
      <c r="E7" s="1071" t="s">
        <v>2666</v>
      </c>
      <c r="F7" s="311" t="s">
        <v>2667</v>
      </c>
      <c r="G7" s="311" t="s">
        <v>2668</v>
      </c>
      <c r="H7" s="0"/>
    </row>
    <row r="8" customFormat="false" ht="9.9" hidden="false" customHeight="true" outlineLevel="0" collapsed="false">
      <c r="B8" s="1070" t="s">
        <v>2669</v>
      </c>
      <c r="C8" s="307" t="n">
        <f aca="false">E8*2</f>
        <v>727.6</v>
      </c>
      <c r="D8" s="1072" t="n">
        <v>4.28</v>
      </c>
      <c r="E8" s="1073" t="n">
        <f aca="false">D8*$B$2</f>
        <v>363.8</v>
      </c>
      <c r="F8" s="0"/>
      <c r="G8" s="645" t="n">
        <v>1.37</v>
      </c>
    </row>
    <row r="9" customFormat="false" ht="9.9" hidden="false" customHeight="true" outlineLevel="0" collapsed="false">
      <c r="B9" s="1070" t="s">
        <v>2670</v>
      </c>
      <c r="C9" s="307" t="n">
        <f aca="false">E9*2</f>
        <v>1348.1</v>
      </c>
      <c r="D9" s="1072" t="n">
        <v>7.93</v>
      </c>
      <c r="E9" s="1073" t="n">
        <f aca="false">D9*$B$2</f>
        <v>674.05</v>
      </c>
      <c r="F9" s="0"/>
      <c r="G9" s="645" t="n">
        <v>1.37</v>
      </c>
    </row>
    <row r="10" customFormat="false" ht="9.9" hidden="false" customHeight="true" outlineLevel="0" collapsed="false">
      <c r="B10" s="1070" t="s">
        <v>2671</v>
      </c>
      <c r="C10" s="307" t="n">
        <f aca="false">E10*2</f>
        <v>1922.7</v>
      </c>
      <c r="D10" s="1072" t="n">
        <v>11.31</v>
      </c>
      <c r="E10" s="1073" t="n">
        <f aca="false">D10*$B$2</f>
        <v>961.35</v>
      </c>
      <c r="F10" s="0"/>
      <c r="G10" s="645" t="n">
        <v>1.37</v>
      </c>
    </row>
    <row r="11" customFormat="false" ht="9.9" hidden="false" customHeight="true" outlineLevel="0" collapsed="false">
      <c r="B11" s="1070" t="s">
        <v>2672</v>
      </c>
      <c r="C11" s="307" t="n">
        <f aca="false">E11*2</f>
        <v>995.078</v>
      </c>
      <c r="D11" s="645" t="n">
        <f aca="false">1.13*(D8+(F11*2))</f>
        <v>5.8534</v>
      </c>
      <c r="E11" s="1073" t="n">
        <f aca="false">D11*$B$2</f>
        <v>497.539</v>
      </c>
      <c r="F11" s="645" t="n">
        <v>0.45</v>
      </c>
      <c r="G11" s="645" t="n">
        <v>1.37</v>
      </c>
    </row>
    <row r="12" customFormat="false" ht="9.9" hidden="false" customHeight="true" outlineLevel="0" collapsed="false">
      <c r="B12" s="1070" t="s">
        <v>2673</v>
      </c>
      <c r="C12" s="307" t="n">
        <f aca="false">E12*2</f>
        <v>2030.497</v>
      </c>
      <c r="D12" s="645" t="n">
        <f aca="false">1.13*(D9+(F12*2))</f>
        <v>11.9441</v>
      </c>
      <c r="E12" s="1073" t="n">
        <f aca="false">D12*$B$2</f>
        <v>1015.2485</v>
      </c>
      <c r="F12" s="645" t="n">
        <v>1.32</v>
      </c>
      <c r="G12" s="645" t="n">
        <v>1.37</v>
      </c>
    </row>
    <row r="13" customFormat="false" ht="9.9" hidden="false" customHeight="true" outlineLevel="0" collapsed="false">
      <c r="B13" s="1070" t="s">
        <v>2674</v>
      </c>
      <c r="C13" s="307" t="n">
        <f aca="false">E13*2</f>
        <v>2683.637</v>
      </c>
      <c r="D13" s="645" t="n">
        <f aca="false">1.13*(D10+(F13*2))</f>
        <v>15.7861</v>
      </c>
      <c r="E13" s="1073" t="n">
        <f aca="false">D13*$B$2</f>
        <v>1341.8185</v>
      </c>
      <c r="F13" s="645" t="n">
        <v>1.33</v>
      </c>
      <c r="G13" s="645" t="n">
        <v>1.37</v>
      </c>
    </row>
    <row r="14" customFormat="false" ht="9.9" hidden="false" customHeight="true" outlineLevel="0" collapsed="false">
      <c r="B14" s="1070" t="s">
        <v>2675</v>
      </c>
      <c r="C14" s="307" t="n">
        <f aca="false">E14*2</f>
        <v>2364.751</v>
      </c>
      <c r="D14" s="645" t="n">
        <f aca="false">1.13*12.31</f>
        <v>13.9103</v>
      </c>
      <c r="E14" s="1073" t="n">
        <f aca="false">D14*$B$2</f>
        <v>1182.3755</v>
      </c>
      <c r="F14" s="645"/>
      <c r="G14" s="645"/>
    </row>
    <row r="15" customFormat="false" ht="9.9" hidden="false" customHeight="true" outlineLevel="0" collapsed="false">
      <c r="B15" s="1070" t="s">
        <v>2676</v>
      </c>
      <c r="C15" s="307" t="n">
        <f aca="false">E15*2</f>
        <v>3496.22</v>
      </c>
      <c r="D15" s="645" t="n">
        <f aca="false">1.13*18.2</f>
        <v>20.566</v>
      </c>
      <c r="E15" s="1073" t="n">
        <f aca="false">D15*$B$2</f>
        <v>1748.11</v>
      </c>
      <c r="F15" s="645"/>
      <c r="G15" s="645"/>
      <c r="J15" s="307" t="s">
        <v>2665</v>
      </c>
      <c r="K15" s="307" t="s">
        <v>101</v>
      </c>
      <c r="L15" s="307" t="s">
        <v>2677</v>
      </c>
    </row>
    <row r="16" customFormat="false" ht="9.9" hidden="false" customHeight="true" outlineLevel="0" collapsed="false">
      <c r="B16" s="311" t="s">
        <v>2678</v>
      </c>
      <c r="C16" s="1074" t="n">
        <f aca="false">L22*2</f>
        <v>366.9083888</v>
      </c>
      <c r="I16" s="1075" t="s">
        <v>1418</v>
      </c>
      <c r="J16" s="1076" t="n">
        <v>1.5691</v>
      </c>
      <c r="K16" s="307" t="n">
        <v>1</v>
      </c>
      <c r="L16" s="1074" t="n">
        <f aca="false">J16*$B$2</f>
        <v>133.3735</v>
      </c>
    </row>
    <row r="17" customFormat="false" ht="9.9" hidden="false" customHeight="true" outlineLevel="0" collapsed="false">
      <c r="I17" s="1075" t="s">
        <v>1419</v>
      </c>
      <c r="J17" s="1076" t="n">
        <v>2.113891044</v>
      </c>
      <c r="L17" s="1074"/>
    </row>
    <row r="18" customFormat="false" ht="9.9" hidden="false" customHeight="true" outlineLevel="0" collapsed="false">
      <c r="B18" s="0"/>
      <c r="C18" s="0"/>
      <c r="D18" s="1070"/>
      <c r="E18" s="1070"/>
      <c r="F18" s="1070"/>
      <c r="I18" s="1077" t="s">
        <v>1279</v>
      </c>
      <c r="J18" s="1076" t="n">
        <v>0.076585</v>
      </c>
      <c r="K18" s="307" t="n">
        <v>6</v>
      </c>
      <c r="L18" s="1074" t="n">
        <f aca="false">J18*$B$2</f>
        <v>6.509725</v>
      </c>
    </row>
    <row r="19" customFormat="false" ht="9.9" hidden="false" customHeight="true" outlineLevel="0" collapsed="false">
      <c r="B19" s="311" t="s">
        <v>2679</v>
      </c>
      <c r="C19" s="1071" t="s">
        <v>2665</v>
      </c>
      <c r="D19" s="1071" t="s">
        <v>2666</v>
      </c>
      <c r="E19" s="0"/>
      <c r="I19" s="1077" t="s">
        <v>1255</v>
      </c>
      <c r="J19" s="1078" t="n">
        <v>0.03</v>
      </c>
      <c r="K19" s="307" t="n">
        <v>1</v>
      </c>
      <c r="L19" s="1074" t="n">
        <f aca="false">J19*$B$2</f>
        <v>2.55</v>
      </c>
    </row>
    <row r="20" customFormat="false" ht="9.9" hidden="false" customHeight="true" outlineLevel="0" collapsed="false">
      <c r="A20" s="307" t="s">
        <v>2680</v>
      </c>
      <c r="B20" s="1079" t="n">
        <f aca="false">D20*2</f>
        <v>93.5</v>
      </c>
      <c r="C20" s="1080" t="n">
        <v>0.55</v>
      </c>
      <c r="D20" s="1081" t="n">
        <f aca="false">C20*$B$2</f>
        <v>46.75</v>
      </c>
      <c r="E20" s="0"/>
      <c r="I20" s="1077" t="s">
        <v>1241</v>
      </c>
      <c r="J20" s="1076" t="n">
        <v>0.46329964</v>
      </c>
      <c r="K20" s="307" t="n">
        <v>1</v>
      </c>
      <c r="L20" s="1074" t="n">
        <f aca="false">J20*$B$2</f>
        <v>39.3804694</v>
      </c>
    </row>
    <row r="21" customFormat="false" ht="9.9" hidden="false" customHeight="true" outlineLevel="0" collapsed="false">
      <c r="A21" s="307" t="s">
        <v>2681</v>
      </c>
      <c r="B21" s="1079" t="n">
        <f aca="false">D21*2</f>
        <v>134.3</v>
      </c>
      <c r="C21" s="1080" t="n">
        <v>0.79</v>
      </c>
      <c r="D21" s="1081" t="n">
        <f aca="false">C21*$B$2</f>
        <v>67.15</v>
      </c>
      <c r="E21" s="0"/>
      <c r="I21" s="1077" t="s">
        <v>2682</v>
      </c>
      <c r="J21" s="1078" t="n">
        <v>0.0193</v>
      </c>
      <c r="K21" s="307" t="n">
        <v>1</v>
      </c>
      <c r="L21" s="1074" t="n">
        <f aca="false">J21*$B$2</f>
        <v>1.6405</v>
      </c>
    </row>
    <row r="22" customFormat="false" ht="9.9" hidden="false" customHeight="true" outlineLevel="0" collapsed="false">
      <c r="L22" s="1082" t="n">
        <f aca="false">SUM(L16:L21)</f>
        <v>183.4541944</v>
      </c>
    </row>
    <row r="23" customFormat="false" ht="9.9" hidden="false" customHeight="true" outlineLevel="0" collapsed="false">
      <c r="B23" s="307" t="s">
        <v>1720</v>
      </c>
      <c r="C23" s="311" t="s">
        <v>47</v>
      </c>
      <c r="D23" s="1071" t="s">
        <v>2665</v>
      </c>
      <c r="E23" s="1071" t="s">
        <v>2666</v>
      </c>
      <c r="F23" s="307" t="s">
        <v>2683</v>
      </c>
    </row>
    <row r="24" customFormat="false" ht="9.9" hidden="false" customHeight="true" outlineLevel="0" collapsed="false">
      <c r="D24" s="0"/>
    </row>
    <row r="25" customFormat="false" ht="9.9" hidden="false" customHeight="true" outlineLevel="0" collapsed="false">
      <c r="B25" s="307" t="s">
        <v>2684</v>
      </c>
      <c r="C25" s="308" t="n">
        <f aca="false">E25*2</f>
        <v>584.8</v>
      </c>
      <c r="D25" s="645" t="n">
        <v>3.44</v>
      </c>
      <c r="E25" s="308" t="n">
        <f aca="false">D25*$B$2</f>
        <v>292.4</v>
      </c>
      <c r="F25" s="307" t="n">
        <v>0.25</v>
      </c>
    </row>
    <row r="26" customFormat="false" ht="9.9" hidden="false" customHeight="true" outlineLevel="0" collapsed="false">
      <c r="B26" s="307" t="s">
        <v>2685</v>
      </c>
      <c r="C26" s="308" t="n">
        <f aca="false">E26*2</f>
        <v>753.1</v>
      </c>
      <c r="D26" s="1083" t="n">
        <v>4.43</v>
      </c>
      <c r="E26" s="308" t="n">
        <f aca="false">D26*$B$2</f>
        <v>376.55</v>
      </c>
      <c r="F26" s="307" t="n">
        <v>0.35</v>
      </c>
    </row>
    <row r="27" customFormat="false" ht="9.9" hidden="false" customHeight="true" outlineLevel="0" collapsed="false">
      <c r="B27" s="307" t="s">
        <v>2686</v>
      </c>
      <c r="C27" s="308" t="n">
        <f aca="false">E27*2</f>
        <v>1383.8</v>
      </c>
      <c r="D27" s="1083" t="n">
        <v>8.14</v>
      </c>
      <c r="E27" s="308" t="n">
        <f aca="false">D27*$B$2</f>
        <v>691.9</v>
      </c>
      <c r="F27" s="307" t="n">
        <v>0.35</v>
      </c>
    </row>
    <row r="28" customFormat="false" ht="9.9" hidden="false" customHeight="true" outlineLevel="0" collapsed="false">
      <c r="B28" s="1084" t="s">
        <v>1426</v>
      </c>
      <c r="C28" s="308" t="n">
        <f aca="false">E28*2</f>
        <v>195.9131</v>
      </c>
      <c r="D28" s="1085" t="n">
        <v>1.15243</v>
      </c>
      <c r="E28" s="308" t="n">
        <f aca="false">D28*$B$2</f>
        <v>97.95655</v>
      </c>
      <c r="F28" s="307" t="n">
        <v>0.25</v>
      </c>
    </row>
    <row r="29" customFormat="false" ht="9.9" hidden="false" customHeight="true" outlineLevel="0" collapsed="false">
      <c r="B29" s="1084" t="s">
        <v>1406</v>
      </c>
      <c r="C29" s="308" t="n">
        <f aca="false">E29*2</f>
        <v>182.7925</v>
      </c>
      <c r="D29" s="1085" t="n">
        <v>1.07525</v>
      </c>
      <c r="E29" s="308" t="n">
        <f aca="false">D29*$B$2</f>
        <v>91.39625</v>
      </c>
      <c r="F29" s="307" t="n">
        <v>0.25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2.37"/>
    <col collapsed="false" customWidth="true" hidden="false" outlineLevel="0" max="3" min="3" style="0" width="39.82"/>
    <col collapsed="false" customWidth="true" hidden="false" outlineLevel="0" max="4" min="4" style="0" width="21.3"/>
    <col collapsed="false" customWidth="true" hidden="false" outlineLevel="0" max="5" min="5" style="0" width="99.91"/>
    <col collapsed="false" customWidth="true" hidden="false" outlineLevel="0" max="8" min="6" style="0" width="17.02"/>
    <col collapsed="false" customWidth="true" hidden="false" outlineLevel="0" max="9" min="9" style="0" width="7.98"/>
    <col collapsed="false" customWidth="true" hidden="false" outlineLevel="0" max="10" min="10" style="0" width="9.26"/>
    <col collapsed="false" customWidth="true" hidden="false" outlineLevel="0" max="12" min="11" style="0" width="9.38"/>
    <col collapsed="false" customWidth="true" hidden="false" outlineLevel="0" max="13" min="13" style="0" width="10.99"/>
    <col collapsed="false" customWidth="true" hidden="false" outlineLevel="0" max="14" min="14" style="0" width="9.13"/>
    <col collapsed="false" customWidth="true" hidden="false" outlineLevel="0" max="16" min="15" style="0" width="9.6"/>
    <col collapsed="false" customWidth="true" hidden="false" outlineLevel="0" max="64" min="17" style="0" width="11.63"/>
  </cols>
  <sheetData>
    <row r="1" customFormat="false" ht="12.8" hidden="false" customHeight="false" outlineLevel="0" collapsed="false">
      <c r="C1" s="1086"/>
      <c r="D1" s="1086"/>
      <c r="E1" s="1086"/>
      <c r="F1" s="1086"/>
      <c r="J1" s="0" t="s">
        <v>224</v>
      </c>
      <c r="K1" s="500" t="e">
        <f aca="false">#REF!</f>
        <v>#REF!</v>
      </c>
    </row>
    <row r="2" customFormat="false" ht="12.8" hidden="false" customHeight="false" outlineLevel="0" collapsed="false">
      <c r="C2" s="1087" t="s">
        <v>2687</v>
      </c>
      <c r="D2" s="1087"/>
      <c r="E2" s="1087"/>
      <c r="F2" s="1087"/>
    </row>
    <row r="3" customFormat="false" ht="12.8" hidden="false" customHeight="false" outlineLevel="0" collapsed="false">
      <c r="C3" s="1086"/>
      <c r="D3" s="1086"/>
      <c r="E3" s="1086"/>
      <c r="F3" s="1086"/>
    </row>
    <row r="4" customFormat="false" ht="12.8" hidden="false" customHeight="false" outlineLevel="0" collapsed="false">
      <c r="C4" s="1086"/>
      <c r="D4" s="1086"/>
      <c r="E4" s="1086"/>
      <c r="F4" s="1086"/>
    </row>
    <row r="8" customFormat="false" ht="28.3" hidden="false" customHeight="false" outlineLevel="0" collapsed="false">
      <c r="D8" s="575"/>
      <c r="E8" s="575"/>
      <c r="F8" s="576" t="s">
        <v>640</v>
      </c>
      <c r="G8" s="577" t="s">
        <v>641</v>
      </c>
      <c r="H8" s="577" t="s">
        <v>642</v>
      </c>
      <c r="I8" s="577" t="s">
        <v>643</v>
      </c>
      <c r="J8" s="578" t="s">
        <v>644</v>
      </c>
      <c r="K8" s="578"/>
      <c r="L8" s="578"/>
      <c r="M8" s="578"/>
      <c r="N8" s="578"/>
      <c r="O8" s="578"/>
      <c r="P8" s="578"/>
      <c r="Q8" s="578"/>
    </row>
    <row r="9" customFormat="false" ht="13.8" hidden="false" customHeight="false" outlineLevel="0" collapsed="false">
      <c r="D9" s="578" t="s">
        <v>645</v>
      </c>
      <c r="E9" s="578" t="s">
        <v>520</v>
      </c>
      <c r="F9" s="578"/>
      <c r="G9" s="578"/>
      <c r="H9" s="578"/>
      <c r="I9" s="578" t="n">
        <v>1</v>
      </c>
      <c r="J9" s="578" t="n">
        <v>0.75</v>
      </c>
      <c r="K9" s="578" t="n">
        <v>1</v>
      </c>
      <c r="L9" s="578" t="n">
        <v>1.5</v>
      </c>
      <c r="M9" s="578" t="n">
        <v>2</v>
      </c>
      <c r="N9" s="578" t="n">
        <v>2.5</v>
      </c>
      <c r="O9" s="578" t="n">
        <v>3</v>
      </c>
      <c r="P9" s="578" t="n">
        <v>3.5</v>
      </c>
      <c r="Q9" s="578" t="n">
        <v>4</v>
      </c>
      <c r="R9" s="579"/>
      <c r="S9" s="579"/>
      <c r="T9" s="579"/>
    </row>
    <row r="10" customFormat="false" ht="13.8" hidden="false" customHeight="false" outlineLevel="0" collapsed="false">
      <c r="A10" s="115" t="s">
        <v>646</v>
      </c>
      <c r="B10" s="580" t="s">
        <v>647</v>
      </c>
      <c r="C10" s="580" t="str">
        <f aca="false">$A$10&amp;" "&amp;B10</f>
        <v>Электрокарниз для римских штор  AT35E</v>
      </c>
      <c r="D10" s="581" t="s">
        <v>648</v>
      </c>
      <c r="E10" s="581" t="s">
        <v>2688</v>
      </c>
      <c r="F10" s="580" t="e">
        <f aca="false">D28</f>
        <v>#REF!</v>
      </c>
      <c r="G10" s="582" t="e">
        <f aca="false">$D$63</f>
        <v>#REF!</v>
      </c>
      <c r="H10" s="582" t="e">
        <f aca="false">$D$64</f>
        <v>#REF!</v>
      </c>
      <c r="I10" s="578" t="n">
        <v>2</v>
      </c>
      <c r="J10" s="582" t="e">
        <f aca="false">$G$10+(J9*$H$10)</f>
        <v>#REF!</v>
      </c>
      <c r="K10" s="582" t="e">
        <f aca="false">$G$10+(K9*$H$10)</f>
        <v>#REF!</v>
      </c>
      <c r="L10" s="582" t="e">
        <f aca="false">$G$10+(L9*$H$10)</f>
        <v>#REF!</v>
      </c>
      <c r="M10" s="582" t="e">
        <f aca="false">$G$10+(M9*$H$10)+$D$60</f>
        <v>#REF!</v>
      </c>
      <c r="N10" s="582" t="e">
        <f aca="false">$G$10+(N9*$H$10)+$D$60</f>
        <v>#REF!</v>
      </c>
      <c r="O10" s="582" t="e">
        <f aca="false">$G$10+(O9*$H$10)+$D$60</f>
        <v>#REF!</v>
      </c>
      <c r="P10" s="582" t="e">
        <f aca="false">$G$10+(P9*$H$10)+$D$60</f>
        <v>#REF!</v>
      </c>
      <c r="Q10" s="582" t="e">
        <f aca="false">$G$10+(Q9*$H$10)+$D$60</f>
        <v>#REF!</v>
      </c>
      <c r="R10" s="583"/>
      <c r="S10" s="584"/>
      <c r="T10" s="585"/>
    </row>
    <row r="11" customFormat="false" ht="13.8" hidden="false" customHeight="false" outlineLevel="0" collapsed="false">
      <c r="B11" s="580" t="s">
        <v>650</v>
      </c>
      <c r="C11" s="580" t="str">
        <f aca="false">$A$10&amp;" "&amp;B11</f>
        <v>Электрокарниз для римских штор  AT35SL</v>
      </c>
      <c r="D11" s="581" t="s">
        <v>563</v>
      </c>
      <c r="E11" s="581" t="s">
        <v>2689</v>
      </c>
      <c r="F11" s="580" t="e">
        <f aca="false">D29</f>
        <v>#REF!</v>
      </c>
      <c r="G11" s="582" t="e">
        <f aca="false">$D$63</f>
        <v>#REF!</v>
      </c>
      <c r="H11" s="582" t="e">
        <f aca="false">$D$64</f>
        <v>#REF!</v>
      </c>
      <c r="I11" s="578" t="n">
        <v>3</v>
      </c>
      <c r="J11" s="582" t="e">
        <f aca="false">J10</f>
        <v>#REF!</v>
      </c>
      <c r="K11" s="582" t="e">
        <f aca="false">K10</f>
        <v>#REF!</v>
      </c>
      <c r="L11" s="582" t="e">
        <f aca="false">L10</f>
        <v>#REF!</v>
      </c>
      <c r="M11" s="582" t="e">
        <f aca="false">M10</f>
        <v>#REF!</v>
      </c>
      <c r="N11" s="582" t="e">
        <f aca="false">N10</f>
        <v>#REF!</v>
      </c>
      <c r="O11" s="582" t="e">
        <f aca="false">O10</f>
        <v>#REF!</v>
      </c>
      <c r="P11" s="582" t="e">
        <f aca="false">P10</f>
        <v>#REF!</v>
      </c>
      <c r="Q11" s="582" t="e">
        <f aca="false">Q10</f>
        <v>#REF!</v>
      </c>
      <c r="R11" s="586"/>
      <c r="S11" s="584"/>
      <c r="T11" s="585"/>
    </row>
    <row r="12" customFormat="false" ht="13.8" hidden="false" customHeight="false" outlineLevel="0" collapsed="false">
      <c r="B12" s="580" t="s">
        <v>2690</v>
      </c>
      <c r="C12" s="580" t="str">
        <f aca="false">$A$10&amp;" "&amp;B12</f>
        <v>Электрокарниз для римских штор  AT35RA</v>
      </c>
      <c r="D12" s="581" t="s">
        <v>2691</v>
      </c>
      <c r="E12" s="581" t="s">
        <v>2692</v>
      </c>
      <c r="F12" s="580" t="e">
        <f aca="false">D30</f>
        <v>#REF!</v>
      </c>
      <c r="G12" s="582" t="e">
        <f aca="false">$D$63</f>
        <v>#REF!</v>
      </c>
      <c r="H12" s="582" t="e">
        <f aca="false">$D$64</f>
        <v>#REF!</v>
      </c>
      <c r="I12" s="578" t="n">
        <v>4</v>
      </c>
      <c r="J12" s="582" t="e">
        <f aca="false">J11</f>
        <v>#REF!</v>
      </c>
      <c r="K12" s="582" t="e">
        <f aca="false">K11</f>
        <v>#REF!</v>
      </c>
      <c r="L12" s="582" t="e">
        <f aca="false">L11</f>
        <v>#REF!</v>
      </c>
      <c r="M12" s="582" t="e">
        <f aca="false">M11</f>
        <v>#REF!</v>
      </c>
      <c r="N12" s="582" t="e">
        <f aca="false">N11</f>
        <v>#REF!</v>
      </c>
      <c r="O12" s="582" t="e">
        <f aca="false">O11</f>
        <v>#REF!</v>
      </c>
      <c r="P12" s="582" t="e">
        <f aca="false">P11</f>
        <v>#REF!</v>
      </c>
      <c r="Q12" s="582" t="e">
        <f aca="false">Q11</f>
        <v>#REF!</v>
      </c>
      <c r="R12" s="586"/>
      <c r="S12" s="584"/>
      <c r="T12" s="585"/>
    </row>
    <row r="13" customFormat="false" ht="13.8" hidden="false" customHeight="false" outlineLevel="0" collapsed="false">
      <c r="B13" s="580" t="s">
        <v>654</v>
      </c>
      <c r="C13" s="580" t="str">
        <f aca="false">$A$10&amp;" "&amp;B13</f>
        <v>Электрокарниз для римских штор  AT35LE</v>
      </c>
      <c r="D13" s="581" t="s">
        <v>567</v>
      </c>
      <c r="E13" s="581" t="s">
        <v>2693</v>
      </c>
      <c r="F13" s="580" t="e">
        <f aca="false">D31</f>
        <v>#REF!</v>
      </c>
      <c r="G13" s="582" t="e">
        <f aca="false">$D$63</f>
        <v>#REF!</v>
      </c>
      <c r="H13" s="582" t="e">
        <f aca="false">$D$64</f>
        <v>#REF!</v>
      </c>
      <c r="I13" s="578" t="n">
        <v>5</v>
      </c>
      <c r="J13" s="582" t="e">
        <f aca="false">J12</f>
        <v>#REF!</v>
      </c>
      <c r="K13" s="582" t="e">
        <f aca="false">K12</f>
        <v>#REF!</v>
      </c>
      <c r="L13" s="582" t="e">
        <f aca="false">L12</f>
        <v>#REF!</v>
      </c>
      <c r="M13" s="582" t="e">
        <f aca="false">M12</f>
        <v>#REF!</v>
      </c>
      <c r="N13" s="582" t="e">
        <f aca="false">N12</f>
        <v>#REF!</v>
      </c>
      <c r="O13" s="582" t="e">
        <f aca="false">O12</f>
        <v>#REF!</v>
      </c>
      <c r="P13" s="582" t="e">
        <f aca="false">P12</f>
        <v>#REF!</v>
      </c>
      <c r="Q13" s="582" t="e">
        <f aca="false">Q12</f>
        <v>#REF!</v>
      </c>
      <c r="R13" s="586"/>
      <c r="S13" s="584"/>
      <c r="T13" s="585"/>
    </row>
    <row r="14" customFormat="false" ht="13.8" hidden="false" customHeight="false" outlineLevel="0" collapsed="false">
      <c r="B14" s="580" t="s">
        <v>658</v>
      </c>
      <c r="C14" s="580" t="str">
        <f aca="false">$A$10&amp;" "&amp;B14</f>
        <v>Электрокарниз для римских штор  AT35S</v>
      </c>
      <c r="D14" s="581" t="s">
        <v>659</v>
      </c>
      <c r="E14" s="581" t="s">
        <v>2694</v>
      </c>
      <c r="F14" s="580" t="e">
        <f aca="false">D32</f>
        <v>#REF!</v>
      </c>
      <c r="G14" s="582" t="e">
        <f aca="false">$D$63</f>
        <v>#REF!</v>
      </c>
      <c r="H14" s="582" t="e">
        <f aca="false">$D$64</f>
        <v>#REF!</v>
      </c>
      <c r="I14" s="578" t="n">
        <v>6</v>
      </c>
      <c r="J14" s="582" t="e">
        <f aca="false">J13</f>
        <v>#REF!</v>
      </c>
      <c r="K14" s="582" t="e">
        <f aca="false">K13</f>
        <v>#REF!</v>
      </c>
      <c r="L14" s="582" t="e">
        <f aca="false">L13</f>
        <v>#REF!</v>
      </c>
      <c r="M14" s="582" t="e">
        <f aca="false">M13</f>
        <v>#REF!</v>
      </c>
      <c r="N14" s="582" t="e">
        <f aca="false">N13</f>
        <v>#REF!</v>
      </c>
      <c r="O14" s="582" t="e">
        <f aca="false">O13</f>
        <v>#REF!</v>
      </c>
      <c r="P14" s="582" t="e">
        <f aca="false">P13</f>
        <v>#REF!</v>
      </c>
      <c r="Q14" s="582" t="e">
        <f aca="false">Q13</f>
        <v>#REF!</v>
      </c>
      <c r="R14" s="586"/>
      <c r="S14" s="584"/>
      <c r="T14" s="585"/>
    </row>
    <row r="15" customFormat="false" ht="13.8" hidden="false" customHeight="false" outlineLevel="0" collapsed="false">
      <c r="B15" s="580" t="s">
        <v>647</v>
      </c>
      <c r="C15" s="580" t="str">
        <f aca="false">$A$10&amp;" "&amp;B15</f>
        <v>Электрокарниз для римских штор  AT35E</v>
      </c>
      <c r="D15" s="581" t="s">
        <v>661</v>
      </c>
      <c r="E15" s="581" t="s">
        <v>2688</v>
      </c>
      <c r="F15" s="580" t="e">
        <f aca="false">D33</f>
        <v>#REF!</v>
      </c>
      <c r="G15" s="582" t="e">
        <f aca="false">$D$63</f>
        <v>#REF!</v>
      </c>
      <c r="H15" s="582" t="e">
        <f aca="false">$D$64</f>
        <v>#REF!</v>
      </c>
      <c r="I15" s="578" t="n">
        <v>7</v>
      </c>
      <c r="J15" s="582" t="e">
        <f aca="false">J14</f>
        <v>#REF!</v>
      </c>
      <c r="K15" s="582" t="e">
        <f aca="false">K14</f>
        <v>#REF!</v>
      </c>
      <c r="L15" s="582" t="e">
        <f aca="false">L14</f>
        <v>#REF!</v>
      </c>
      <c r="M15" s="582" t="e">
        <f aca="false">M14</f>
        <v>#REF!</v>
      </c>
      <c r="N15" s="582" t="e">
        <f aca="false">N14</f>
        <v>#REF!</v>
      </c>
      <c r="O15" s="582" t="e">
        <f aca="false">O14</f>
        <v>#REF!</v>
      </c>
      <c r="P15" s="582" t="e">
        <f aca="false">P14</f>
        <v>#REF!</v>
      </c>
      <c r="Q15" s="582" t="e">
        <f aca="false">Q14</f>
        <v>#REF!</v>
      </c>
      <c r="R15" s="586"/>
      <c r="S15" s="584"/>
      <c r="T15" s="585"/>
    </row>
    <row r="16" customFormat="false" ht="13.8" hidden="false" customHeight="false" outlineLevel="0" collapsed="false">
      <c r="B16" s="580" t="s">
        <v>654</v>
      </c>
      <c r="C16" s="580" t="str">
        <f aca="false">$A$10&amp;" "&amp;B16</f>
        <v>Электрокарниз для римских штор  AT35LE</v>
      </c>
      <c r="D16" s="581" t="s">
        <v>663</v>
      </c>
      <c r="E16" s="581" t="s">
        <v>2693</v>
      </c>
      <c r="F16" s="580" t="e">
        <f aca="false">D34</f>
        <v>#REF!</v>
      </c>
      <c r="G16" s="582" t="e">
        <f aca="false">$D$63</f>
        <v>#REF!</v>
      </c>
      <c r="H16" s="582" t="e">
        <f aca="false">$D$64</f>
        <v>#REF!</v>
      </c>
      <c r="I16" s="578" t="n">
        <v>8</v>
      </c>
      <c r="J16" s="582" t="e">
        <f aca="false">J15</f>
        <v>#REF!</v>
      </c>
      <c r="K16" s="582" t="e">
        <f aca="false">K15</f>
        <v>#REF!</v>
      </c>
      <c r="L16" s="582" t="e">
        <f aca="false">L15</f>
        <v>#REF!</v>
      </c>
      <c r="M16" s="582" t="e">
        <f aca="false">M15</f>
        <v>#REF!</v>
      </c>
      <c r="N16" s="582" t="e">
        <f aca="false">N15</f>
        <v>#REF!</v>
      </c>
      <c r="O16" s="582" t="e">
        <f aca="false">O15</f>
        <v>#REF!</v>
      </c>
      <c r="P16" s="582" t="e">
        <f aca="false">P15</f>
        <v>#REF!</v>
      </c>
      <c r="Q16" s="582" t="e">
        <f aca="false">Q15</f>
        <v>#REF!</v>
      </c>
      <c r="R16" s="586"/>
      <c r="S16" s="584"/>
      <c r="T16" s="585"/>
    </row>
    <row r="17" customFormat="false" ht="13.8" hidden="false" customHeight="false" outlineLevel="0" collapsed="false">
      <c r="B17" s="581" t="s">
        <v>571</v>
      </c>
      <c r="C17" s="580" t="str">
        <f aca="false">$A$10&amp;" "&amp;B17</f>
        <v>Электрокарниз для римских штор  SONESSE 40 3/30</v>
      </c>
      <c r="D17" s="581" t="s">
        <v>571</v>
      </c>
      <c r="E17" s="581" t="s">
        <v>2695</v>
      </c>
      <c r="F17" s="580" t="e">
        <f aca="false">D35</f>
        <v>#REF!</v>
      </c>
      <c r="G17" s="582" t="e">
        <f aca="false">$D$63</f>
        <v>#REF!</v>
      </c>
      <c r="H17" s="582" t="e">
        <f aca="false">$D$64</f>
        <v>#REF!</v>
      </c>
      <c r="I17" s="578" t="n">
        <v>9</v>
      </c>
      <c r="J17" s="582" t="e">
        <f aca="false">J16</f>
        <v>#REF!</v>
      </c>
      <c r="K17" s="582" t="e">
        <f aca="false">K16</f>
        <v>#REF!</v>
      </c>
      <c r="L17" s="582" t="e">
        <f aca="false">L16</f>
        <v>#REF!</v>
      </c>
      <c r="M17" s="582" t="e">
        <f aca="false">M16</f>
        <v>#REF!</v>
      </c>
      <c r="N17" s="582" t="e">
        <f aca="false">N16</f>
        <v>#REF!</v>
      </c>
      <c r="O17" s="582" t="e">
        <f aca="false">O16</f>
        <v>#REF!</v>
      </c>
      <c r="P17" s="582" t="e">
        <f aca="false">P16</f>
        <v>#REF!</v>
      </c>
      <c r="Q17" s="582" t="e">
        <f aca="false">Q16</f>
        <v>#REF!</v>
      </c>
      <c r="R17" s="586"/>
      <c r="S17" s="584"/>
      <c r="T17" s="585"/>
    </row>
    <row r="18" customFormat="false" ht="13.8" hidden="false" customHeight="false" outlineLevel="0" collapsed="false">
      <c r="B18" s="581" t="s">
        <v>573</v>
      </c>
      <c r="C18" s="580" t="str">
        <f aca="false">$A$10&amp;" "&amp;B18</f>
        <v>Электрокарниз для римских штор  SONESSE 40 6/20</v>
      </c>
      <c r="D18" s="581" t="s">
        <v>573</v>
      </c>
      <c r="E18" s="581" t="s">
        <v>2696</v>
      </c>
      <c r="F18" s="580" t="e">
        <f aca="false">D36</f>
        <v>#REF!</v>
      </c>
      <c r="G18" s="582" t="e">
        <f aca="false">$D$63</f>
        <v>#REF!</v>
      </c>
      <c r="H18" s="582" t="e">
        <f aca="false">$D$64</f>
        <v>#REF!</v>
      </c>
      <c r="I18" s="578" t="n">
        <v>10</v>
      </c>
      <c r="J18" s="582" t="e">
        <f aca="false">J17</f>
        <v>#REF!</v>
      </c>
      <c r="K18" s="582" t="e">
        <f aca="false">K17</f>
        <v>#REF!</v>
      </c>
      <c r="L18" s="582" t="e">
        <f aca="false">L17</f>
        <v>#REF!</v>
      </c>
      <c r="M18" s="582" t="e">
        <f aca="false">M17</f>
        <v>#REF!</v>
      </c>
      <c r="N18" s="582" t="e">
        <f aca="false">N17</f>
        <v>#REF!</v>
      </c>
      <c r="O18" s="582" t="e">
        <f aca="false">O17</f>
        <v>#REF!</v>
      </c>
      <c r="P18" s="582" t="e">
        <f aca="false">P17</f>
        <v>#REF!</v>
      </c>
      <c r="Q18" s="582" t="e">
        <f aca="false">Q17</f>
        <v>#REF!</v>
      </c>
      <c r="R18" s="586"/>
      <c r="S18" s="584"/>
      <c r="T18" s="585"/>
    </row>
    <row r="19" customFormat="false" ht="12.8" hidden="false" customHeight="false" outlineLevel="0" collapsed="false">
      <c r="B19" s="581" t="s">
        <v>669</v>
      </c>
      <c r="C19" s="580" t="str">
        <f aca="false">$A$10&amp;" "&amp;B19</f>
        <v>Электрокарниз для римских штор  SONESSE 40 9/12</v>
      </c>
      <c r="D19" s="581" t="s">
        <v>669</v>
      </c>
      <c r="E19" s="581" t="s">
        <v>2697</v>
      </c>
      <c r="F19" s="580" t="e">
        <f aca="false">D37</f>
        <v>#REF!</v>
      </c>
      <c r="G19" s="582" t="e">
        <f aca="false">$D$63</f>
        <v>#REF!</v>
      </c>
      <c r="H19" s="582" t="e">
        <f aca="false">$D$64</f>
        <v>#REF!</v>
      </c>
      <c r="I19" s="578" t="n">
        <v>11</v>
      </c>
      <c r="J19" s="582" t="e">
        <f aca="false">J18</f>
        <v>#REF!</v>
      </c>
      <c r="K19" s="582" t="e">
        <f aca="false">K18</f>
        <v>#REF!</v>
      </c>
      <c r="L19" s="582" t="e">
        <f aca="false">L18</f>
        <v>#REF!</v>
      </c>
      <c r="M19" s="582" t="e">
        <f aca="false">M18</f>
        <v>#REF!</v>
      </c>
      <c r="N19" s="582" t="e">
        <f aca="false">N18</f>
        <v>#REF!</v>
      </c>
      <c r="O19" s="582" t="e">
        <f aca="false">O18</f>
        <v>#REF!</v>
      </c>
      <c r="P19" s="582" t="e">
        <f aca="false">P18</f>
        <v>#REF!</v>
      </c>
      <c r="Q19" s="582" t="e">
        <f aca="false">Q18</f>
        <v>#REF!</v>
      </c>
    </row>
    <row r="20" customFormat="false" ht="19.25" hidden="false" customHeight="false" outlineLevel="0" collapsed="false">
      <c r="B20" s="587" t="s">
        <v>575</v>
      </c>
      <c r="C20" s="580" t="str">
        <f aca="false">$A$10&amp;" "&amp;B20</f>
        <v>Электрокарниз для римских штор  SONESSE 40 RTS 3/30</v>
      </c>
      <c r="D20" s="587" t="s">
        <v>575</v>
      </c>
      <c r="E20" s="581" t="s">
        <v>2698</v>
      </c>
      <c r="F20" s="580" t="e">
        <f aca="false">D38</f>
        <v>#REF!</v>
      </c>
      <c r="G20" s="582" t="e">
        <f aca="false">$D$63</f>
        <v>#REF!</v>
      </c>
      <c r="H20" s="582" t="e">
        <f aca="false">$D$64</f>
        <v>#REF!</v>
      </c>
      <c r="I20" s="578" t="n">
        <v>12</v>
      </c>
      <c r="J20" s="582" t="e">
        <f aca="false">J19</f>
        <v>#REF!</v>
      </c>
      <c r="K20" s="582" t="e">
        <f aca="false">K19</f>
        <v>#REF!</v>
      </c>
      <c r="L20" s="582" t="e">
        <f aca="false">L19</f>
        <v>#REF!</v>
      </c>
      <c r="M20" s="582" t="e">
        <f aca="false">M19</f>
        <v>#REF!</v>
      </c>
      <c r="N20" s="582" t="e">
        <f aca="false">N19</f>
        <v>#REF!</v>
      </c>
      <c r="O20" s="582" t="e">
        <f aca="false">O19</f>
        <v>#REF!</v>
      </c>
      <c r="P20" s="582" t="e">
        <f aca="false">P19</f>
        <v>#REF!</v>
      </c>
      <c r="Q20" s="582" t="e">
        <f aca="false">Q19</f>
        <v>#REF!</v>
      </c>
    </row>
    <row r="21" customFormat="false" ht="19.25" hidden="false" customHeight="false" outlineLevel="0" collapsed="false">
      <c r="B21" s="587" t="s">
        <v>577</v>
      </c>
      <c r="C21" s="580" t="str">
        <f aca="false">$A$10&amp;" "&amp;B21</f>
        <v>Электрокарниз для римских штор  SONESSE 40 RTS 6/20</v>
      </c>
      <c r="D21" s="587" t="s">
        <v>577</v>
      </c>
      <c r="E21" s="581" t="s">
        <v>2699</v>
      </c>
      <c r="F21" s="580" t="e">
        <f aca="false">D39</f>
        <v>#REF!</v>
      </c>
      <c r="G21" s="582" t="e">
        <f aca="false">$D$63</f>
        <v>#REF!</v>
      </c>
      <c r="H21" s="582" t="e">
        <f aca="false">$D$64</f>
        <v>#REF!</v>
      </c>
      <c r="I21" s="578" t="n">
        <v>13</v>
      </c>
      <c r="J21" s="582" t="e">
        <f aca="false">J20</f>
        <v>#REF!</v>
      </c>
      <c r="K21" s="582" t="e">
        <f aca="false">K20</f>
        <v>#REF!</v>
      </c>
      <c r="L21" s="582" t="e">
        <f aca="false">L20</f>
        <v>#REF!</v>
      </c>
      <c r="M21" s="582" t="e">
        <f aca="false">M20</f>
        <v>#REF!</v>
      </c>
      <c r="N21" s="582" t="e">
        <f aca="false">N20</f>
        <v>#REF!</v>
      </c>
      <c r="O21" s="582" t="e">
        <f aca="false">O20</f>
        <v>#REF!</v>
      </c>
      <c r="P21" s="582" t="e">
        <f aca="false">P20</f>
        <v>#REF!</v>
      </c>
      <c r="Q21" s="582" t="e">
        <f aca="false">Q20</f>
        <v>#REF!</v>
      </c>
    </row>
    <row r="22" customFormat="false" ht="19.25" hidden="false" customHeight="false" outlineLevel="0" collapsed="false">
      <c r="B22" s="587" t="s">
        <v>673</v>
      </c>
      <c r="C22" s="580" t="str">
        <f aca="false">$A$10&amp;" "&amp;B22</f>
        <v>Электрокарниз для римских штор  SONESSE 40 RTS 9/12</v>
      </c>
      <c r="D22" s="587" t="s">
        <v>673</v>
      </c>
      <c r="E22" s="581" t="s">
        <v>2700</v>
      </c>
      <c r="F22" s="580" t="e">
        <f aca="false">D40</f>
        <v>#REF!</v>
      </c>
      <c r="G22" s="582" t="e">
        <f aca="false">$D$63</f>
        <v>#REF!</v>
      </c>
      <c r="H22" s="582" t="e">
        <f aca="false">$D$64</f>
        <v>#REF!</v>
      </c>
      <c r="I22" s="578" t="n">
        <v>14</v>
      </c>
      <c r="J22" s="582" t="e">
        <f aca="false">J21</f>
        <v>#REF!</v>
      </c>
      <c r="K22" s="582" t="e">
        <f aca="false">K21</f>
        <v>#REF!</v>
      </c>
      <c r="L22" s="582" t="e">
        <f aca="false">L21</f>
        <v>#REF!</v>
      </c>
      <c r="M22" s="582" t="e">
        <f aca="false">M21</f>
        <v>#REF!</v>
      </c>
      <c r="N22" s="582" t="e">
        <f aca="false">N21</f>
        <v>#REF!</v>
      </c>
      <c r="O22" s="582" t="e">
        <f aca="false">O21</f>
        <v>#REF!</v>
      </c>
      <c r="P22" s="582" t="e">
        <f aca="false">P21</f>
        <v>#REF!</v>
      </c>
      <c r="Q22" s="582" t="e">
        <f aca="false">Q21</f>
        <v>#REF!</v>
      </c>
    </row>
    <row r="23" customFormat="false" ht="28.3" hidden="false" customHeight="false" outlineLevel="0" collapsed="false">
      <c r="I23" s="588" t="s">
        <v>675</v>
      </c>
      <c r="J23" s="589" t="n">
        <v>2</v>
      </c>
      <c r="K23" s="589" t="n">
        <v>3</v>
      </c>
      <c r="L23" s="589" t="n">
        <v>4</v>
      </c>
      <c r="M23" s="589" t="n">
        <v>5</v>
      </c>
      <c r="N23" s="589" t="n">
        <v>6</v>
      </c>
      <c r="O23" s="589" t="n">
        <v>7</v>
      </c>
      <c r="P23" s="589" t="n">
        <v>8</v>
      </c>
      <c r="Q23" s="589" t="n">
        <v>9</v>
      </c>
    </row>
    <row r="27" customFormat="false" ht="35.5" hidden="false" customHeight="false" outlineLevel="0" collapsed="false">
      <c r="C27" s="590"/>
      <c r="D27" s="591" t="s">
        <v>676</v>
      </c>
      <c r="E27" s="591"/>
      <c r="F27" s="591"/>
      <c r="G27" s="591"/>
      <c r="H27" s="591"/>
      <c r="I27" s="591"/>
      <c r="J27" s="591" t="s">
        <v>677</v>
      </c>
      <c r="K27" s="576" t="s">
        <v>341</v>
      </c>
      <c r="L27" s="576" t="s">
        <v>342</v>
      </c>
      <c r="M27" s="576" t="s">
        <v>343</v>
      </c>
    </row>
    <row r="28" customFormat="false" ht="12.8" hidden="false" customHeight="false" outlineLevel="0" collapsed="false">
      <c r="C28" s="581" t="s">
        <v>648</v>
      </c>
      <c r="D28" s="592" t="e">
        <f aca="false">J28*$K$1</f>
        <v>#REF!</v>
      </c>
      <c r="E28" s="592"/>
      <c r="F28" s="592"/>
      <c r="G28" s="592"/>
      <c r="H28" s="580"/>
      <c r="I28" s="580"/>
      <c r="J28" s="593" t="n">
        <f aca="false">'данные по моторизации'!C6</f>
        <v>119.39</v>
      </c>
      <c r="K28" s="590"/>
      <c r="L28" s="590"/>
      <c r="M28" s="590"/>
    </row>
    <row r="29" customFormat="false" ht="12.8" hidden="false" customHeight="false" outlineLevel="0" collapsed="false">
      <c r="C29" s="581" t="s">
        <v>563</v>
      </c>
      <c r="D29" s="592" t="e">
        <f aca="false">J29*$K$1</f>
        <v>#REF!</v>
      </c>
      <c r="E29" s="592"/>
      <c r="F29" s="592"/>
      <c r="G29" s="592"/>
      <c r="H29" s="580"/>
      <c r="I29" s="580"/>
      <c r="J29" s="594" t="n">
        <f aca="false">'данные по моторизации'!C7</f>
        <v>72.2</v>
      </c>
      <c r="K29" s="590"/>
      <c r="L29" s="590"/>
      <c r="M29" s="590"/>
    </row>
    <row r="30" customFormat="false" ht="12.8" hidden="false" customHeight="false" outlineLevel="0" collapsed="false">
      <c r="C30" s="581" t="s">
        <v>2691</v>
      </c>
      <c r="D30" s="592" t="e">
        <f aca="false">J30*$K$1</f>
        <v>#REF!</v>
      </c>
      <c r="E30" s="592"/>
      <c r="F30" s="592"/>
      <c r="G30" s="592"/>
      <c r="H30" s="580"/>
      <c r="I30" s="580"/>
      <c r="J30" s="594" t="n">
        <v>102.09</v>
      </c>
      <c r="K30" s="590"/>
      <c r="L30" s="590"/>
      <c r="M30" s="590"/>
    </row>
    <row r="31" customFormat="false" ht="12.8" hidden="false" customHeight="false" outlineLevel="0" collapsed="false">
      <c r="C31" s="581" t="s">
        <v>567</v>
      </c>
      <c r="D31" s="592" t="e">
        <f aca="false">J31*$K$1</f>
        <v>#REF!</v>
      </c>
      <c r="E31" s="592"/>
      <c r="F31" s="592"/>
      <c r="G31" s="592"/>
      <c r="H31" s="580"/>
      <c r="I31" s="580"/>
      <c r="J31" s="594" t="n">
        <f aca="false">'данные по моторизации'!C9</f>
        <v>185.9</v>
      </c>
      <c r="K31" s="590"/>
      <c r="L31" s="590"/>
      <c r="M31" s="590"/>
    </row>
    <row r="32" customFormat="false" ht="12.8" hidden="false" customHeight="false" outlineLevel="0" collapsed="false">
      <c r="C32" s="581" t="s">
        <v>659</v>
      </c>
      <c r="D32" s="580" t="e">
        <f aca="false">M32*2</f>
        <v>#REF!</v>
      </c>
      <c r="E32" s="580"/>
      <c r="F32" s="580"/>
      <c r="G32" s="580"/>
      <c r="H32" s="580"/>
      <c r="I32" s="580"/>
      <c r="J32" s="595" t="e">
        <f aca="false">M32*2</f>
        <v>#REF!</v>
      </c>
      <c r="K32" s="590"/>
      <c r="L32" s="596" t="e">
        <f aca="false">#REF!</f>
        <v>#REF!</v>
      </c>
      <c r="M32" s="595" t="e">
        <f aca="false">L32*$K$1</f>
        <v>#REF!</v>
      </c>
    </row>
    <row r="33" customFormat="false" ht="12.8" hidden="false" customHeight="false" outlineLevel="0" collapsed="false">
      <c r="C33" s="581" t="s">
        <v>661</v>
      </c>
      <c r="D33" s="580" t="e">
        <f aca="false">M33*2</f>
        <v>#REF!</v>
      </c>
      <c r="E33" s="580"/>
      <c r="F33" s="580"/>
      <c r="G33" s="580"/>
      <c r="H33" s="580"/>
      <c r="I33" s="580"/>
      <c r="J33" s="595" t="e">
        <f aca="false">M33*2</f>
        <v>#REF!</v>
      </c>
      <c r="K33" s="590"/>
      <c r="L33" s="596" t="e">
        <f aca="false">#REF!</f>
        <v>#REF!</v>
      </c>
      <c r="M33" s="595" t="e">
        <f aca="false">L33*$K$1</f>
        <v>#REF!</v>
      </c>
    </row>
    <row r="34" customFormat="false" ht="12.8" hidden="false" customHeight="false" outlineLevel="0" collapsed="false">
      <c r="C34" s="581" t="s">
        <v>663</v>
      </c>
      <c r="D34" s="580" t="e">
        <f aca="false">M34*2</f>
        <v>#REF!</v>
      </c>
      <c r="E34" s="580"/>
      <c r="F34" s="580"/>
      <c r="G34" s="580"/>
      <c r="H34" s="580"/>
      <c r="I34" s="580"/>
      <c r="J34" s="595" t="e">
        <f aca="false">M34*2</f>
        <v>#REF!</v>
      </c>
      <c r="K34" s="590"/>
      <c r="L34" s="596" t="e">
        <f aca="false">#REF!</f>
        <v>#REF!</v>
      </c>
      <c r="M34" s="595" t="e">
        <f aca="false">L34*$K$1</f>
        <v>#REF!</v>
      </c>
    </row>
    <row r="35" customFormat="false" ht="12.8" hidden="false" customHeight="false" outlineLevel="0" collapsed="false">
      <c r="C35" s="581" t="s">
        <v>571</v>
      </c>
      <c r="D35" s="580" t="e">
        <f aca="false">#REF!</f>
        <v>#REF!</v>
      </c>
      <c r="E35" s="580"/>
      <c r="F35" s="580"/>
      <c r="G35" s="580"/>
      <c r="H35" s="580"/>
      <c r="I35" s="580"/>
      <c r="J35" s="597"/>
      <c r="K35" s="590"/>
      <c r="L35" s="598"/>
      <c r="M35" s="590"/>
    </row>
    <row r="36" customFormat="false" ht="12.8" hidden="false" customHeight="false" outlineLevel="0" collapsed="false">
      <c r="C36" s="581" t="s">
        <v>573</v>
      </c>
      <c r="D36" s="580" t="e">
        <f aca="false">#REF!</f>
        <v>#REF!</v>
      </c>
      <c r="E36" s="580"/>
      <c r="F36" s="580"/>
      <c r="G36" s="580"/>
      <c r="H36" s="580"/>
      <c r="I36" s="580"/>
      <c r="J36" s="597"/>
      <c r="K36" s="590"/>
      <c r="L36" s="598"/>
      <c r="M36" s="590"/>
    </row>
    <row r="37" customFormat="false" ht="12.8" hidden="false" customHeight="false" outlineLevel="0" collapsed="false">
      <c r="C37" s="581" t="s">
        <v>669</v>
      </c>
      <c r="D37" s="580" t="e">
        <f aca="false">#REF!</f>
        <v>#REF!</v>
      </c>
      <c r="E37" s="580"/>
      <c r="F37" s="580"/>
      <c r="G37" s="580"/>
      <c r="H37" s="580"/>
      <c r="I37" s="580"/>
      <c r="J37" s="597"/>
      <c r="K37" s="590"/>
      <c r="L37" s="598"/>
      <c r="M37" s="590"/>
    </row>
    <row r="38" customFormat="false" ht="12.8" hidden="false" customHeight="false" outlineLevel="0" collapsed="false">
      <c r="C38" s="587" t="s">
        <v>575</v>
      </c>
      <c r="D38" s="580" t="e">
        <f aca="false">#REF!</f>
        <v>#REF!</v>
      </c>
      <c r="E38" s="580"/>
      <c r="F38" s="580"/>
      <c r="G38" s="580"/>
      <c r="H38" s="580"/>
      <c r="I38" s="580"/>
      <c r="J38" s="597"/>
      <c r="K38" s="590"/>
      <c r="L38" s="598"/>
      <c r="M38" s="590"/>
    </row>
    <row r="39" customFormat="false" ht="12.8" hidden="false" customHeight="false" outlineLevel="0" collapsed="false">
      <c r="C39" s="587" t="s">
        <v>577</v>
      </c>
      <c r="D39" s="580" t="e">
        <f aca="false">#REF!</f>
        <v>#REF!</v>
      </c>
      <c r="E39" s="580"/>
      <c r="F39" s="580"/>
      <c r="G39" s="580"/>
      <c r="H39" s="580"/>
      <c r="I39" s="580"/>
      <c r="J39" s="597"/>
      <c r="K39" s="590"/>
      <c r="L39" s="598"/>
      <c r="M39" s="590"/>
    </row>
    <row r="40" customFormat="false" ht="12.8" hidden="false" customHeight="false" outlineLevel="0" collapsed="false">
      <c r="C40" s="587" t="s">
        <v>673</v>
      </c>
      <c r="D40" s="580" t="e">
        <f aca="false">#REF!</f>
        <v>#REF!</v>
      </c>
      <c r="E40" s="580"/>
      <c r="F40" s="580"/>
      <c r="G40" s="580"/>
      <c r="H40" s="580"/>
      <c r="I40" s="580"/>
      <c r="J40" s="590"/>
      <c r="K40" s="590"/>
      <c r="L40" s="598"/>
      <c r="M40" s="590"/>
    </row>
    <row r="43" customFormat="false" ht="12.8" hidden="false" customHeight="false" outlineLevel="0" collapsed="false">
      <c r="C43" s="0" t="s">
        <v>678</v>
      </c>
    </row>
    <row r="45" customFormat="false" ht="12.8" hidden="false" customHeight="false" outlineLevel="0" collapsed="false">
      <c r="C45" s="581" t="s">
        <v>679</v>
      </c>
      <c r="D45" s="599" t="e">
        <f aca="false">M45*2</f>
        <v>#REF!</v>
      </c>
      <c r="E45" s="599"/>
      <c r="F45" s="599"/>
      <c r="G45" s="599"/>
      <c r="H45" s="599"/>
      <c r="I45" s="599"/>
      <c r="J45" s="581"/>
      <c r="K45" s="581"/>
      <c r="L45" s="596" t="n">
        <v>4.92</v>
      </c>
      <c r="M45" s="599" t="e">
        <f aca="false">L45*$K$1</f>
        <v>#REF!</v>
      </c>
    </row>
    <row r="46" customFormat="false" ht="12.8" hidden="false" customHeight="false" outlineLevel="0" collapsed="false">
      <c r="C46" s="600" t="s">
        <v>680</v>
      </c>
      <c r="D46" s="599" t="e">
        <f aca="false">M46*2</f>
        <v>#REF!</v>
      </c>
      <c r="E46" s="599"/>
      <c r="F46" s="599"/>
      <c r="G46" s="599"/>
      <c r="H46" s="599"/>
      <c r="I46" s="599"/>
      <c r="J46" s="581"/>
      <c r="K46" s="581"/>
      <c r="L46" s="596" t="e">
        <f aca="false">#REF!</f>
        <v>#REF!</v>
      </c>
      <c r="M46" s="599" t="e">
        <f aca="false">L46*$K$1</f>
        <v>#REF!</v>
      </c>
    </row>
    <row r="47" customFormat="false" ht="12.8" hidden="false" customHeight="false" outlineLevel="0" collapsed="false">
      <c r="C47" s="600" t="s">
        <v>681</v>
      </c>
      <c r="D47" s="599" t="e">
        <f aca="false">M47*2</f>
        <v>#REF!</v>
      </c>
      <c r="E47" s="599"/>
      <c r="F47" s="599"/>
      <c r="G47" s="599"/>
      <c r="H47" s="599"/>
      <c r="I47" s="599"/>
      <c r="J47" s="581"/>
      <c r="K47" s="581"/>
      <c r="L47" s="596" t="e">
        <f aca="false">#REF!</f>
        <v>#REF!</v>
      </c>
      <c r="M47" s="599" t="e">
        <f aca="false">L47*$K$1</f>
        <v>#REF!</v>
      </c>
    </row>
    <row r="48" customFormat="false" ht="12.8" hidden="false" customHeight="false" outlineLevel="0" collapsed="false">
      <c r="C48" s="600" t="s">
        <v>682</v>
      </c>
      <c r="D48" s="599" t="e">
        <f aca="false">M48*2</f>
        <v>#REF!</v>
      </c>
      <c r="E48" s="599"/>
      <c r="F48" s="599"/>
      <c r="G48" s="599"/>
      <c r="H48" s="599"/>
      <c r="I48" s="599"/>
      <c r="J48" s="581"/>
      <c r="K48" s="581"/>
      <c r="L48" s="596" t="e">
        <f aca="false">#REF!</f>
        <v>#REF!</v>
      </c>
      <c r="M48" s="599" t="e">
        <f aca="false">L48*$K$1</f>
        <v>#REF!</v>
      </c>
    </row>
    <row r="49" customFormat="false" ht="12.8" hidden="false" customHeight="false" outlineLevel="0" collapsed="false">
      <c r="C49" s="600" t="s">
        <v>683</v>
      </c>
      <c r="D49" s="599" t="e">
        <f aca="false">M49*2</f>
        <v>#REF!</v>
      </c>
      <c r="E49" s="599"/>
      <c r="F49" s="599"/>
      <c r="G49" s="599"/>
      <c r="H49" s="599"/>
      <c r="I49" s="599"/>
      <c r="J49" s="581"/>
      <c r="K49" s="581"/>
      <c r="L49" s="596" t="e">
        <f aca="false">#REF!</f>
        <v>#REF!</v>
      </c>
      <c r="M49" s="599" t="e">
        <f aca="false">L49*$K$1</f>
        <v>#REF!</v>
      </c>
      <c r="O49" s="489"/>
      <c r="P49" s="0" t="s">
        <v>684</v>
      </c>
    </row>
    <row r="50" customFormat="false" ht="12.8" hidden="false" customHeight="false" outlineLevel="0" collapsed="false">
      <c r="C50" s="600" t="s">
        <v>685</v>
      </c>
      <c r="D50" s="599" t="e">
        <f aca="false">M50*2</f>
        <v>#REF!</v>
      </c>
      <c r="E50" s="599"/>
      <c r="F50" s="599"/>
      <c r="G50" s="599"/>
      <c r="H50" s="599"/>
      <c r="I50" s="599"/>
      <c r="J50" s="581"/>
      <c r="K50" s="581"/>
      <c r="L50" s="596" t="e">
        <f aca="false">#REF!</f>
        <v>#REF!</v>
      </c>
      <c r="M50" s="599" t="e">
        <f aca="false">L50*$K$1</f>
        <v>#REF!</v>
      </c>
    </row>
    <row r="51" customFormat="false" ht="12.8" hidden="false" customHeight="false" outlineLevel="0" collapsed="false">
      <c r="C51" s="600" t="s">
        <v>686</v>
      </c>
      <c r="D51" s="599" t="e">
        <f aca="false">M51*2</f>
        <v>#REF!</v>
      </c>
      <c r="E51" s="599"/>
      <c r="F51" s="599"/>
      <c r="G51" s="599"/>
      <c r="H51" s="599"/>
      <c r="I51" s="599"/>
      <c r="J51" s="581"/>
      <c r="K51" s="581"/>
      <c r="L51" s="596" t="e">
        <f aca="false">#REF!</f>
        <v>#REF!</v>
      </c>
      <c r="M51" s="599" t="e">
        <f aca="false">L51*$K$1</f>
        <v>#REF!</v>
      </c>
    </row>
    <row r="52" customFormat="false" ht="12.8" hidden="false" customHeight="false" outlineLevel="0" collapsed="false">
      <c r="C52" s="601" t="s">
        <v>687</v>
      </c>
      <c r="D52" s="599" t="e">
        <f aca="false">M52*2</f>
        <v>#REF!</v>
      </c>
      <c r="E52" s="599"/>
      <c r="F52" s="599"/>
      <c r="G52" s="599"/>
      <c r="H52" s="599"/>
      <c r="I52" s="599"/>
      <c r="J52" s="581"/>
      <c r="K52" s="581"/>
      <c r="L52" s="596" t="e">
        <f aca="false">#REF!</f>
        <v>#REF!</v>
      </c>
      <c r="M52" s="599" t="e">
        <f aca="false">L52*$K$1</f>
        <v>#REF!</v>
      </c>
    </row>
    <row r="53" customFormat="false" ht="12.8" hidden="false" customHeight="false" outlineLevel="0" collapsed="false">
      <c r="C53" s="581" t="s">
        <v>688</v>
      </c>
      <c r="D53" s="599" t="n">
        <f aca="false">M53*2</f>
        <v>446</v>
      </c>
      <c r="E53" s="599"/>
      <c r="F53" s="599"/>
      <c r="G53" s="599"/>
      <c r="H53" s="599"/>
      <c r="I53" s="599"/>
      <c r="J53" s="581"/>
      <c r="K53" s="581"/>
      <c r="L53" s="596"/>
      <c r="M53" s="605" t="n">
        <v>223</v>
      </c>
    </row>
    <row r="54" customFormat="false" ht="12.8" hidden="false" customHeight="false" outlineLevel="0" collapsed="false">
      <c r="C54" s="603" t="s">
        <v>689</v>
      </c>
      <c r="D54" s="605" t="n">
        <v>30</v>
      </c>
      <c r="E54" s="602"/>
      <c r="F54" s="599"/>
      <c r="G54" s="599"/>
      <c r="H54" s="599"/>
      <c r="I54" s="599"/>
      <c r="J54" s="581"/>
      <c r="K54" s="581"/>
      <c r="L54" s="604" t="n">
        <v>0.0216955615</v>
      </c>
      <c r="M54" s="599" t="e">
        <f aca="false">L54*$K$1</f>
        <v>#REF!</v>
      </c>
    </row>
    <row r="55" customFormat="false" ht="12.8" hidden="false" customHeight="false" outlineLevel="0" collapsed="false">
      <c r="C55" s="590" t="s">
        <v>690</v>
      </c>
      <c r="D55" s="599" t="n">
        <f aca="false">M55*2</f>
        <v>320</v>
      </c>
      <c r="E55" s="599"/>
      <c r="F55" s="599"/>
      <c r="G55" s="599"/>
      <c r="H55" s="599"/>
      <c r="I55" s="599"/>
      <c r="J55" s="581"/>
      <c r="K55" s="581"/>
      <c r="L55" s="596"/>
      <c r="M55" s="605" t="n">
        <v>160</v>
      </c>
    </row>
    <row r="56" customFormat="false" ht="12.8" hidden="false" customHeight="false" outlineLevel="0" collapsed="false">
      <c r="C56" s="590" t="s">
        <v>691</v>
      </c>
      <c r="D56" s="599" t="n">
        <f aca="false">M56*2</f>
        <v>20</v>
      </c>
      <c r="E56" s="599"/>
      <c r="F56" s="599"/>
      <c r="G56" s="599"/>
      <c r="H56" s="599"/>
      <c r="I56" s="599"/>
      <c r="J56" s="581"/>
      <c r="K56" s="581"/>
      <c r="L56" s="596"/>
      <c r="M56" s="605" t="n">
        <v>10</v>
      </c>
    </row>
    <row r="57" customFormat="false" ht="12.8" hidden="false" customHeight="false" outlineLevel="0" collapsed="false">
      <c r="C57" s="606"/>
      <c r="D57" s="606"/>
      <c r="E57" s="606"/>
      <c r="F57" s="606"/>
      <c r="G57" s="606"/>
      <c r="H57" s="606"/>
      <c r="I57" s="606"/>
      <c r="J57" s="606"/>
      <c r="K57" s="606"/>
      <c r="L57" s="607"/>
      <c r="M57" s="608"/>
    </row>
    <row r="58" customFormat="false" ht="12.8" hidden="false" customHeight="false" outlineLevel="0" collapsed="false">
      <c r="C58" s="606" t="s">
        <v>692</v>
      </c>
      <c r="D58" s="606"/>
      <c r="E58" s="606"/>
      <c r="F58" s="609" t="e">
        <f aca="false">D46+D47+D48+(D50*2)</f>
        <v>#REF!</v>
      </c>
      <c r="G58" s="606"/>
      <c r="H58" s="606"/>
      <c r="I58" s="606"/>
      <c r="J58" s="606"/>
      <c r="K58" s="606"/>
      <c r="L58" s="607"/>
      <c r="M58" s="608"/>
    </row>
    <row r="59" customFormat="false" ht="12.8" hidden="false" customHeight="false" outlineLevel="0" collapsed="false">
      <c r="C59" s="581" t="s">
        <v>693</v>
      </c>
      <c r="D59" s="605" t="n">
        <v>2000</v>
      </c>
      <c r="E59" s="610"/>
      <c r="F59" s="610"/>
      <c r="G59" s="610"/>
      <c r="H59" s="610"/>
      <c r="I59" s="610"/>
      <c r="J59" s="606"/>
      <c r="K59" s="606"/>
      <c r="L59" s="607"/>
      <c r="M59" s="608"/>
    </row>
    <row r="60" customFormat="false" ht="12.8" hidden="false" customHeight="false" outlineLevel="0" collapsed="false">
      <c r="C60" s="581" t="s">
        <v>694</v>
      </c>
      <c r="D60" s="610"/>
      <c r="E60" s="610"/>
      <c r="F60" s="610"/>
      <c r="G60" s="610"/>
      <c r="H60" s="610"/>
      <c r="I60" s="610"/>
      <c r="J60" s="606"/>
      <c r="K60" s="606"/>
      <c r="L60" s="607"/>
      <c r="M60" s="608"/>
    </row>
    <row r="61" customFormat="false" ht="12.8" hidden="false" customHeight="false" outlineLevel="0" collapsed="false">
      <c r="C61" s="581" t="s">
        <v>695</v>
      </c>
      <c r="D61" s="605" t="n">
        <v>500</v>
      </c>
      <c r="E61" s="610"/>
      <c r="F61" s="610"/>
      <c r="G61" s="610"/>
      <c r="H61" s="610"/>
      <c r="I61" s="610"/>
      <c r="J61" s="606"/>
      <c r="K61" s="606"/>
      <c r="L61" s="607"/>
      <c r="M61" s="608"/>
    </row>
    <row r="62" customFormat="false" ht="12.8" hidden="false" customHeight="false" outlineLevel="0" collapsed="false">
      <c r="C62" s="606"/>
      <c r="D62" s="606"/>
      <c r="E62" s="606"/>
      <c r="F62" s="606"/>
      <c r="G62" s="606"/>
      <c r="H62" s="606"/>
      <c r="I62" s="606"/>
      <c r="J62" s="606"/>
      <c r="K62" s="606"/>
      <c r="L62" s="607"/>
      <c r="M62" s="608"/>
    </row>
    <row r="63" customFormat="false" ht="12.8" hidden="false" customHeight="false" outlineLevel="0" collapsed="false">
      <c r="C63" s="611" t="s">
        <v>696</v>
      </c>
      <c r="D63" s="612" t="e">
        <f aca="false">D46+D47+D48+D55+D59+D61+(D50*2)</f>
        <v>#REF!</v>
      </c>
      <c r="E63" s="612"/>
      <c r="F63" s="612"/>
      <c r="G63" s="612"/>
      <c r="H63" s="612"/>
      <c r="I63" s="612"/>
      <c r="J63" s="606"/>
      <c r="K63" s="606"/>
      <c r="L63" s="607"/>
      <c r="M63" s="608"/>
    </row>
    <row r="64" customFormat="false" ht="19.25" hidden="false" customHeight="false" outlineLevel="0" collapsed="false">
      <c r="C64" s="611" t="s">
        <v>697</v>
      </c>
      <c r="D64" s="612" t="e">
        <f aca="false">(D45*1.2)+(D52*1.2)+(D53*1.2)+(2*D56)</f>
        <v>#REF!</v>
      </c>
      <c r="E64" s="612"/>
      <c r="F64" s="612"/>
      <c r="G64" s="612"/>
      <c r="H64" s="612"/>
      <c r="I64" s="612"/>
      <c r="J64" s="606"/>
      <c r="K64" s="606"/>
      <c r="L64" s="607"/>
      <c r="M64" s="608"/>
    </row>
    <row r="65" customFormat="false" ht="12.8" hidden="false" customHeight="false" outlineLevel="0" collapsed="false">
      <c r="C65" s="613" t="s">
        <v>698</v>
      </c>
      <c r="D65" s="612" t="e">
        <f aca="false">D49+D51+(3*D54)</f>
        <v>#REF!</v>
      </c>
      <c r="E65" s="612"/>
      <c r="F65" s="582"/>
      <c r="G65" s="582"/>
      <c r="H65" s="582"/>
      <c r="I65" s="582"/>
      <c r="J65" s="606"/>
      <c r="K65" s="606"/>
      <c r="L65" s="607"/>
      <c r="M65" s="608"/>
    </row>
    <row r="66" customFormat="false" ht="12.8" hidden="false" customHeight="false" outlineLevel="0" collapsed="false">
      <c r="C66" s="606"/>
      <c r="D66" s="606"/>
      <c r="E66" s="606"/>
      <c r="F66" s="606"/>
      <c r="G66" s="606"/>
      <c r="H66" s="606"/>
      <c r="I66" s="606"/>
      <c r="J66" s="606"/>
      <c r="K66" s="606"/>
      <c r="L66" s="607"/>
      <c r="M66" s="608"/>
    </row>
    <row r="67" customFormat="false" ht="12.8" hidden="false" customHeight="false" outlineLevel="0" collapsed="false">
      <c r="C67" s="606"/>
      <c r="D67" s="606"/>
      <c r="E67" s="606"/>
      <c r="F67" s="606"/>
      <c r="G67" s="606"/>
      <c r="H67" s="606"/>
      <c r="I67" s="606"/>
      <c r="J67" s="606"/>
      <c r="K67" s="606"/>
      <c r="L67" s="607"/>
      <c r="M67" s="608"/>
    </row>
    <row r="68" customFormat="false" ht="28.3" hidden="false" customHeight="false" outlineLevel="0" collapsed="false">
      <c r="C68" s="614" t="s">
        <v>699</v>
      </c>
      <c r="D68" s="615" t="s">
        <v>700</v>
      </c>
      <c r="E68" s="615"/>
      <c r="F68" s="615"/>
      <c r="G68" s="615"/>
      <c r="H68" s="615"/>
      <c r="I68" s="615"/>
      <c r="J68" s="581"/>
      <c r="K68" s="581"/>
      <c r="L68" s="596" t="e">
        <f aca="false">#REF!</f>
        <v>#REF!</v>
      </c>
      <c r="M68" s="599" t="e">
        <f aca="false">L68*$K$1</f>
        <v>#REF!</v>
      </c>
    </row>
  </sheetData>
  <mergeCells count="2">
    <mergeCell ref="C2:F2"/>
    <mergeCell ref="J8:Q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55.82"/>
    <col collapsed="false" customWidth="true" hidden="false" outlineLevel="0" max="3" min="3" style="0" width="43.19"/>
    <col collapsed="false" customWidth="false" hidden="true" outlineLevel="0" max="8" min="4" style="1088" width="11.52"/>
    <col collapsed="false" customWidth="true" hidden="false" outlineLevel="0" max="64" min="9" style="0" width="11.63"/>
  </cols>
  <sheetData>
    <row r="1" customFormat="false" ht="17.35" hidden="false" customHeight="false" outlineLevel="0" collapsed="false">
      <c r="A1" s="947" t="s">
        <v>1611</v>
      </c>
      <c r="B1" s="947"/>
      <c r="C1" s="947"/>
      <c r="D1" s="947"/>
      <c r="E1" s="947"/>
      <c r="F1" s="947"/>
      <c r="G1" s="947"/>
      <c r="H1" s="947"/>
      <c r="I1" s="947"/>
    </row>
    <row r="2" customFormat="false" ht="17.35" hidden="false" customHeight="false" outlineLevel="0" collapsed="false">
      <c r="A2" s="949" t="s">
        <v>2493</v>
      </c>
      <c r="B2" s="950" t="s">
        <v>345</v>
      </c>
      <c r="C2" s="951" t="s">
        <v>2494</v>
      </c>
      <c r="D2" s="1089" t="s">
        <v>2495</v>
      </c>
      <c r="E2" s="1090" t="s">
        <v>855</v>
      </c>
      <c r="F2" s="1090" t="s">
        <v>856</v>
      </c>
      <c r="G2" s="1090" t="s">
        <v>857</v>
      </c>
      <c r="H2" s="1090" t="s">
        <v>858</v>
      </c>
      <c r="I2" s="955" t="s">
        <v>859</v>
      </c>
    </row>
    <row r="3" customFormat="false" ht="17" hidden="false" customHeight="true" outlineLevel="0" collapsed="false">
      <c r="A3" s="956"/>
      <c r="B3" s="957" t="s">
        <v>2496</v>
      </c>
      <c r="C3" s="957"/>
      <c r="D3" s="1091"/>
      <c r="E3" s="1091"/>
      <c r="F3" s="1091"/>
      <c r="G3" s="1091"/>
      <c r="H3" s="1091"/>
      <c r="I3" s="958"/>
    </row>
    <row r="4" customFormat="false" ht="19.35" hidden="false" customHeight="true" outlineLevel="0" collapsed="false">
      <c r="A4" s="532" t="n">
        <v>1</v>
      </c>
      <c r="B4" s="959" t="s">
        <v>2497</v>
      </c>
      <c r="C4" s="960" t="s">
        <v>2498</v>
      </c>
      <c r="D4" s="1092" t="n">
        <v>159.01804257</v>
      </c>
      <c r="E4" s="1092" t="n">
        <v>154.2475012929</v>
      </c>
      <c r="F4" s="1092" t="n">
        <v>149.4769600158</v>
      </c>
      <c r="G4" s="1092" t="n">
        <v>144.7064187387</v>
      </c>
      <c r="H4" s="1092" t="n">
        <v>139.9358774616</v>
      </c>
      <c r="I4" s="962" t="n">
        <v>135.1653361845</v>
      </c>
    </row>
    <row r="5" customFormat="false" ht="19.25" hidden="false" customHeight="false" outlineLevel="0" collapsed="false">
      <c r="A5" s="532" t="n">
        <v>2</v>
      </c>
      <c r="B5" s="965" t="s">
        <v>2701</v>
      </c>
      <c r="C5" s="966" t="s">
        <v>2500</v>
      </c>
      <c r="D5" s="1092" t="n">
        <v>113.58447592</v>
      </c>
      <c r="E5" s="1092" t="n">
        <v>110.1769416424</v>
      </c>
      <c r="F5" s="1092" t="n">
        <v>106.7694073648</v>
      </c>
      <c r="G5" s="1092" t="n">
        <v>103.3618730872</v>
      </c>
      <c r="H5" s="1092" t="n">
        <v>99.9543388096</v>
      </c>
      <c r="I5" s="968" t="n">
        <v>96.546804532</v>
      </c>
    </row>
    <row r="6" customFormat="false" ht="19.25" hidden="false" customHeight="false" outlineLevel="0" collapsed="false">
      <c r="A6" s="532" t="n">
        <v>3</v>
      </c>
      <c r="B6" s="965" t="s">
        <v>1614</v>
      </c>
      <c r="C6" s="966" t="s">
        <v>2501</v>
      </c>
      <c r="D6" s="1092" t="n">
        <v>113.58447592</v>
      </c>
      <c r="E6" s="1092" t="n">
        <v>110.1769416424</v>
      </c>
      <c r="F6" s="1092" t="n">
        <v>106.7694073648</v>
      </c>
      <c r="G6" s="1092" t="n">
        <v>103.3618730872</v>
      </c>
      <c r="H6" s="1092" t="n">
        <v>99.9543388096</v>
      </c>
      <c r="I6" s="968" t="n">
        <v>96.546804532</v>
      </c>
    </row>
    <row r="7" customFormat="false" ht="19.25" hidden="false" customHeight="false" outlineLevel="0" collapsed="false">
      <c r="A7" s="532" t="n">
        <v>4</v>
      </c>
      <c r="B7" s="965" t="s">
        <v>1615</v>
      </c>
      <c r="C7" s="966" t="s">
        <v>2502</v>
      </c>
      <c r="D7" s="1092" t="n">
        <v>124.94293</v>
      </c>
      <c r="E7" s="1092" t="n">
        <v>121.1946421</v>
      </c>
      <c r="F7" s="1092" t="n">
        <v>117.4463542</v>
      </c>
      <c r="G7" s="1092" t="n">
        <v>113.6980663</v>
      </c>
      <c r="H7" s="1092" t="n">
        <v>109.9497784</v>
      </c>
      <c r="I7" s="968" t="n">
        <v>106.2014905</v>
      </c>
    </row>
    <row r="8" customFormat="false" ht="19.25" hidden="false" customHeight="false" outlineLevel="0" collapsed="false">
      <c r="A8" s="532" t="n">
        <v>5</v>
      </c>
      <c r="B8" s="965" t="s">
        <v>2503</v>
      </c>
      <c r="C8" s="966" t="s">
        <v>2504</v>
      </c>
      <c r="D8" s="1092" t="n">
        <v>149.45318286</v>
      </c>
      <c r="E8" s="1092" t="n">
        <v>144.9695873742</v>
      </c>
      <c r="F8" s="1092" t="n">
        <v>140.4859918884</v>
      </c>
      <c r="G8" s="1092" t="n">
        <v>136.0023964026</v>
      </c>
      <c r="H8" s="1092" t="n">
        <v>131.5188009168</v>
      </c>
      <c r="I8" s="968" t="n">
        <v>127.035205431</v>
      </c>
    </row>
    <row r="9" customFormat="false" ht="12.8" hidden="false" customHeight="false" outlineLevel="0" collapsed="false">
      <c r="A9" s="532" t="n">
        <v>6</v>
      </c>
      <c r="B9" s="965" t="s">
        <v>1618</v>
      </c>
      <c r="C9" s="966" t="s">
        <v>2505</v>
      </c>
      <c r="D9" s="1092" t="n">
        <v>58.90515278</v>
      </c>
      <c r="E9" s="1092" t="n">
        <v>57.1379981966</v>
      </c>
      <c r="F9" s="1092" t="n">
        <v>55.3708436132</v>
      </c>
      <c r="G9" s="1092" t="n">
        <v>53.6036890298</v>
      </c>
      <c r="H9" s="1092" t="n">
        <v>51.8365344464</v>
      </c>
      <c r="I9" s="968" t="n">
        <v>50.069379863</v>
      </c>
    </row>
    <row r="10" customFormat="false" ht="12.8" hidden="false" customHeight="false" outlineLevel="0" collapsed="false">
      <c r="A10" s="532" t="n">
        <v>7</v>
      </c>
      <c r="B10" s="965" t="s">
        <v>1619</v>
      </c>
      <c r="C10" s="966" t="s">
        <v>2505</v>
      </c>
      <c r="D10" s="1092" t="n">
        <v>61.84511237</v>
      </c>
      <c r="E10" s="1092" t="n">
        <v>59.9897589989</v>
      </c>
      <c r="F10" s="1092" t="n">
        <v>58.1344056278</v>
      </c>
      <c r="G10" s="1092" t="n">
        <v>56.2790522567</v>
      </c>
      <c r="H10" s="1092" t="n">
        <v>54.4236988856</v>
      </c>
      <c r="I10" s="968" t="n">
        <v>52.5683455145</v>
      </c>
    </row>
    <row r="11" customFormat="false" ht="19.25" hidden="false" customHeight="false" outlineLevel="0" collapsed="false">
      <c r="A11" s="532" t="n">
        <v>8</v>
      </c>
      <c r="B11" s="965" t="s">
        <v>2702</v>
      </c>
      <c r="C11" s="966" t="s">
        <v>2509</v>
      </c>
      <c r="D11" s="1092" t="n">
        <v>103.69054737</v>
      </c>
      <c r="E11" s="1092" t="n">
        <v>100.5798309489</v>
      </c>
      <c r="F11" s="1092" t="n">
        <v>97.4691145278</v>
      </c>
      <c r="G11" s="1092" t="n">
        <v>94.3583981067</v>
      </c>
      <c r="H11" s="1092" t="n">
        <v>91.2476816856</v>
      </c>
      <c r="I11" s="968" t="n">
        <v>88.1369652645</v>
      </c>
    </row>
    <row r="12" customFormat="false" ht="19.25" hidden="false" customHeight="false" outlineLevel="0" collapsed="false">
      <c r="A12" s="532" t="n">
        <v>9</v>
      </c>
      <c r="B12" s="965" t="s">
        <v>1656</v>
      </c>
      <c r="C12" s="966" t="s">
        <v>2509</v>
      </c>
      <c r="D12" s="1092" t="n">
        <v>103.69054737</v>
      </c>
      <c r="E12" s="1092" t="n">
        <v>100.5798309489</v>
      </c>
      <c r="F12" s="1092" t="n">
        <v>97.4691145278</v>
      </c>
      <c r="G12" s="1092" t="n">
        <v>94.3583981067</v>
      </c>
      <c r="H12" s="1092" t="n">
        <v>91.2476816856</v>
      </c>
      <c r="I12" s="968" t="n">
        <v>88.1369652645</v>
      </c>
    </row>
    <row r="13" customFormat="false" ht="19.25" hidden="false" customHeight="false" outlineLevel="0" collapsed="false">
      <c r="A13" s="532" t="n">
        <v>10</v>
      </c>
      <c r="B13" s="965" t="s">
        <v>1630</v>
      </c>
      <c r="C13" s="966" t="s">
        <v>2519</v>
      </c>
      <c r="D13" s="1092" t="n">
        <v>169.09562326</v>
      </c>
      <c r="E13" s="1092" t="n">
        <v>164.0227545622</v>
      </c>
      <c r="F13" s="1092" t="n">
        <v>158.9498858644</v>
      </c>
      <c r="G13" s="1092" t="n">
        <v>153.8770171666</v>
      </c>
      <c r="H13" s="1092" t="n">
        <v>148.8041484688</v>
      </c>
      <c r="I13" s="968" t="n">
        <v>143.731279771</v>
      </c>
    </row>
    <row r="14" customFormat="false" ht="12.8" hidden="false" customHeight="false" outlineLevel="0" collapsed="false">
      <c r="A14" s="532" t="n">
        <v>11</v>
      </c>
      <c r="B14" s="965" t="s">
        <v>2522</v>
      </c>
      <c r="C14" s="966" t="s">
        <v>2523</v>
      </c>
      <c r="D14" s="1092" t="n">
        <v>0.23459883</v>
      </c>
      <c r="E14" s="1092" t="n">
        <v>0.2275608651</v>
      </c>
      <c r="F14" s="1092" t="n">
        <v>0.2205229002</v>
      </c>
      <c r="G14" s="1092" t="n">
        <v>0.2134849353</v>
      </c>
      <c r="H14" s="1092" t="n">
        <v>0.2064469704</v>
      </c>
      <c r="I14" s="968" t="n">
        <v>0.1994090055</v>
      </c>
    </row>
    <row r="15" customFormat="false" ht="12.8" hidden="false" customHeight="false" outlineLevel="0" collapsed="false">
      <c r="A15" s="532" t="n">
        <v>12</v>
      </c>
      <c r="B15" s="965" t="s">
        <v>2524</v>
      </c>
      <c r="C15" s="966" t="s">
        <v>2525</v>
      </c>
      <c r="D15" s="1092" t="n">
        <v>1.31942775</v>
      </c>
      <c r="E15" s="1092" t="n">
        <v>1.2798449175</v>
      </c>
      <c r="F15" s="1092" t="n">
        <v>1.240262085</v>
      </c>
      <c r="G15" s="1092" t="n">
        <v>1.2006792525</v>
      </c>
      <c r="H15" s="1092" t="n">
        <v>1.16109642</v>
      </c>
      <c r="I15" s="968" t="n">
        <v>1.1215135875</v>
      </c>
    </row>
    <row r="16" customFormat="false" ht="12.8" hidden="false" customHeight="false" outlineLevel="0" collapsed="false">
      <c r="A16" s="532" t="n">
        <v>13</v>
      </c>
      <c r="B16" s="965" t="s">
        <v>680</v>
      </c>
      <c r="C16" s="966" t="s">
        <v>2526</v>
      </c>
      <c r="D16" s="1092" t="n">
        <v>0.73308</v>
      </c>
      <c r="E16" s="1092" t="n">
        <v>0.7110876</v>
      </c>
      <c r="F16" s="1092" t="n">
        <v>0.6890952</v>
      </c>
      <c r="G16" s="1092" t="n">
        <v>0.6671028</v>
      </c>
      <c r="H16" s="1092" t="n">
        <v>0.6451104</v>
      </c>
      <c r="I16" s="968" t="n">
        <v>0.623118</v>
      </c>
    </row>
    <row r="17" customFormat="false" ht="12.8" hidden="false" customHeight="false" outlineLevel="0" collapsed="false">
      <c r="A17" s="532" t="n">
        <v>14</v>
      </c>
      <c r="B17" s="965" t="s">
        <v>681</v>
      </c>
      <c r="C17" s="966" t="s">
        <v>2526</v>
      </c>
      <c r="D17" s="1092" t="n">
        <v>0.93839532</v>
      </c>
      <c r="E17" s="1092" t="n">
        <v>0.9102434604</v>
      </c>
      <c r="F17" s="1092" t="n">
        <v>0.8820916008</v>
      </c>
      <c r="G17" s="1092" t="n">
        <v>0.8539397412</v>
      </c>
      <c r="H17" s="1092" t="n">
        <v>0.8257878816</v>
      </c>
      <c r="I17" s="968" t="n">
        <v>0.797636022</v>
      </c>
    </row>
    <row r="18" customFormat="false" ht="12.8" hidden="false" customHeight="false" outlineLevel="0" collapsed="false">
      <c r="A18" s="532" t="n">
        <v>15</v>
      </c>
      <c r="B18" s="965" t="s">
        <v>1633</v>
      </c>
      <c r="C18" s="966" t="s">
        <v>2527</v>
      </c>
      <c r="D18" s="1092" t="n">
        <v>1.6065</v>
      </c>
      <c r="E18" s="1092" t="n">
        <v>1.558305</v>
      </c>
      <c r="F18" s="1092" t="n">
        <v>1.51011</v>
      </c>
      <c r="G18" s="1092" t="n">
        <v>1.461915</v>
      </c>
      <c r="H18" s="1092" t="n">
        <v>1.41372</v>
      </c>
      <c r="I18" s="968" t="n">
        <v>1.365525</v>
      </c>
    </row>
    <row r="19" customFormat="false" ht="12.8" hidden="false" customHeight="false" outlineLevel="0" collapsed="false">
      <c r="A19" s="532" t="n">
        <v>16</v>
      </c>
      <c r="B19" s="965" t="s">
        <v>1634</v>
      </c>
      <c r="C19" s="966" t="s">
        <v>2528</v>
      </c>
      <c r="D19" s="1092" t="n">
        <v>2.47503291</v>
      </c>
      <c r="E19" s="1092" t="n">
        <v>2.4007819227</v>
      </c>
      <c r="F19" s="1092" t="n">
        <v>2.3265309354</v>
      </c>
      <c r="G19" s="1092" t="n">
        <v>2.2522799481</v>
      </c>
      <c r="H19" s="1092" t="n">
        <v>2.1780289608</v>
      </c>
      <c r="I19" s="968" t="n">
        <v>2.1037779735</v>
      </c>
    </row>
    <row r="20" customFormat="false" ht="12.8" hidden="false" customHeight="false" outlineLevel="0" collapsed="false">
      <c r="A20" s="532" t="n">
        <v>17</v>
      </c>
      <c r="B20" s="965" t="s">
        <v>1635</v>
      </c>
      <c r="C20" s="966" t="s">
        <v>2529</v>
      </c>
      <c r="D20" s="1092" t="n">
        <v>3.07937658</v>
      </c>
      <c r="E20" s="1092" t="n">
        <v>2.9869952826</v>
      </c>
      <c r="F20" s="1092" t="n">
        <v>2.8946139852</v>
      </c>
      <c r="G20" s="1092" t="n">
        <v>2.8022326878</v>
      </c>
      <c r="H20" s="1092" t="n">
        <v>2.7098513904</v>
      </c>
      <c r="I20" s="968" t="n">
        <v>2.617470093</v>
      </c>
    </row>
    <row r="21" customFormat="false" ht="12.8" hidden="false" customHeight="false" outlineLevel="0" collapsed="false">
      <c r="A21" s="532" t="n">
        <v>18</v>
      </c>
      <c r="B21" s="965" t="s">
        <v>1636</v>
      </c>
      <c r="C21" s="966" t="s">
        <v>2530</v>
      </c>
      <c r="D21" s="1092" t="n">
        <v>3.13022158</v>
      </c>
      <c r="E21" s="1092" t="n">
        <v>3.0363149326</v>
      </c>
      <c r="F21" s="1092" t="n">
        <v>2.9424082852</v>
      </c>
      <c r="G21" s="1092" t="n">
        <v>2.8485016378</v>
      </c>
      <c r="H21" s="1092" t="n">
        <v>2.7545949904</v>
      </c>
      <c r="I21" s="968" t="n">
        <v>2.660688343</v>
      </c>
    </row>
    <row r="22" customFormat="false" ht="12.8" hidden="false" customHeight="false" outlineLevel="0" collapsed="false">
      <c r="A22" s="532" t="n">
        <v>19</v>
      </c>
      <c r="B22" s="965" t="s">
        <v>1637</v>
      </c>
      <c r="C22" s="966" t="s">
        <v>2531</v>
      </c>
      <c r="D22" s="1092" t="n">
        <v>1.89784047</v>
      </c>
      <c r="E22" s="1092" t="n">
        <v>1.8409052559</v>
      </c>
      <c r="F22" s="1092" t="n">
        <v>1.7839700418</v>
      </c>
      <c r="G22" s="1092" t="n">
        <v>1.7270348277</v>
      </c>
      <c r="H22" s="1092" t="n">
        <v>1.6700996136</v>
      </c>
      <c r="I22" s="968" t="n">
        <v>1.6131643995</v>
      </c>
    </row>
    <row r="23" customFormat="false" ht="12.8" hidden="false" customHeight="false" outlineLevel="0" collapsed="false">
      <c r="A23" s="532" t="n">
        <v>20</v>
      </c>
      <c r="B23" s="965" t="s">
        <v>1638</v>
      </c>
      <c r="C23" s="966" t="s">
        <v>2532</v>
      </c>
      <c r="D23" s="1092" t="n">
        <v>2.33958183</v>
      </c>
      <c r="E23" s="1092" t="n">
        <v>2.2693943751</v>
      </c>
      <c r="F23" s="1092" t="n">
        <v>2.1992069202</v>
      </c>
      <c r="G23" s="1092" t="n">
        <v>2.1290194653</v>
      </c>
      <c r="H23" s="1092" t="n">
        <v>2.0588320104</v>
      </c>
      <c r="I23" s="968" t="n">
        <v>1.9886445555</v>
      </c>
    </row>
    <row r="24" customFormat="false" ht="12.8" hidden="false" customHeight="false" outlineLevel="0" collapsed="false">
      <c r="A24" s="532" t="n">
        <v>21</v>
      </c>
      <c r="B24" s="965" t="s">
        <v>1639</v>
      </c>
      <c r="C24" s="966" t="s">
        <v>2533</v>
      </c>
      <c r="D24" s="1092" t="n">
        <v>2.38859641</v>
      </c>
      <c r="E24" s="1092" t="n">
        <v>2.3169385177</v>
      </c>
      <c r="F24" s="1092" t="n">
        <v>2.2452806254</v>
      </c>
      <c r="G24" s="1092" t="n">
        <v>2.1736227331</v>
      </c>
      <c r="H24" s="1092" t="n">
        <v>2.1019648408</v>
      </c>
      <c r="I24" s="968" t="n">
        <v>2.0303069485</v>
      </c>
    </row>
    <row r="25" customFormat="false" ht="12.8" hidden="false" customHeight="false" outlineLevel="0" collapsed="false">
      <c r="A25" s="532" t="n">
        <v>22</v>
      </c>
      <c r="B25" s="965" t="s">
        <v>1640</v>
      </c>
      <c r="C25" s="966" t="s">
        <v>2534</v>
      </c>
      <c r="D25" s="1092" t="n">
        <v>0.74721812</v>
      </c>
      <c r="E25" s="1092" t="n">
        <v>0.7248015764</v>
      </c>
      <c r="F25" s="1092" t="n">
        <v>0.7023850328</v>
      </c>
      <c r="G25" s="1092" t="n">
        <v>0.6799684892</v>
      </c>
      <c r="H25" s="1092" t="n">
        <v>0.6575519456</v>
      </c>
      <c r="I25" s="968" t="n">
        <v>0.635135402</v>
      </c>
    </row>
    <row r="26" customFormat="false" ht="12.8" hidden="false" customHeight="false" outlineLevel="0" collapsed="false">
      <c r="A26" s="532" t="n">
        <v>23</v>
      </c>
      <c r="B26" s="965" t="s">
        <v>1641</v>
      </c>
      <c r="C26" s="966" t="s">
        <v>2535</v>
      </c>
      <c r="D26" s="1092" t="n">
        <v>0.82501097</v>
      </c>
      <c r="E26" s="1092" t="n">
        <v>0.8002606409</v>
      </c>
      <c r="F26" s="1092" t="n">
        <v>0.7755103118</v>
      </c>
      <c r="G26" s="1092" t="n">
        <v>0.7507599827</v>
      </c>
      <c r="H26" s="1092" t="n">
        <v>0.7260096536</v>
      </c>
      <c r="I26" s="968" t="n">
        <v>0.7012593245</v>
      </c>
    </row>
    <row r="27" customFormat="false" ht="12.8" hidden="false" customHeight="false" outlineLevel="0" collapsed="false">
      <c r="A27" s="532" t="n">
        <v>24</v>
      </c>
      <c r="B27" s="965" t="s">
        <v>1642</v>
      </c>
      <c r="C27" s="966" t="s">
        <v>2536</v>
      </c>
      <c r="D27" s="1092" t="n">
        <v>0.86344979</v>
      </c>
      <c r="E27" s="1092" t="n">
        <v>0.8375462963</v>
      </c>
      <c r="F27" s="1092" t="n">
        <v>0.8116428026</v>
      </c>
      <c r="G27" s="1092" t="n">
        <v>0.7857393089</v>
      </c>
      <c r="H27" s="1092" t="n">
        <v>0.7598358152</v>
      </c>
      <c r="I27" s="968" t="n">
        <v>0.7339323215</v>
      </c>
    </row>
    <row r="28" customFormat="false" ht="12.8" hidden="false" customHeight="false" outlineLevel="0" collapsed="false">
      <c r="A28" s="532" t="n">
        <v>25</v>
      </c>
      <c r="B28" s="965" t="s">
        <v>1643</v>
      </c>
      <c r="C28" s="966" t="s">
        <v>2537</v>
      </c>
      <c r="D28" s="1092" t="n">
        <v>0.8633481</v>
      </c>
      <c r="E28" s="1092" t="n">
        <v>0.837447657</v>
      </c>
      <c r="F28" s="1092" t="n">
        <v>0.811547214</v>
      </c>
      <c r="G28" s="1092" t="n">
        <v>0.785646771</v>
      </c>
      <c r="H28" s="1092" t="n">
        <v>0.759746328</v>
      </c>
      <c r="I28" s="968" t="n">
        <v>0.733845885</v>
      </c>
    </row>
    <row r="29" customFormat="false" ht="12.8" hidden="false" customHeight="false" outlineLevel="0" collapsed="false">
      <c r="A29" s="532" t="n">
        <v>26</v>
      </c>
      <c r="B29" s="965" t="s">
        <v>1644</v>
      </c>
      <c r="C29" s="966" t="s">
        <v>2538</v>
      </c>
      <c r="D29" s="1092" t="n">
        <v>0.8633481</v>
      </c>
      <c r="E29" s="1092" t="n">
        <v>0.837447657</v>
      </c>
      <c r="F29" s="1092" t="n">
        <v>0.811547214</v>
      </c>
      <c r="G29" s="1092" t="n">
        <v>0.785646771</v>
      </c>
      <c r="H29" s="1092" t="n">
        <v>0.759746328</v>
      </c>
      <c r="I29" s="968" t="n">
        <v>0.733845885</v>
      </c>
    </row>
    <row r="30" customFormat="false" ht="12.8" hidden="false" customHeight="false" outlineLevel="0" collapsed="false">
      <c r="A30" s="532" t="n">
        <v>27</v>
      </c>
      <c r="B30" s="965" t="s">
        <v>1645</v>
      </c>
      <c r="C30" s="966" t="s">
        <v>2539</v>
      </c>
      <c r="D30" s="1092" t="n">
        <v>0.97124119</v>
      </c>
      <c r="E30" s="1092" t="n">
        <v>0.9421039543</v>
      </c>
      <c r="F30" s="1092" t="n">
        <v>0.9129667186</v>
      </c>
      <c r="G30" s="1092" t="n">
        <v>0.8838294829</v>
      </c>
      <c r="H30" s="1092" t="n">
        <v>0.8546922472</v>
      </c>
      <c r="I30" s="968" t="n">
        <v>0.8255550115</v>
      </c>
    </row>
    <row r="31" customFormat="false" ht="12.8" hidden="false" customHeight="false" outlineLevel="0" collapsed="false">
      <c r="A31" s="532" t="n">
        <v>28</v>
      </c>
      <c r="B31" s="965" t="s">
        <v>1646</v>
      </c>
      <c r="C31" s="966" t="s">
        <v>2540</v>
      </c>
      <c r="D31" s="1092" t="n">
        <v>0.97124119</v>
      </c>
      <c r="E31" s="1092" t="n">
        <v>0.9421039543</v>
      </c>
      <c r="F31" s="1092" t="n">
        <v>0.9129667186</v>
      </c>
      <c r="G31" s="1092" t="n">
        <v>0.8838294829</v>
      </c>
      <c r="H31" s="1092" t="n">
        <v>0.8546922472</v>
      </c>
      <c r="I31" s="968" t="n">
        <v>0.8255550115</v>
      </c>
    </row>
    <row r="32" customFormat="false" ht="12.8" hidden="false" customHeight="false" outlineLevel="0" collapsed="false">
      <c r="A32" s="532" t="n">
        <v>29</v>
      </c>
      <c r="B32" s="965" t="s">
        <v>1647</v>
      </c>
      <c r="C32" s="966" t="s">
        <v>2541</v>
      </c>
      <c r="D32" s="1092" t="n">
        <v>1.10974297</v>
      </c>
      <c r="E32" s="1092" t="n">
        <v>1.0764506809</v>
      </c>
      <c r="F32" s="1092" t="n">
        <v>1.0431583918</v>
      </c>
      <c r="G32" s="1092" t="n">
        <v>1.0098661027</v>
      </c>
      <c r="H32" s="1092" t="n">
        <v>0.9765738136</v>
      </c>
      <c r="I32" s="968" t="n">
        <v>0.9432815245</v>
      </c>
    </row>
    <row r="33" customFormat="false" ht="12.8" hidden="false" customHeight="false" outlineLevel="0" collapsed="false">
      <c r="A33" s="532" t="n">
        <v>30</v>
      </c>
      <c r="B33" s="965" t="s">
        <v>1648</v>
      </c>
      <c r="C33" s="966" t="s">
        <v>2542</v>
      </c>
      <c r="D33" s="1092" t="n">
        <v>1.18723075</v>
      </c>
      <c r="E33" s="1092" t="n">
        <v>1.1516138275</v>
      </c>
      <c r="F33" s="1092" t="n">
        <v>1.115996905</v>
      </c>
      <c r="G33" s="1092" t="n">
        <v>1.0803799825</v>
      </c>
      <c r="H33" s="1092" t="n">
        <v>1.04476306</v>
      </c>
      <c r="I33" s="968" t="n">
        <v>1.0091461375</v>
      </c>
    </row>
    <row r="34" customFormat="false" ht="12.8" hidden="false" customHeight="false" outlineLevel="0" collapsed="false">
      <c r="A34" s="532" t="n">
        <v>31</v>
      </c>
      <c r="B34" s="965" t="s">
        <v>1649</v>
      </c>
      <c r="C34" s="966" t="s">
        <v>2543</v>
      </c>
      <c r="D34" s="1092" t="n">
        <v>1.80377722</v>
      </c>
      <c r="E34" s="1092" t="n">
        <v>1.7496639034</v>
      </c>
      <c r="F34" s="1092" t="n">
        <v>1.6955505868</v>
      </c>
      <c r="G34" s="1092" t="n">
        <v>1.6414372702</v>
      </c>
      <c r="H34" s="1092" t="n">
        <v>1.5873239536</v>
      </c>
      <c r="I34" s="968" t="n">
        <v>1.533210637</v>
      </c>
    </row>
    <row r="35" customFormat="false" ht="12.8" hidden="false" customHeight="false" outlineLevel="0" collapsed="false">
      <c r="A35" s="532" t="n">
        <v>32</v>
      </c>
      <c r="B35" s="965" t="s">
        <v>1650</v>
      </c>
      <c r="C35" s="966" t="s">
        <v>2544</v>
      </c>
      <c r="D35" s="1092" t="n">
        <v>1.80377722</v>
      </c>
      <c r="E35" s="1092" t="n">
        <v>1.7496639034</v>
      </c>
      <c r="F35" s="1092" t="n">
        <v>1.6955505868</v>
      </c>
      <c r="G35" s="1092" t="n">
        <v>1.6414372702</v>
      </c>
      <c r="H35" s="1092" t="n">
        <v>1.5873239536</v>
      </c>
      <c r="I35" s="968" t="n">
        <v>1.533210637</v>
      </c>
    </row>
    <row r="36" customFormat="false" ht="12.8" hidden="false" customHeight="false" outlineLevel="0" collapsed="false">
      <c r="A36" s="532" t="n">
        <v>33</v>
      </c>
      <c r="B36" s="965" t="s">
        <v>1651</v>
      </c>
      <c r="C36" s="966" t="s">
        <v>2545</v>
      </c>
      <c r="D36" s="1092" t="n">
        <v>1.80377722</v>
      </c>
      <c r="E36" s="1092" t="n">
        <v>1.7496639034</v>
      </c>
      <c r="F36" s="1092" t="n">
        <v>1.6955505868</v>
      </c>
      <c r="G36" s="1092" t="n">
        <v>1.6414372702</v>
      </c>
      <c r="H36" s="1092" t="n">
        <v>1.5873239536</v>
      </c>
      <c r="I36" s="968" t="n">
        <v>1.533210637</v>
      </c>
    </row>
    <row r="37" customFormat="false" ht="12.8" hidden="false" customHeight="false" outlineLevel="0" collapsed="false">
      <c r="A37" s="532" t="n">
        <v>34</v>
      </c>
      <c r="B37" s="965" t="s">
        <v>1047</v>
      </c>
      <c r="C37" s="966" t="s">
        <v>2547</v>
      </c>
      <c r="D37" s="1092" t="n">
        <v>73.49532891</v>
      </c>
      <c r="E37" s="1092" t="n">
        <v>71.2904690427</v>
      </c>
      <c r="F37" s="1092" t="n">
        <v>69.0856091754</v>
      </c>
      <c r="G37" s="1092" t="n">
        <v>66.8807493081</v>
      </c>
      <c r="H37" s="1092" t="n">
        <v>64.6758894408</v>
      </c>
      <c r="I37" s="968" t="n">
        <v>62.4710295735</v>
      </c>
    </row>
    <row r="38" customFormat="false" ht="12.8" hidden="false" customHeight="false" outlineLevel="0" collapsed="false">
      <c r="A38" s="532" t="n">
        <v>35</v>
      </c>
      <c r="B38" s="965" t="s">
        <v>2549</v>
      </c>
      <c r="C38" s="966" t="s">
        <v>2548</v>
      </c>
      <c r="D38" s="1092" t="n">
        <v>1.8288</v>
      </c>
      <c r="E38" s="1092" t="n">
        <v>1.773936</v>
      </c>
      <c r="F38" s="1092" t="n">
        <v>1.719072</v>
      </c>
      <c r="G38" s="1092" t="n">
        <v>1.664208</v>
      </c>
      <c r="H38" s="1092" t="n">
        <v>1.609344</v>
      </c>
      <c r="I38" s="968" t="n">
        <v>1.55448</v>
      </c>
    </row>
    <row r="39" customFormat="false" ht="12.8" hidden="false" customHeight="false" outlineLevel="0" collapsed="false">
      <c r="A39" s="532" t="n">
        <v>36</v>
      </c>
      <c r="B39" s="965" t="s">
        <v>1654</v>
      </c>
      <c r="C39" s="966" t="s">
        <v>2550</v>
      </c>
      <c r="D39" s="1092" t="n">
        <v>3.6651</v>
      </c>
      <c r="E39" s="1092" t="n">
        <v>3.555147</v>
      </c>
      <c r="F39" s="1092" t="n">
        <v>3.445194</v>
      </c>
      <c r="G39" s="1092" t="n">
        <v>3.335241</v>
      </c>
      <c r="H39" s="1092" t="n">
        <v>3.225288</v>
      </c>
      <c r="I39" s="968" t="n">
        <v>3.115335</v>
      </c>
    </row>
    <row r="40" customFormat="false" ht="12.8" hidden="false" customHeight="false" outlineLevel="0" collapsed="false">
      <c r="A40" s="532" t="n">
        <v>37</v>
      </c>
      <c r="B40" s="965" t="s">
        <v>1136</v>
      </c>
      <c r="C40" s="966" t="s">
        <v>2551</v>
      </c>
      <c r="D40" s="1092" t="n">
        <v>4.9472</v>
      </c>
      <c r="E40" s="1092" t="n">
        <v>4.798784</v>
      </c>
      <c r="F40" s="1092" t="n">
        <v>4.650368</v>
      </c>
      <c r="G40" s="1092" t="n">
        <v>4.501952</v>
      </c>
      <c r="H40" s="1092" t="n">
        <v>4.353536</v>
      </c>
      <c r="I40" s="968" t="n">
        <v>4.20512</v>
      </c>
    </row>
    <row r="41" customFormat="false" ht="12.8" hidden="false" customHeight="false" outlineLevel="0" collapsed="false">
      <c r="A41" s="532" t="n">
        <v>38</v>
      </c>
      <c r="B41" s="969" t="s">
        <v>1655</v>
      </c>
      <c r="C41" s="970" t="s">
        <v>2552</v>
      </c>
      <c r="D41" s="1092" t="n">
        <v>13.3445</v>
      </c>
      <c r="E41" s="1092" t="n">
        <v>12.944165</v>
      </c>
      <c r="F41" s="1092" t="n">
        <v>12.54383</v>
      </c>
      <c r="G41" s="1092" t="n">
        <v>12.143495</v>
      </c>
      <c r="H41" s="1092" t="n">
        <v>11.74316</v>
      </c>
      <c r="I41" s="968" t="n">
        <v>11.342825</v>
      </c>
    </row>
    <row r="42" customFormat="false" ht="17" hidden="false" customHeight="true" outlineLevel="0" collapsed="false">
      <c r="A42" s="956"/>
      <c r="B42" s="971" t="s">
        <v>2553</v>
      </c>
      <c r="C42" s="971"/>
      <c r="D42" s="1091"/>
      <c r="E42" s="1091"/>
      <c r="F42" s="1091"/>
      <c r="G42" s="1091"/>
      <c r="H42" s="1091"/>
      <c r="I42" s="958"/>
    </row>
    <row r="43" customFormat="false" ht="12.8" hidden="false" customHeight="false" outlineLevel="0" collapsed="false">
      <c r="A43" s="532" t="n">
        <v>1</v>
      </c>
      <c r="B43" s="959" t="s">
        <v>1619</v>
      </c>
      <c r="C43" s="960" t="s">
        <v>2554</v>
      </c>
      <c r="D43" s="1092" t="n">
        <v>61.84511</v>
      </c>
      <c r="E43" s="1092" t="n">
        <v>59.9897567</v>
      </c>
      <c r="F43" s="1092" t="n">
        <v>58.1344034</v>
      </c>
      <c r="G43" s="1092" t="n">
        <v>56.2790501</v>
      </c>
      <c r="H43" s="1092" t="n">
        <v>54.4236968</v>
      </c>
      <c r="I43" s="968" t="n">
        <v>52.5683435</v>
      </c>
    </row>
    <row r="44" customFormat="false" ht="19.25" hidden="false" customHeight="false" outlineLevel="0" collapsed="false">
      <c r="A44" s="532" t="n">
        <v>2</v>
      </c>
      <c r="B44" s="965" t="s">
        <v>1656</v>
      </c>
      <c r="C44" s="966" t="s">
        <v>2555</v>
      </c>
      <c r="D44" s="1092" t="n">
        <v>103.69055</v>
      </c>
      <c r="E44" s="1092" t="n">
        <v>100.5798335</v>
      </c>
      <c r="F44" s="1092" t="n">
        <v>97.469117</v>
      </c>
      <c r="G44" s="1092" t="n">
        <v>94.3584005</v>
      </c>
      <c r="H44" s="1092" t="n">
        <v>91.247684</v>
      </c>
      <c r="I44" s="968" t="n">
        <v>88.1369675</v>
      </c>
    </row>
    <row r="45" customFormat="false" ht="12.8" hidden="false" customHeight="false" outlineLevel="0" collapsed="false">
      <c r="A45" s="532" t="n">
        <v>3</v>
      </c>
      <c r="B45" s="965" t="s">
        <v>680</v>
      </c>
      <c r="C45" s="966" t="s">
        <v>2558</v>
      </c>
      <c r="D45" s="1092" t="n">
        <v>0.73308321</v>
      </c>
      <c r="E45" s="1092" t="n">
        <v>0.7110907137</v>
      </c>
      <c r="F45" s="1092" t="n">
        <v>0.6890982174</v>
      </c>
      <c r="G45" s="1092" t="n">
        <v>0.6671057211</v>
      </c>
      <c r="H45" s="1092" t="n">
        <v>0.6451132248</v>
      </c>
      <c r="I45" s="968" t="n">
        <v>0.6231207285</v>
      </c>
    </row>
    <row r="46" customFormat="false" ht="12.8" hidden="false" customHeight="false" outlineLevel="0" collapsed="false">
      <c r="A46" s="532" t="n">
        <v>4</v>
      </c>
      <c r="B46" s="965" t="s">
        <v>681</v>
      </c>
      <c r="C46" s="966" t="s">
        <v>2558</v>
      </c>
      <c r="D46" s="1092" t="n">
        <v>0.9384</v>
      </c>
      <c r="E46" s="1092" t="n">
        <v>0.910248</v>
      </c>
      <c r="F46" s="1092" t="n">
        <v>0.882096</v>
      </c>
      <c r="G46" s="1092" t="n">
        <v>0.853944</v>
      </c>
      <c r="H46" s="1092" t="n">
        <v>0.825792</v>
      </c>
      <c r="I46" s="968" t="n">
        <v>0.79764</v>
      </c>
    </row>
    <row r="47" customFormat="false" ht="12.8" hidden="false" customHeight="false" outlineLevel="0" collapsed="false">
      <c r="A47" s="532" t="n">
        <v>5</v>
      </c>
      <c r="B47" s="965" t="s">
        <v>682</v>
      </c>
      <c r="C47" s="966"/>
      <c r="D47" s="1092" t="n">
        <v>2.58038375</v>
      </c>
      <c r="E47" s="1092" t="n">
        <v>2.5029722375</v>
      </c>
      <c r="F47" s="1092" t="n">
        <v>2.425560725</v>
      </c>
      <c r="G47" s="1092" t="n">
        <v>2.3481492125</v>
      </c>
      <c r="H47" s="1092" t="n">
        <v>2.2707377</v>
      </c>
      <c r="I47" s="968" t="n">
        <v>2.1933261875</v>
      </c>
    </row>
    <row r="48" customFormat="false" ht="12.8" hidden="false" customHeight="false" outlineLevel="0" collapsed="false">
      <c r="A48" s="532" t="n">
        <v>6</v>
      </c>
      <c r="B48" s="965" t="s">
        <v>683</v>
      </c>
      <c r="C48" s="966"/>
      <c r="D48" s="1092" t="n">
        <v>0.99696876</v>
      </c>
      <c r="E48" s="1092" t="n">
        <v>0.9670596972</v>
      </c>
      <c r="F48" s="1092" t="n">
        <v>0.9371506344</v>
      </c>
      <c r="G48" s="1092" t="n">
        <v>0.9072415716</v>
      </c>
      <c r="H48" s="1092" t="n">
        <v>0.8773325088</v>
      </c>
      <c r="I48" s="968" t="n">
        <v>0.847423446</v>
      </c>
    </row>
    <row r="49" customFormat="false" ht="12.8" hidden="false" customHeight="false" outlineLevel="0" collapsed="false">
      <c r="A49" s="532" t="n">
        <v>7</v>
      </c>
      <c r="B49" s="965" t="s">
        <v>685</v>
      </c>
      <c r="C49" s="966"/>
      <c r="D49" s="1092" t="n">
        <v>1.11411564</v>
      </c>
      <c r="E49" s="1092" t="n">
        <v>1.0806921708</v>
      </c>
      <c r="F49" s="1092" t="n">
        <v>1.0472687016</v>
      </c>
      <c r="G49" s="1092" t="n">
        <v>1.0138452324</v>
      </c>
      <c r="H49" s="1092" t="n">
        <v>0.9804217632</v>
      </c>
      <c r="I49" s="968" t="n">
        <v>0.946998294</v>
      </c>
    </row>
    <row r="50" customFormat="false" ht="12.8" hidden="false" customHeight="false" outlineLevel="0" collapsed="false">
      <c r="A50" s="532" t="n">
        <v>8</v>
      </c>
      <c r="B50" s="965" t="s">
        <v>686</v>
      </c>
      <c r="C50" s="966"/>
      <c r="D50" s="1092" t="n">
        <v>1.34881616</v>
      </c>
      <c r="E50" s="1092" t="n">
        <v>1.3083516752</v>
      </c>
      <c r="F50" s="1092" t="n">
        <v>1.2678871904</v>
      </c>
      <c r="G50" s="1092" t="n">
        <v>1.2274227056</v>
      </c>
      <c r="H50" s="1092" t="n">
        <v>1.1869582208</v>
      </c>
      <c r="I50" s="968" t="n">
        <v>1.146493736</v>
      </c>
    </row>
    <row r="51" customFormat="false" ht="12.8" hidden="false" customHeight="false" outlineLevel="0" collapsed="false">
      <c r="A51" s="532" t="n">
        <v>9</v>
      </c>
      <c r="B51" s="972" t="s">
        <v>687</v>
      </c>
      <c r="C51" s="973"/>
      <c r="D51" s="1092" t="n">
        <v>4.36667029</v>
      </c>
      <c r="E51" s="1092" t="n">
        <v>4.2356701813</v>
      </c>
      <c r="F51" s="1092" t="n">
        <v>4.1046700726</v>
      </c>
      <c r="G51" s="1092" t="n">
        <v>3.9736699639</v>
      </c>
      <c r="H51" s="1092" t="n">
        <v>3.8426698552</v>
      </c>
      <c r="I51" s="968" t="n">
        <v>3.7116697465</v>
      </c>
    </row>
    <row r="52" customFormat="false" ht="17" hidden="false" customHeight="true" outlineLevel="0" collapsed="false">
      <c r="A52" s="956"/>
      <c r="B52" s="971" t="s">
        <v>2559</v>
      </c>
      <c r="C52" s="971"/>
      <c r="D52" s="1093"/>
      <c r="E52" s="1093"/>
      <c r="F52" s="1093"/>
      <c r="G52" s="1093"/>
      <c r="H52" s="1093"/>
      <c r="I52" s="974"/>
    </row>
    <row r="53" customFormat="false" ht="12.8" hidden="false" customHeight="false" outlineLevel="0" collapsed="false">
      <c r="A53" s="532" t="n">
        <v>1</v>
      </c>
      <c r="B53" s="975" t="s">
        <v>1659</v>
      </c>
      <c r="C53" s="960" t="s">
        <v>2560</v>
      </c>
      <c r="D53" s="1092" t="n">
        <v>66.5171109526</v>
      </c>
      <c r="E53" s="1092" t="n">
        <v>64.521597624022</v>
      </c>
      <c r="F53" s="1092" t="n">
        <v>62.526084295444</v>
      </c>
      <c r="G53" s="1092" t="n">
        <v>60.530570966866</v>
      </c>
      <c r="H53" s="1092" t="n">
        <v>58.535057638288</v>
      </c>
      <c r="I53" s="968" t="n">
        <v>56.53954430971</v>
      </c>
    </row>
    <row r="54" customFormat="false" ht="19.25" hidden="false" customHeight="false" outlineLevel="0" collapsed="false">
      <c r="A54" s="532" t="n">
        <v>2</v>
      </c>
      <c r="B54" s="976" t="s">
        <v>2561</v>
      </c>
      <c r="C54" s="966" t="s">
        <v>2562</v>
      </c>
      <c r="D54" s="1092" t="n">
        <v>104.91601356</v>
      </c>
      <c r="E54" s="1092" t="n">
        <v>101.7685331532</v>
      </c>
      <c r="F54" s="1092" t="n">
        <v>98.6210527464</v>
      </c>
      <c r="G54" s="1092" t="n">
        <v>95.4735723396</v>
      </c>
      <c r="H54" s="1092" t="n">
        <v>92.3260919328</v>
      </c>
      <c r="I54" s="968" t="n">
        <v>89.178611526</v>
      </c>
    </row>
    <row r="55" customFormat="false" ht="19.25" hidden="false" customHeight="false" outlineLevel="0" collapsed="false">
      <c r="A55" s="532" t="n">
        <v>3</v>
      </c>
      <c r="B55" s="976" t="s">
        <v>1661</v>
      </c>
      <c r="C55" s="966" t="s">
        <v>2563</v>
      </c>
      <c r="D55" s="1092" t="n">
        <v>115.40761</v>
      </c>
      <c r="E55" s="1092" t="n">
        <v>111.9453817</v>
      </c>
      <c r="F55" s="1092" t="n">
        <v>108.4831534</v>
      </c>
      <c r="G55" s="1092" t="n">
        <v>105.0209251</v>
      </c>
      <c r="H55" s="1092" t="n">
        <v>101.5586968</v>
      </c>
      <c r="I55" s="968" t="n">
        <v>98.0964685</v>
      </c>
    </row>
    <row r="56" customFormat="false" ht="12.8" hidden="false" customHeight="false" outlineLevel="0" collapsed="false">
      <c r="A56" s="532" t="n">
        <v>4</v>
      </c>
      <c r="B56" s="976" t="s">
        <v>1662</v>
      </c>
      <c r="C56" s="966"/>
      <c r="D56" s="1092" t="n">
        <v>16.71315826</v>
      </c>
      <c r="E56" s="1092" t="n">
        <v>16.2117635122</v>
      </c>
      <c r="F56" s="1092" t="n">
        <v>15.7103687644</v>
      </c>
      <c r="G56" s="1092" t="n">
        <v>15.2089740166</v>
      </c>
      <c r="H56" s="1092" t="n">
        <v>14.7075792688</v>
      </c>
      <c r="I56" s="968" t="n">
        <v>14.206184521</v>
      </c>
    </row>
    <row r="57" customFormat="false" ht="12.8" hidden="false" customHeight="false" outlineLevel="0" collapsed="false">
      <c r="A57" s="532" t="n">
        <v>5</v>
      </c>
      <c r="B57" s="976" t="s">
        <v>1663</v>
      </c>
      <c r="C57" s="966"/>
      <c r="D57" s="1092" t="n">
        <v>0.29317227</v>
      </c>
      <c r="E57" s="1092" t="n">
        <v>0.2843771019</v>
      </c>
      <c r="F57" s="1092" t="n">
        <v>0.2755819338</v>
      </c>
      <c r="G57" s="1092" t="n">
        <v>0.2667867657</v>
      </c>
      <c r="H57" s="1092" t="n">
        <v>0.2579915976</v>
      </c>
      <c r="I57" s="968" t="n">
        <v>0.2491964295</v>
      </c>
    </row>
    <row r="58" customFormat="false" ht="12.8" hidden="false" customHeight="false" outlineLevel="0" collapsed="false">
      <c r="A58" s="532" t="n">
        <v>6</v>
      </c>
      <c r="B58" s="976" t="s">
        <v>1664</v>
      </c>
      <c r="C58" s="966"/>
      <c r="D58" s="1092" t="n">
        <v>0.70573</v>
      </c>
      <c r="E58" s="1092" t="n">
        <v>0.6845581</v>
      </c>
      <c r="F58" s="1092" t="n">
        <v>0.6633862</v>
      </c>
      <c r="G58" s="1092" t="n">
        <v>0.6422143</v>
      </c>
      <c r="H58" s="1092" t="n">
        <v>0.6210424</v>
      </c>
      <c r="I58" s="968" t="n">
        <v>0.5998705</v>
      </c>
    </row>
    <row r="59" customFormat="false" ht="12.8" hidden="false" customHeight="false" outlineLevel="0" collapsed="false">
      <c r="A59" s="532" t="n">
        <v>7</v>
      </c>
      <c r="B59" s="977" t="s">
        <v>1665</v>
      </c>
      <c r="C59" s="970"/>
      <c r="D59" s="1092" t="n">
        <v>5.57108665</v>
      </c>
      <c r="E59" s="1092" t="n">
        <v>5.4039540505</v>
      </c>
      <c r="F59" s="1092" t="n">
        <v>5.236821451</v>
      </c>
      <c r="G59" s="1092" t="n">
        <v>5.0696888515</v>
      </c>
      <c r="H59" s="1092" t="n">
        <v>4.902556252</v>
      </c>
      <c r="I59" s="968" t="n">
        <v>4.7354236525</v>
      </c>
    </row>
    <row r="60" customFormat="false" ht="17" hidden="false" customHeight="true" outlineLevel="0" collapsed="false">
      <c r="A60" s="978"/>
      <c r="B60" s="979" t="s">
        <v>2564</v>
      </c>
      <c r="C60" s="979"/>
      <c r="D60" s="1093"/>
      <c r="E60" s="1093"/>
      <c r="F60" s="1093"/>
      <c r="G60" s="1093"/>
      <c r="H60" s="1093"/>
      <c r="I60" s="974"/>
    </row>
    <row r="61" customFormat="false" ht="19.25" hidden="false" customHeight="false" outlineLevel="0" collapsed="false">
      <c r="A61" s="981" t="n">
        <v>1</v>
      </c>
      <c r="B61" s="982" t="s">
        <v>2561</v>
      </c>
      <c r="C61" s="983" t="s">
        <v>2562</v>
      </c>
      <c r="D61" s="1094" t="n">
        <v>104.91601356</v>
      </c>
      <c r="E61" s="1094" t="n">
        <v>101.7685331532</v>
      </c>
      <c r="F61" s="1094" t="n">
        <v>98.6210527464</v>
      </c>
      <c r="G61" s="1094" t="n">
        <v>95.4735723396</v>
      </c>
      <c r="H61" s="1094" t="n">
        <v>92.3260919328</v>
      </c>
      <c r="I61" s="986" t="n">
        <v>89.178611526</v>
      </c>
    </row>
    <row r="62" customFormat="false" ht="19.25" hidden="false" customHeight="false" outlineLevel="0" collapsed="false">
      <c r="A62" s="537" t="n">
        <v>2</v>
      </c>
      <c r="B62" s="987" t="s">
        <v>1661</v>
      </c>
      <c r="C62" s="988" t="s">
        <v>2563</v>
      </c>
      <c r="D62" s="1094" t="n">
        <v>115.40761</v>
      </c>
      <c r="E62" s="1094" t="n">
        <v>111.9453817</v>
      </c>
      <c r="F62" s="1094" t="n">
        <v>108.4831534</v>
      </c>
      <c r="G62" s="1094" t="n">
        <v>105.0209251</v>
      </c>
      <c r="H62" s="1094" t="n">
        <v>101.5586968</v>
      </c>
      <c r="I62" s="986" t="n">
        <v>98.0964685</v>
      </c>
    </row>
    <row r="63" customFormat="false" ht="12.8" hidden="false" customHeight="false" outlineLevel="0" collapsed="false">
      <c r="A63" s="520" t="n">
        <v>3</v>
      </c>
      <c r="B63" s="987" t="s">
        <v>1666</v>
      </c>
      <c r="C63" s="988"/>
      <c r="D63" s="1094" t="n">
        <v>0.4051</v>
      </c>
      <c r="E63" s="1094" t="n">
        <v>0.392947</v>
      </c>
      <c r="F63" s="1094" t="n">
        <v>0.380794</v>
      </c>
      <c r="G63" s="1094" t="n">
        <v>0.368641</v>
      </c>
      <c r="H63" s="1094" t="n">
        <v>0.356488</v>
      </c>
      <c r="I63" s="991" t="n">
        <v>0.344335</v>
      </c>
    </row>
    <row r="64" customFormat="false" ht="12.8" hidden="false" customHeight="false" outlineLevel="0" collapsed="false">
      <c r="A64" s="522" t="n">
        <v>4</v>
      </c>
      <c r="B64" s="992" t="s">
        <v>1664</v>
      </c>
      <c r="C64" s="993"/>
      <c r="D64" s="1094" t="n">
        <v>0.70573</v>
      </c>
      <c r="E64" s="1094" t="n">
        <v>0.6845581</v>
      </c>
      <c r="F64" s="1094" t="n">
        <v>0.6633862</v>
      </c>
      <c r="G64" s="1094" t="n">
        <v>0.6422143</v>
      </c>
      <c r="H64" s="1094" t="n">
        <v>0.6210424</v>
      </c>
      <c r="I64" s="991" t="n">
        <v>0.5998705</v>
      </c>
    </row>
    <row r="65" customFormat="false" ht="17" hidden="false" customHeight="true" outlineLevel="0" collapsed="false">
      <c r="A65" s="956"/>
      <c r="B65" s="995" t="s">
        <v>2565</v>
      </c>
      <c r="C65" s="995"/>
      <c r="D65" s="1093"/>
      <c r="E65" s="1093"/>
      <c r="F65" s="1093"/>
      <c r="G65" s="1093"/>
      <c r="H65" s="1093"/>
      <c r="I65" s="974"/>
    </row>
    <row r="66" customFormat="false" ht="12.8" hidden="false" customHeight="false" outlineLevel="0" collapsed="false">
      <c r="A66" s="532" t="n">
        <v>1</v>
      </c>
      <c r="B66" s="997" t="s">
        <v>1667</v>
      </c>
      <c r="C66" s="983" t="s">
        <v>2566</v>
      </c>
      <c r="D66" s="1092" t="n">
        <v>294.270522</v>
      </c>
      <c r="E66" s="1092" t="n">
        <v>285.44240634</v>
      </c>
      <c r="F66" s="1092" t="n">
        <v>276.61429068</v>
      </c>
      <c r="G66" s="1092" t="n">
        <v>267.78617502</v>
      </c>
      <c r="H66" s="1092" t="n">
        <v>258.95805936</v>
      </c>
      <c r="I66" s="968" t="n">
        <v>250.1299437</v>
      </c>
    </row>
    <row r="67" customFormat="false" ht="12.8" hidden="false" customHeight="false" outlineLevel="0" collapsed="false">
      <c r="A67" s="521" t="n">
        <v>2</v>
      </c>
      <c r="B67" s="998" t="s">
        <v>1668</v>
      </c>
      <c r="C67" s="988"/>
      <c r="D67" s="1092" t="n">
        <v>2.776137</v>
      </c>
      <c r="E67" s="1092" t="n">
        <v>2.69285289</v>
      </c>
      <c r="F67" s="1092" t="n">
        <v>2.60956878</v>
      </c>
      <c r="G67" s="1092" t="n">
        <v>2.52628467</v>
      </c>
      <c r="H67" s="1092" t="n">
        <v>2.44300056</v>
      </c>
      <c r="I67" s="968" t="n">
        <v>2.35971645</v>
      </c>
    </row>
    <row r="68" customFormat="false" ht="12.8" hidden="false" customHeight="false" outlineLevel="0" collapsed="false">
      <c r="A68" s="521" t="n">
        <v>3</v>
      </c>
      <c r="B68" s="999" t="s">
        <v>1669</v>
      </c>
      <c r="C68" s="993"/>
      <c r="D68" s="1092" t="n">
        <v>1.057576</v>
      </c>
      <c r="E68" s="1092" t="n">
        <v>1.02584872</v>
      </c>
      <c r="F68" s="1092" t="n">
        <v>0.99412144</v>
      </c>
      <c r="G68" s="1092" t="n">
        <v>0.96239416</v>
      </c>
      <c r="H68" s="1092" t="n">
        <v>0.93066688</v>
      </c>
      <c r="I68" s="968" t="n">
        <v>0.8989396</v>
      </c>
    </row>
    <row r="69" customFormat="false" ht="17" hidden="false" customHeight="true" outlineLevel="0" collapsed="false">
      <c r="A69" s="978"/>
      <c r="B69" s="1000" t="s">
        <v>2567</v>
      </c>
      <c r="C69" s="1000"/>
      <c r="D69" s="1093"/>
      <c r="E69" s="1093"/>
      <c r="F69" s="1093"/>
      <c r="G69" s="1093"/>
      <c r="H69" s="1093"/>
      <c r="I69" s="980"/>
    </row>
    <row r="70" customFormat="false" ht="12.8" hidden="false" customHeight="false" outlineLevel="0" collapsed="false">
      <c r="A70" s="1001" t="n">
        <v>1</v>
      </c>
      <c r="B70" s="1002" t="s">
        <v>1659</v>
      </c>
      <c r="C70" s="1003" t="s">
        <v>2568</v>
      </c>
      <c r="D70" s="1095" t="n">
        <v>66.5171109526</v>
      </c>
      <c r="E70" s="1095" t="n">
        <v>64.521597624022</v>
      </c>
      <c r="F70" s="1095" t="n">
        <v>62.526084295444</v>
      </c>
      <c r="G70" s="1095" t="n">
        <v>60.530570966866</v>
      </c>
      <c r="H70" s="1095" t="n">
        <v>58.535057638288</v>
      </c>
      <c r="I70" s="1004" t="n">
        <v>56.53954430971</v>
      </c>
    </row>
    <row r="71" customFormat="false" ht="19.25" hidden="false" customHeight="false" outlineLevel="0" collapsed="false">
      <c r="A71" s="1006" t="n">
        <v>2</v>
      </c>
      <c r="B71" s="1002" t="s">
        <v>2561</v>
      </c>
      <c r="C71" s="1003" t="s">
        <v>2569</v>
      </c>
      <c r="D71" s="1095" t="n">
        <v>104.91601356</v>
      </c>
      <c r="E71" s="1095" t="n">
        <v>101.7685331532</v>
      </c>
      <c r="F71" s="1095" t="n">
        <v>98.6210527464</v>
      </c>
      <c r="G71" s="1095" t="n">
        <v>95.4735723396</v>
      </c>
      <c r="H71" s="1095" t="n">
        <v>92.3260919328</v>
      </c>
      <c r="I71" s="1007" t="n">
        <v>89.178611526</v>
      </c>
    </row>
    <row r="72" customFormat="false" ht="19.25" hidden="false" customHeight="false" outlineLevel="0" collapsed="false">
      <c r="A72" s="1009" t="n">
        <v>3</v>
      </c>
      <c r="B72" s="1010" t="s">
        <v>1661</v>
      </c>
      <c r="C72" s="988" t="s">
        <v>2563</v>
      </c>
      <c r="D72" s="1095" t="n">
        <v>115.40761</v>
      </c>
      <c r="E72" s="1095" t="n">
        <v>111.9453817</v>
      </c>
      <c r="F72" s="1095" t="n">
        <v>108.4831534</v>
      </c>
      <c r="G72" s="1095" t="n">
        <v>105.0209251</v>
      </c>
      <c r="H72" s="1095" t="n">
        <v>101.5586968</v>
      </c>
      <c r="I72" s="1096" t="n">
        <v>98.0964685</v>
      </c>
    </row>
    <row r="73" customFormat="false" ht="12.8" hidden="false" customHeight="false" outlineLevel="0" collapsed="false">
      <c r="A73" s="1013" t="n">
        <v>4</v>
      </c>
      <c r="B73" s="1014" t="s">
        <v>1662</v>
      </c>
      <c r="C73" s="1015"/>
      <c r="D73" s="1095" t="n">
        <v>16.71315826</v>
      </c>
      <c r="E73" s="1095" t="n">
        <v>16.2117635122</v>
      </c>
      <c r="F73" s="1095" t="n">
        <v>15.7103687644</v>
      </c>
      <c r="G73" s="1095" t="n">
        <v>15.2089740166</v>
      </c>
      <c r="H73" s="1095" t="n">
        <v>14.7075792688</v>
      </c>
      <c r="I73" s="1016" t="n">
        <v>14.206184521</v>
      </c>
    </row>
    <row r="74" customFormat="false" ht="17" hidden="false" customHeight="true" outlineLevel="0" collapsed="false">
      <c r="A74" s="956"/>
      <c r="B74" s="971" t="s">
        <v>2574</v>
      </c>
      <c r="C74" s="971"/>
      <c r="D74" s="1093"/>
      <c r="E74" s="1093"/>
      <c r="F74" s="1093"/>
      <c r="G74" s="1093"/>
      <c r="H74" s="1093"/>
      <c r="I74" s="974"/>
    </row>
    <row r="75" customFormat="false" ht="12.8" hidden="false" customHeight="false" outlineLevel="0" collapsed="false">
      <c r="A75" s="532" t="n">
        <v>1</v>
      </c>
      <c r="B75" s="975" t="s">
        <v>1673</v>
      </c>
      <c r="C75" s="960"/>
      <c r="D75" s="1092" t="n">
        <v>0.10036803</v>
      </c>
      <c r="E75" s="1092" t="n">
        <v>0.0973569891</v>
      </c>
      <c r="F75" s="1092" t="n">
        <v>0.0943459482</v>
      </c>
      <c r="G75" s="1092" t="n">
        <v>0.0913349073</v>
      </c>
      <c r="H75" s="1092" t="n">
        <v>0.0883238664</v>
      </c>
      <c r="I75" s="964" t="n">
        <v>0.0853128255</v>
      </c>
    </row>
    <row r="76" customFormat="false" ht="19.25" hidden="false" customHeight="false" outlineLevel="0" collapsed="false">
      <c r="A76" s="532" t="n">
        <v>2</v>
      </c>
      <c r="B76" s="976" t="s">
        <v>2561</v>
      </c>
      <c r="C76" s="966" t="s">
        <v>2575</v>
      </c>
      <c r="D76" s="1092" t="n">
        <v>104.91601356</v>
      </c>
      <c r="E76" s="1092" t="n">
        <v>101.7685331532</v>
      </c>
      <c r="F76" s="1092" t="n">
        <v>98.6210527464</v>
      </c>
      <c r="G76" s="1092" t="n">
        <v>95.4735723396</v>
      </c>
      <c r="H76" s="1092" t="n">
        <v>92.3260919328</v>
      </c>
      <c r="I76" s="968" t="n">
        <v>89.178611526</v>
      </c>
    </row>
    <row r="77" customFormat="false" ht="19.25" hidden="false" customHeight="false" outlineLevel="0" collapsed="false">
      <c r="A77" s="532" t="n">
        <v>3</v>
      </c>
      <c r="B77" s="976" t="s">
        <v>1661</v>
      </c>
      <c r="C77" s="966" t="s">
        <v>2563</v>
      </c>
      <c r="D77" s="1092" t="n">
        <v>115.40761</v>
      </c>
      <c r="E77" s="1092" t="n">
        <v>111.9453817</v>
      </c>
      <c r="F77" s="1092" t="n">
        <v>108.4831534</v>
      </c>
      <c r="G77" s="1092" t="n">
        <v>105.0209251</v>
      </c>
      <c r="H77" s="1092" t="n">
        <v>101.5586968</v>
      </c>
      <c r="I77" s="968" t="n">
        <v>98.0964685</v>
      </c>
    </row>
    <row r="78" customFormat="false" ht="12.8" hidden="false" customHeight="false" outlineLevel="0" collapsed="false">
      <c r="A78" s="532" t="n">
        <v>4</v>
      </c>
      <c r="B78" s="976" t="s">
        <v>1674</v>
      </c>
      <c r="C78" s="966"/>
      <c r="D78" s="1092" t="n">
        <v>0.86385655</v>
      </c>
      <c r="E78" s="1092" t="n">
        <v>0.8379408535</v>
      </c>
      <c r="F78" s="1092" t="n">
        <v>0.812025157</v>
      </c>
      <c r="G78" s="1092" t="n">
        <v>0.7861094605</v>
      </c>
      <c r="H78" s="1092" t="n">
        <v>0.760193764</v>
      </c>
      <c r="I78" s="968" t="n">
        <v>0.7342780675</v>
      </c>
    </row>
    <row r="79" customFormat="false" ht="12.8" hidden="false" customHeight="false" outlineLevel="0" collapsed="false">
      <c r="A79" s="1027" t="n">
        <v>5</v>
      </c>
      <c r="B79" s="977" t="s">
        <v>1675</v>
      </c>
      <c r="C79" s="970"/>
      <c r="D79" s="1092" t="n">
        <v>0.69098355</v>
      </c>
      <c r="E79" s="1092" t="n">
        <v>0.6702540435</v>
      </c>
      <c r="F79" s="1092" t="n">
        <v>0.649524537</v>
      </c>
      <c r="G79" s="1092" t="n">
        <v>0.6287950305</v>
      </c>
      <c r="H79" s="1092" t="n">
        <v>0.608065524</v>
      </c>
      <c r="I79" s="1029" t="n">
        <v>0.5873360175</v>
      </c>
    </row>
    <row r="80" customFormat="false" ht="17" hidden="false" customHeight="true" outlineLevel="0" collapsed="false">
      <c r="A80" s="956"/>
      <c r="B80" s="971" t="s">
        <v>2576</v>
      </c>
      <c r="C80" s="971"/>
      <c r="D80" s="1093"/>
      <c r="E80" s="1093"/>
      <c r="F80" s="1093"/>
      <c r="G80" s="1093"/>
      <c r="H80" s="1093"/>
      <c r="I80" s="974"/>
    </row>
    <row r="81" customFormat="false" ht="12.8" hidden="false" customHeight="false" outlineLevel="0" collapsed="false">
      <c r="A81" s="532" t="n">
        <v>1</v>
      </c>
      <c r="B81" s="975" t="s">
        <v>1676</v>
      </c>
      <c r="C81" s="960"/>
      <c r="D81" s="1092" t="n">
        <v>18.78834609</v>
      </c>
      <c r="E81" s="1092" t="n">
        <v>18.2246957073</v>
      </c>
      <c r="F81" s="1092" t="n">
        <v>17.6610453246</v>
      </c>
      <c r="G81" s="1092" t="n">
        <v>17.0973949419</v>
      </c>
      <c r="H81" s="1092" t="n">
        <v>16.5337445592</v>
      </c>
      <c r="I81" s="968" t="n">
        <v>15.9700941765</v>
      </c>
    </row>
    <row r="82" customFormat="false" ht="12.8" hidden="false" customHeight="false" outlineLevel="0" collapsed="false">
      <c r="A82" s="532" t="n">
        <v>2</v>
      </c>
      <c r="B82" s="976" t="s">
        <v>1677</v>
      </c>
      <c r="C82" s="966"/>
      <c r="D82" s="1092" t="n">
        <v>25.05122981</v>
      </c>
      <c r="E82" s="1092" t="n">
        <v>24.2996929157</v>
      </c>
      <c r="F82" s="1092" t="n">
        <v>23.5481560214</v>
      </c>
      <c r="G82" s="1092" t="n">
        <v>22.7966191271</v>
      </c>
      <c r="H82" s="1092" t="n">
        <v>22.0450822328</v>
      </c>
      <c r="I82" s="968" t="n">
        <v>21.2935453385</v>
      </c>
    </row>
    <row r="83" customFormat="false" ht="12.8" hidden="false" customHeight="false" outlineLevel="0" collapsed="false">
      <c r="A83" s="532" t="n">
        <v>3</v>
      </c>
      <c r="B83" s="976" t="s">
        <v>1678</v>
      </c>
      <c r="C83" s="966"/>
      <c r="D83" s="1092" t="n">
        <v>26.61695074</v>
      </c>
      <c r="E83" s="1092" t="n">
        <v>25.8184422178</v>
      </c>
      <c r="F83" s="1092" t="n">
        <v>25.0199336956</v>
      </c>
      <c r="G83" s="1092" t="n">
        <v>24.2214251734</v>
      </c>
      <c r="H83" s="1092" t="n">
        <v>23.4229166512</v>
      </c>
      <c r="I83" s="968" t="n">
        <v>22.624408129</v>
      </c>
    </row>
    <row r="84" customFormat="false" ht="12.8" hidden="false" customHeight="false" outlineLevel="0" collapsed="false">
      <c r="A84" s="532" t="n">
        <v>4</v>
      </c>
      <c r="B84" s="976" t="s">
        <v>1679</v>
      </c>
      <c r="C84" s="966"/>
      <c r="D84" s="1092" t="n">
        <v>31.94011717</v>
      </c>
      <c r="E84" s="1092" t="n">
        <v>30.9819136549</v>
      </c>
      <c r="F84" s="1092" t="n">
        <v>30.0237101398</v>
      </c>
      <c r="G84" s="1092" t="n">
        <v>29.0655066247</v>
      </c>
      <c r="H84" s="1092" t="n">
        <v>28.1073031096</v>
      </c>
      <c r="I84" s="968" t="n">
        <v>27.1490995945</v>
      </c>
    </row>
    <row r="85" customFormat="false" ht="12.8" hidden="false" customHeight="false" outlineLevel="0" collapsed="false">
      <c r="A85" s="532" t="n">
        <v>5</v>
      </c>
      <c r="B85" s="976" t="s">
        <v>1680</v>
      </c>
      <c r="C85" s="966"/>
      <c r="D85" s="1092" t="n">
        <v>20.02672691</v>
      </c>
      <c r="E85" s="1092" t="n">
        <v>19.4259251027</v>
      </c>
      <c r="F85" s="1092" t="n">
        <v>18.8251232954</v>
      </c>
      <c r="G85" s="1092" t="n">
        <v>18.2243214881</v>
      </c>
      <c r="H85" s="1092" t="n">
        <v>17.6235196808</v>
      </c>
      <c r="I85" s="968" t="n">
        <v>17.0227178735</v>
      </c>
    </row>
    <row r="86" customFormat="false" ht="12.8" hidden="false" customHeight="false" outlineLevel="0" collapsed="false">
      <c r="A86" s="532" t="n">
        <v>6</v>
      </c>
      <c r="B86" s="976" t="s">
        <v>1681</v>
      </c>
      <c r="C86" s="966"/>
      <c r="D86" s="1092" t="n">
        <v>27.82675667</v>
      </c>
      <c r="E86" s="1092" t="n">
        <v>26.9919539699</v>
      </c>
      <c r="F86" s="1092" t="n">
        <v>26.1571512698</v>
      </c>
      <c r="G86" s="1092" t="n">
        <v>25.3223485697</v>
      </c>
      <c r="H86" s="1092" t="n">
        <v>24.4875458696</v>
      </c>
      <c r="I86" s="968" t="n">
        <v>23.6527431695</v>
      </c>
    </row>
    <row r="87" customFormat="false" ht="12.8" hidden="false" customHeight="false" outlineLevel="0" collapsed="false">
      <c r="A87" s="532" t="n">
        <v>7</v>
      </c>
      <c r="B87" s="976" t="s">
        <v>1682</v>
      </c>
      <c r="C87" s="966"/>
      <c r="D87" s="1092" t="n">
        <v>36.63738</v>
      </c>
      <c r="E87" s="1092" t="n">
        <v>35.5382586</v>
      </c>
      <c r="F87" s="1092" t="n">
        <v>34.4391372</v>
      </c>
      <c r="G87" s="1092" t="n">
        <v>33.3400158</v>
      </c>
      <c r="H87" s="1092" t="n">
        <v>32.2408944</v>
      </c>
      <c r="I87" s="968" t="n">
        <v>31.141773</v>
      </c>
    </row>
    <row r="88" customFormat="false" ht="12.8" hidden="false" customHeight="false" outlineLevel="0" collapsed="false">
      <c r="A88" s="532" t="n">
        <v>8</v>
      </c>
      <c r="B88" s="976" t="s">
        <v>1683</v>
      </c>
      <c r="C88" s="966"/>
      <c r="D88" s="1092" t="n">
        <v>42.27395666</v>
      </c>
      <c r="E88" s="1092" t="n">
        <v>41.0057379602</v>
      </c>
      <c r="F88" s="1092" t="n">
        <v>39.7375192604</v>
      </c>
      <c r="G88" s="1092" t="n">
        <v>38.4693005606</v>
      </c>
      <c r="H88" s="1092" t="n">
        <v>37.2010818608</v>
      </c>
      <c r="I88" s="968" t="n">
        <v>35.932863161</v>
      </c>
    </row>
    <row r="89" customFormat="false" ht="12.8" hidden="false" customHeight="false" outlineLevel="0" collapsed="false">
      <c r="A89" s="532" t="n">
        <v>9</v>
      </c>
      <c r="B89" s="976" t="s">
        <v>2703</v>
      </c>
      <c r="C89" s="966"/>
      <c r="D89" s="1092" t="n">
        <v>37.5767</v>
      </c>
      <c r="E89" s="1092" t="n">
        <v>36.449399</v>
      </c>
      <c r="F89" s="1092" t="n">
        <v>35.322098</v>
      </c>
      <c r="G89" s="1092" t="n">
        <v>34.194797</v>
      </c>
      <c r="H89" s="1092" t="n">
        <v>33.067496</v>
      </c>
      <c r="I89" s="968" t="n">
        <v>31.940195</v>
      </c>
    </row>
    <row r="90" customFormat="false" ht="12.8" hidden="false" customHeight="false" outlineLevel="0" collapsed="false">
      <c r="A90" s="532" t="n">
        <v>10</v>
      </c>
      <c r="B90" s="976" t="s">
        <v>2704</v>
      </c>
      <c r="C90" s="966"/>
      <c r="D90" s="1092" t="n">
        <v>50.10246</v>
      </c>
      <c r="E90" s="1092" t="n">
        <v>48.5993862</v>
      </c>
      <c r="F90" s="1092" t="n">
        <v>47.0963124</v>
      </c>
      <c r="G90" s="1092" t="n">
        <v>45.5932386</v>
      </c>
      <c r="H90" s="1092" t="n">
        <v>44.0901648</v>
      </c>
      <c r="I90" s="968" t="n">
        <v>42.587091</v>
      </c>
    </row>
    <row r="91" customFormat="false" ht="12.8" hidden="false" customHeight="false" outlineLevel="0" collapsed="false">
      <c r="A91" s="532" t="n">
        <v>11</v>
      </c>
      <c r="B91" s="976" t="s">
        <v>1688</v>
      </c>
      <c r="C91" s="966"/>
      <c r="D91" s="1092" t="n">
        <v>35.35629</v>
      </c>
      <c r="E91" s="1092" t="n">
        <v>34.2956013</v>
      </c>
      <c r="F91" s="1092" t="n">
        <v>33.2349126</v>
      </c>
      <c r="G91" s="1092" t="n">
        <v>32.1742239</v>
      </c>
      <c r="H91" s="1092" t="n">
        <v>31.1135352</v>
      </c>
      <c r="I91" s="968" t="n">
        <v>30.0528465</v>
      </c>
    </row>
    <row r="92" customFormat="false" ht="12.8" hidden="false" customHeight="false" outlineLevel="0" collapsed="false">
      <c r="A92" s="532" t="n">
        <v>12</v>
      </c>
      <c r="B92" s="976" t="s">
        <v>1691</v>
      </c>
      <c r="C92" s="966"/>
      <c r="D92" s="1092" t="n">
        <v>25.25247432</v>
      </c>
      <c r="E92" s="1092" t="n">
        <v>24.4949000904</v>
      </c>
      <c r="F92" s="1092" t="n">
        <v>23.7373258608</v>
      </c>
      <c r="G92" s="1092" t="n">
        <v>22.9797516312</v>
      </c>
      <c r="H92" s="1092" t="n">
        <v>22.2221774016</v>
      </c>
      <c r="I92" s="968" t="n">
        <v>21.464603172</v>
      </c>
    </row>
    <row r="93" customFormat="false" ht="12.8" hidden="false" customHeight="false" outlineLevel="0" collapsed="false">
      <c r="A93" s="532" t="n">
        <v>13</v>
      </c>
      <c r="B93" s="976" t="s">
        <v>1692</v>
      </c>
      <c r="C93" s="966"/>
      <c r="D93" s="1092" t="n">
        <v>20.61419004</v>
      </c>
      <c r="E93" s="1092" t="n">
        <v>19.9957643388</v>
      </c>
      <c r="F93" s="1092" t="n">
        <v>19.3773386376</v>
      </c>
      <c r="G93" s="1092" t="n">
        <v>18.7589129364</v>
      </c>
      <c r="H93" s="1092" t="n">
        <v>18.1404872352</v>
      </c>
      <c r="I93" s="968" t="n">
        <v>17.522061534</v>
      </c>
    </row>
    <row r="94" customFormat="false" ht="12.8" hidden="false" customHeight="false" outlineLevel="0" collapsed="false">
      <c r="A94" s="532" t="n">
        <v>14</v>
      </c>
      <c r="B94" s="977" t="s">
        <v>1694</v>
      </c>
      <c r="C94" s="970"/>
      <c r="D94" s="1092" t="n">
        <v>30.26866</v>
      </c>
      <c r="E94" s="1092" t="n">
        <v>29.3606002</v>
      </c>
      <c r="F94" s="1092" t="n">
        <v>28.4525404</v>
      </c>
      <c r="G94" s="1092" t="n">
        <v>27.5444806</v>
      </c>
      <c r="H94" s="1092" t="n">
        <v>26.6364208</v>
      </c>
      <c r="I94" s="968" t="n">
        <v>25.728361</v>
      </c>
    </row>
    <row r="95" customFormat="false" ht="17" hidden="false" customHeight="true" outlineLevel="0" collapsed="false">
      <c r="A95" s="978"/>
      <c r="B95" s="1030" t="s">
        <v>2580</v>
      </c>
      <c r="C95" s="1030"/>
      <c r="D95" s="1093"/>
      <c r="E95" s="1093"/>
      <c r="F95" s="1093"/>
      <c r="G95" s="1093"/>
      <c r="H95" s="1093"/>
      <c r="I95" s="980"/>
    </row>
    <row r="96" customFormat="false" ht="12.8" hidden="false" customHeight="false" outlineLevel="0" collapsed="false">
      <c r="A96" s="515" t="n">
        <v>1</v>
      </c>
      <c r="B96" s="1031" t="s">
        <v>1696</v>
      </c>
      <c r="C96" s="1032" t="s">
        <v>2581</v>
      </c>
      <c r="D96" s="1092" t="n">
        <v>37.10556241</v>
      </c>
      <c r="E96" s="1092" t="n">
        <v>35.9923955377</v>
      </c>
      <c r="F96" s="1092" t="n">
        <v>34.8792286654</v>
      </c>
      <c r="G96" s="1092" t="n">
        <v>33.7660617931</v>
      </c>
      <c r="H96" s="1092" t="n">
        <v>32.6528949208</v>
      </c>
      <c r="I96" s="962" t="n">
        <v>31.5397280485</v>
      </c>
    </row>
    <row r="97" customFormat="false" ht="12.8" hidden="false" customHeight="false" outlineLevel="0" collapsed="false">
      <c r="A97" s="532" t="n">
        <v>2</v>
      </c>
      <c r="B97" s="975" t="s">
        <v>1697</v>
      </c>
      <c r="C97" s="960" t="s">
        <v>2582</v>
      </c>
      <c r="D97" s="1092" t="n">
        <v>37.10556241</v>
      </c>
      <c r="E97" s="1092" t="n">
        <v>35.9923955377</v>
      </c>
      <c r="F97" s="1092" t="n">
        <v>34.8792286654</v>
      </c>
      <c r="G97" s="1092" t="n">
        <v>33.7660617931</v>
      </c>
      <c r="H97" s="1092" t="n">
        <v>32.6528949208</v>
      </c>
      <c r="I97" s="964" t="n">
        <v>31.5397280485</v>
      </c>
    </row>
    <row r="98" customFormat="false" ht="12.8" hidden="false" customHeight="false" outlineLevel="0" collapsed="false">
      <c r="A98" s="521" t="n">
        <v>3</v>
      </c>
      <c r="B98" s="976" t="s">
        <v>2583</v>
      </c>
      <c r="C98" s="966" t="s">
        <v>2584</v>
      </c>
      <c r="D98" s="1092" t="n">
        <v>40.19775193</v>
      </c>
      <c r="E98" s="1092" t="n">
        <v>38.9918193721</v>
      </c>
      <c r="F98" s="1092" t="n">
        <v>37.7858868142</v>
      </c>
      <c r="G98" s="1092" t="n">
        <v>36.5799542563</v>
      </c>
      <c r="H98" s="1092" t="n">
        <v>35.3740216984</v>
      </c>
      <c r="I98" s="968" t="n">
        <v>34.1680891405</v>
      </c>
    </row>
    <row r="99" customFormat="false" ht="19.25" hidden="false" customHeight="false" outlineLevel="0" collapsed="false">
      <c r="A99" s="523" t="n">
        <v>4</v>
      </c>
      <c r="B99" s="972" t="s">
        <v>1699</v>
      </c>
      <c r="C99" s="1033" t="s">
        <v>2585</v>
      </c>
      <c r="D99" s="1092" t="n">
        <v>40.19775193</v>
      </c>
      <c r="E99" s="1092" t="n">
        <v>38.9918193721</v>
      </c>
      <c r="F99" s="1092" t="n">
        <v>37.7858868142</v>
      </c>
      <c r="G99" s="1092" t="n">
        <v>36.5799542563</v>
      </c>
      <c r="H99" s="1092" t="n">
        <v>35.3740216984</v>
      </c>
      <c r="I99" s="1034" t="n">
        <v>34.1680891405</v>
      </c>
    </row>
    <row r="100" customFormat="false" ht="17" hidden="false" customHeight="true" outlineLevel="0" collapsed="false">
      <c r="A100" s="1035"/>
      <c r="B100" s="1036" t="s">
        <v>1701</v>
      </c>
      <c r="C100" s="1036"/>
      <c r="D100" s="1093"/>
      <c r="E100" s="1093"/>
      <c r="F100" s="1093"/>
      <c r="G100" s="1093"/>
      <c r="H100" s="1093"/>
      <c r="I100" s="1037"/>
    </row>
    <row r="101" customFormat="false" ht="12.8" hidden="false" customHeight="false" outlineLevel="0" collapsed="false">
      <c r="A101" s="981" t="n">
        <v>1</v>
      </c>
      <c r="B101" s="982" t="s">
        <v>1702</v>
      </c>
      <c r="C101" s="983" t="s">
        <v>2587</v>
      </c>
      <c r="D101" s="1092" t="n">
        <v>17.68704339</v>
      </c>
      <c r="E101" s="1092" t="n">
        <v>17.1564320883</v>
      </c>
      <c r="F101" s="1092" t="n">
        <v>16.6258207866</v>
      </c>
      <c r="G101" s="1092" t="n">
        <v>16.0952094849</v>
      </c>
      <c r="H101" s="1092" t="n">
        <v>15.5645981832</v>
      </c>
      <c r="I101" s="1038" t="n">
        <v>15.0339868815</v>
      </c>
    </row>
    <row r="102" customFormat="false" ht="12.8" hidden="false" customHeight="false" outlineLevel="0" collapsed="false">
      <c r="A102" s="520" t="n">
        <v>2</v>
      </c>
      <c r="B102" s="987" t="s">
        <v>1703</v>
      </c>
      <c r="C102" s="988" t="s">
        <v>2588</v>
      </c>
      <c r="D102" s="1092" t="n">
        <v>16.07912111</v>
      </c>
      <c r="E102" s="1092" t="n">
        <v>15.5967474767</v>
      </c>
      <c r="F102" s="1092" t="n">
        <v>15.1143738434</v>
      </c>
      <c r="G102" s="1092" t="n">
        <v>14.6320002101</v>
      </c>
      <c r="H102" s="1092" t="n">
        <v>14.1496265768</v>
      </c>
      <c r="I102" s="1039" t="n">
        <v>13.6672529435</v>
      </c>
    </row>
    <row r="103" customFormat="false" ht="12.8" hidden="false" customHeight="false" outlineLevel="0" collapsed="false">
      <c r="A103" s="520" t="n">
        <v>3</v>
      </c>
      <c r="B103" s="987" t="s">
        <v>1704</v>
      </c>
      <c r="C103" s="988" t="s">
        <v>2588</v>
      </c>
      <c r="D103" s="1092" t="n">
        <v>34.01347458</v>
      </c>
      <c r="E103" s="1092" t="n">
        <v>32.9930703426</v>
      </c>
      <c r="F103" s="1092" t="n">
        <v>31.9726661052</v>
      </c>
      <c r="G103" s="1092" t="n">
        <v>30.9522618678</v>
      </c>
      <c r="H103" s="1092" t="n">
        <v>29.9318576304</v>
      </c>
      <c r="I103" s="1039" t="n">
        <v>28.911453393</v>
      </c>
    </row>
    <row r="104" customFormat="false" ht="12.8" hidden="false" customHeight="false" outlineLevel="0" collapsed="false">
      <c r="A104" s="520" t="n">
        <v>4</v>
      </c>
      <c r="B104" s="987" t="s">
        <v>1705</v>
      </c>
      <c r="C104" s="988" t="s">
        <v>2589</v>
      </c>
      <c r="D104" s="1092" t="n">
        <v>34.01347458</v>
      </c>
      <c r="E104" s="1092" t="n">
        <v>32.9930703426</v>
      </c>
      <c r="F104" s="1092" t="n">
        <v>31.9726661052</v>
      </c>
      <c r="G104" s="1092" t="n">
        <v>30.9522618678</v>
      </c>
      <c r="H104" s="1092" t="n">
        <v>29.9318576304</v>
      </c>
      <c r="I104" s="1039" t="n">
        <v>28.911453393</v>
      </c>
    </row>
    <row r="105" customFormat="false" ht="12.8" hidden="false" customHeight="false" outlineLevel="0" collapsed="false">
      <c r="A105" s="520" t="n">
        <v>5</v>
      </c>
      <c r="B105" s="987" t="s">
        <v>2590</v>
      </c>
      <c r="C105" s="988" t="s">
        <v>2587</v>
      </c>
      <c r="D105" s="1092" t="n">
        <v>21.64491988</v>
      </c>
      <c r="E105" s="1092" t="n">
        <v>20.9955722836</v>
      </c>
      <c r="F105" s="1092" t="n">
        <v>20.3462246872</v>
      </c>
      <c r="G105" s="1092" t="n">
        <v>19.6968770908</v>
      </c>
      <c r="H105" s="1092" t="n">
        <v>19.0475294944</v>
      </c>
      <c r="I105" s="1039" t="n">
        <v>18.398181898</v>
      </c>
    </row>
    <row r="106" customFormat="false" ht="12.8" hidden="false" customHeight="false" outlineLevel="0" collapsed="false">
      <c r="A106" s="520" t="n">
        <v>6</v>
      </c>
      <c r="B106" s="987" t="s">
        <v>2591</v>
      </c>
      <c r="C106" s="988" t="s">
        <v>2592</v>
      </c>
      <c r="D106" s="1092" t="n">
        <v>34.27125873</v>
      </c>
      <c r="E106" s="1092" t="n">
        <v>33.2431209681</v>
      </c>
      <c r="F106" s="1092" t="n">
        <v>32.2149832062</v>
      </c>
      <c r="G106" s="1092" t="n">
        <v>31.1868454443</v>
      </c>
      <c r="H106" s="1092" t="n">
        <v>30.1587076824</v>
      </c>
      <c r="I106" s="1039" t="n">
        <v>29.1305699205</v>
      </c>
    </row>
    <row r="107" customFormat="false" ht="12.8" hidden="false" customHeight="false" outlineLevel="0" collapsed="false">
      <c r="A107" s="520" t="n">
        <v>7</v>
      </c>
      <c r="B107" s="987" t="s">
        <v>1707</v>
      </c>
      <c r="C107" s="988" t="s">
        <v>2592</v>
      </c>
      <c r="D107" s="1092" t="n">
        <v>65.1965097</v>
      </c>
      <c r="E107" s="1092" t="n">
        <v>63.240614409</v>
      </c>
      <c r="F107" s="1092" t="n">
        <v>61.284719118</v>
      </c>
      <c r="G107" s="1092" t="n">
        <v>59.328823827</v>
      </c>
      <c r="H107" s="1092" t="n">
        <v>57.372928536</v>
      </c>
      <c r="I107" s="1039" t="n">
        <v>55.417033245</v>
      </c>
    </row>
    <row r="108" customFormat="false" ht="19.25" hidden="false" customHeight="false" outlineLevel="0" collapsed="false">
      <c r="A108" s="520" t="n">
        <v>8</v>
      </c>
      <c r="B108" s="987" t="s">
        <v>699</v>
      </c>
      <c r="C108" s="988" t="s">
        <v>700</v>
      </c>
      <c r="D108" s="1092" t="n">
        <v>13.71584551</v>
      </c>
      <c r="E108" s="1092" t="n">
        <v>13.3043701447</v>
      </c>
      <c r="F108" s="1092" t="n">
        <v>12.8928947794</v>
      </c>
      <c r="G108" s="1092" t="n">
        <v>12.4814194141</v>
      </c>
      <c r="H108" s="1092" t="n">
        <v>12.0699440488</v>
      </c>
      <c r="I108" s="1039" t="n">
        <v>11.6584686835</v>
      </c>
    </row>
    <row r="109" customFormat="false" ht="12.8" hidden="false" customHeight="false" outlineLevel="0" collapsed="false">
      <c r="A109" s="522" t="n">
        <v>9</v>
      </c>
      <c r="B109" s="992" t="s">
        <v>1708</v>
      </c>
      <c r="C109" s="993" t="s">
        <v>2593</v>
      </c>
      <c r="D109" s="1092" t="n">
        <v>3.12340835</v>
      </c>
      <c r="E109" s="1092" t="n">
        <v>3.0297060995</v>
      </c>
      <c r="F109" s="1092" t="n">
        <v>2.936003849</v>
      </c>
      <c r="G109" s="1092" t="n">
        <v>2.8423015985</v>
      </c>
      <c r="H109" s="1092" t="n">
        <v>2.748599348</v>
      </c>
      <c r="I109" s="1040" t="n">
        <v>2.6548970975</v>
      </c>
    </row>
    <row r="110" customFormat="false" ht="17" hidden="false" customHeight="true" outlineLevel="0" collapsed="false">
      <c r="A110" s="1035"/>
      <c r="B110" s="1036" t="s">
        <v>1711</v>
      </c>
      <c r="C110" s="1036"/>
      <c r="D110" s="1093"/>
      <c r="E110" s="1093"/>
      <c r="F110" s="1093"/>
      <c r="G110" s="1093"/>
      <c r="H110" s="1093"/>
      <c r="I110" s="1037"/>
    </row>
    <row r="111" customFormat="false" ht="12.8" hidden="false" customHeight="false" outlineLevel="0" collapsed="false">
      <c r="A111" s="1001" t="n">
        <v>1</v>
      </c>
      <c r="B111" s="1041" t="s">
        <v>1712</v>
      </c>
      <c r="C111" s="1032" t="s">
        <v>2596</v>
      </c>
      <c r="D111" s="1092" t="n">
        <v>46.11692345</v>
      </c>
      <c r="E111" s="1092" t="n">
        <v>44.7334157465</v>
      </c>
      <c r="F111" s="1092" t="n">
        <v>43.349908043</v>
      </c>
      <c r="G111" s="1092" t="n">
        <v>41.9664003395</v>
      </c>
      <c r="H111" s="1092" t="n">
        <v>40.582892636</v>
      </c>
      <c r="I111" s="1043" t="n">
        <v>39.1993849325</v>
      </c>
    </row>
    <row r="112" customFormat="false" ht="12.8" hidden="false" customHeight="false" outlineLevel="0" collapsed="false">
      <c r="A112" s="1009" t="n">
        <v>2</v>
      </c>
      <c r="B112" s="1044" t="s">
        <v>1713</v>
      </c>
      <c r="C112" s="966" t="s">
        <v>2596</v>
      </c>
      <c r="D112" s="1092" t="n">
        <v>8.07042347</v>
      </c>
      <c r="E112" s="1092" t="n">
        <v>7.8283107659</v>
      </c>
      <c r="F112" s="1092" t="n">
        <v>7.5861980618</v>
      </c>
      <c r="G112" s="1092" t="n">
        <v>7.3440853577</v>
      </c>
      <c r="H112" s="1092" t="n">
        <v>7.1019726536</v>
      </c>
      <c r="I112" s="1046" t="n">
        <v>6.8598599495</v>
      </c>
    </row>
    <row r="113" customFormat="false" ht="12.8" hidden="false" customHeight="false" outlineLevel="0" collapsed="false">
      <c r="A113" s="1009" t="n">
        <v>3</v>
      </c>
      <c r="B113" s="1044" t="s">
        <v>1714</v>
      </c>
      <c r="C113" s="966" t="s">
        <v>2596</v>
      </c>
      <c r="D113" s="1092" t="n">
        <v>8.07042347</v>
      </c>
      <c r="E113" s="1092" t="n">
        <v>7.8283107659</v>
      </c>
      <c r="F113" s="1092" t="n">
        <v>7.5861980618</v>
      </c>
      <c r="G113" s="1092" t="n">
        <v>7.3440853577</v>
      </c>
      <c r="H113" s="1092" t="n">
        <v>7.1019726536</v>
      </c>
      <c r="I113" s="1046" t="n">
        <v>6.8598599495</v>
      </c>
    </row>
    <row r="114" customFormat="false" ht="12.8" hidden="false" customHeight="false" outlineLevel="0" collapsed="false">
      <c r="A114" s="1009" t="n">
        <v>4</v>
      </c>
      <c r="B114" s="1044" t="s">
        <v>1715</v>
      </c>
      <c r="C114" s="966" t="s">
        <v>2597</v>
      </c>
      <c r="D114" s="1092" t="n">
        <v>8.07042347</v>
      </c>
      <c r="E114" s="1092" t="n">
        <v>7.8283107659</v>
      </c>
      <c r="F114" s="1092" t="n">
        <v>7.5861980618</v>
      </c>
      <c r="G114" s="1092" t="n">
        <v>7.3440853577</v>
      </c>
      <c r="H114" s="1092" t="n">
        <v>7.1019726536</v>
      </c>
      <c r="I114" s="1046" t="n">
        <v>6.8598599495</v>
      </c>
    </row>
    <row r="115" customFormat="false" ht="19.25" hidden="false" customHeight="false" outlineLevel="0" collapsed="false">
      <c r="A115" s="1009" t="n">
        <v>5</v>
      </c>
      <c r="B115" s="1044" t="s">
        <v>1716</v>
      </c>
      <c r="C115" s="966" t="s">
        <v>2598</v>
      </c>
      <c r="D115" s="1092" t="n">
        <v>53.8031621</v>
      </c>
      <c r="E115" s="1092" t="n">
        <v>52.189067237</v>
      </c>
      <c r="F115" s="1092" t="n">
        <v>50.574972374</v>
      </c>
      <c r="G115" s="1092" t="n">
        <v>48.960877511</v>
      </c>
      <c r="H115" s="1092" t="n">
        <v>47.346782648</v>
      </c>
      <c r="I115" s="1046" t="n">
        <v>45.732687785</v>
      </c>
    </row>
    <row r="116" customFormat="false" ht="12.8" hidden="false" customHeight="false" outlineLevel="0" collapsed="false">
      <c r="A116" s="1009" t="n">
        <v>6</v>
      </c>
      <c r="B116" s="1044" t="s">
        <v>1717</v>
      </c>
      <c r="C116" s="966"/>
      <c r="D116" s="1092" t="n">
        <v>24.92310041</v>
      </c>
      <c r="E116" s="1092" t="n">
        <v>24.1754073977</v>
      </c>
      <c r="F116" s="1092" t="n">
        <v>23.4277143854</v>
      </c>
      <c r="G116" s="1092" t="n">
        <v>22.6800213731</v>
      </c>
      <c r="H116" s="1092" t="n">
        <v>21.9323283608</v>
      </c>
      <c r="I116" s="1046" t="n">
        <v>21.1846353485</v>
      </c>
    </row>
    <row r="117" customFormat="false" ht="12.8" hidden="false" customHeight="false" outlineLevel="0" collapsed="false">
      <c r="A117" s="1009" t="n">
        <v>7</v>
      </c>
      <c r="B117" s="1044" t="s">
        <v>1718</v>
      </c>
      <c r="C117" s="966"/>
      <c r="D117" s="1092" t="n">
        <v>32.25342406</v>
      </c>
      <c r="E117" s="1092" t="n">
        <v>31.2858213382</v>
      </c>
      <c r="F117" s="1092" t="n">
        <v>30.3182186164</v>
      </c>
      <c r="G117" s="1092" t="n">
        <v>29.3506158946</v>
      </c>
      <c r="H117" s="1092" t="n">
        <v>28.3830131728</v>
      </c>
      <c r="I117" s="1046" t="n">
        <v>27.415410451</v>
      </c>
    </row>
    <row r="118" customFormat="false" ht="12.8" hidden="false" customHeight="false" outlineLevel="0" collapsed="false">
      <c r="A118" s="1047" t="n">
        <v>8</v>
      </c>
      <c r="B118" s="1048" t="s">
        <v>1719</v>
      </c>
      <c r="C118" s="1033" t="s">
        <v>2599</v>
      </c>
      <c r="D118" s="1092" t="n">
        <v>71.4</v>
      </c>
      <c r="E118" s="1092" t="n">
        <v>69.258</v>
      </c>
      <c r="F118" s="1092" t="n">
        <v>67.116</v>
      </c>
      <c r="G118" s="1092" t="n">
        <v>64.974</v>
      </c>
      <c r="H118" s="1092" t="n">
        <v>62.832</v>
      </c>
      <c r="I118" s="1050" t="n">
        <v>60.69</v>
      </c>
    </row>
  </sheetData>
  <mergeCells count="12">
    <mergeCell ref="A1:I1"/>
    <mergeCell ref="B3:C3"/>
    <mergeCell ref="B42:C42"/>
    <mergeCell ref="B52:C52"/>
    <mergeCell ref="B60:C60"/>
    <mergeCell ref="B65:C65"/>
    <mergeCell ref="B69:C69"/>
    <mergeCell ref="B74:C74"/>
    <mergeCell ref="B80:C80"/>
    <mergeCell ref="B95:C95"/>
    <mergeCell ref="B100:C100"/>
    <mergeCell ref="B110:C11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64" min="1" style="0" width="11.6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26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P18" activeCellId="0" sqref="P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31" width="8.6"/>
    <col collapsed="false" customWidth="true" hidden="false" outlineLevel="0" max="2" min="2" style="332" width="6.94"/>
    <col collapsed="false" customWidth="false" hidden="false" outlineLevel="0" max="3" min="3" style="333" width="11.52"/>
    <col collapsed="false" customWidth="true" hidden="false" outlineLevel="0" max="4" min="4" style="331" width="21.85"/>
    <col collapsed="false" customWidth="true" hidden="false" outlineLevel="0" max="5" min="5" style="331" width="59.61"/>
    <col collapsed="false" customWidth="false" hidden="false" outlineLevel="0" max="8" min="6" style="331" width="11.52"/>
    <col collapsed="false" customWidth="true" hidden="false" outlineLevel="0" max="9" min="9" style="331" width="9.2"/>
    <col collapsed="false" customWidth="false" hidden="false" outlineLevel="0" max="64" min="10" style="331" width="11.52"/>
  </cols>
  <sheetData>
    <row r="1" customFormat="false" ht="12.8" hidden="false" customHeight="false" outlineLevel="0" collapsed="false">
      <c r="A1" s="334"/>
      <c r="B1" s="4" t="s">
        <v>0</v>
      </c>
      <c r="C1" s="5" t="s">
        <v>1</v>
      </c>
      <c r="D1" s="6" t="s">
        <v>2</v>
      </c>
      <c r="F1" s="0"/>
      <c r="G1" s="0"/>
      <c r="H1" s="0"/>
      <c r="I1" s="0"/>
      <c r="J1" s="0"/>
    </row>
    <row r="2" customFormat="false" ht="12.8" hidden="false" customHeight="false" outlineLevel="0" collapsed="false">
      <c r="A2" s="334" t="s">
        <v>224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  <c r="F2" s="0"/>
      <c r="G2" s="0"/>
      <c r="H2" s="0"/>
      <c r="I2" s="0"/>
      <c r="J2" s="0"/>
      <c r="L2" s="331" t="s">
        <v>336</v>
      </c>
      <c r="M2" s="331" t="n">
        <v>1.5</v>
      </c>
    </row>
    <row r="4" customFormat="false" ht="35.5" hidden="false" customHeight="false" outlineLevel="0" collapsed="false">
      <c r="A4" s="335"/>
      <c r="B4" s="336"/>
      <c r="C4" s="337"/>
      <c r="D4" s="335"/>
      <c r="E4" s="338" t="s">
        <v>330</v>
      </c>
      <c r="F4" s="338" t="s">
        <v>337</v>
      </c>
      <c r="G4" s="338" t="s">
        <v>338</v>
      </c>
      <c r="H4" s="338" t="s">
        <v>339</v>
      </c>
      <c r="I4" s="338" t="s">
        <v>340</v>
      </c>
      <c r="J4" s="338" t="s">
        <v>341</v>
      </c>
      <c r="K4" s="338" t="s">
        <v>342</v>
      </c>
      <c r="L4" s="338" t="s">
        <v>343</v>
      </c>
      <c r="M4" s="338" t="s">
        <v>332</v>
      </c>
      <c r="N4" s="338"/>
      <c r="O4" s="339" t="s">
        <v>344</v>
      </c>
      <c r="P4" s="340" t="s">
        <v>345</v>
      </c>
      <c r="Q4" s="341" t="s">
        <v>346</v>
      </c>
      <c r="R4" s="342"/>
      <c r="S4" s="343" t="s">
        <v>344</v>
      </c>
      <c r="T4" s="344" t="s">
        <v>345</v>
      </c>
      <c r="U4" s="345" t="s">
        <v>347</v>
      </c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335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335"/>
      <c r="AY4" s="335"/>
      <c r="AZ4" s="335"/>
      <c r="BA4" s="335"/>
      <c r="BB4" s="335"/>
      <c r="BC4" s="335"/>
      <c r="BD4" s="335"/>
      <c r="BE4" s="335"/>
      <c r="BF4" s="335"/>
      <c r="BG4" s="335"/>
      <c r="BH4" s="335"/>
      <c r="BI4" s="335"/>
    </row>
    <row r="5" customFormat="false" ht="12.8" hidden="false" customHeight="false" outlineLevel="0" collapsed="false">
      <c r="A5" s="331" t="s">
        <v>348</v>
      </c>
      <c r="B5" s="346" t="s">
        <v>349</v>
      </c>
      <c r="C5" s="347" t="s">
        <v>350</v>
      </c>
      <c r="D5" s="331" t="str">
        <f aca="false">A5&amp;" "&amp;B5&amp;" "&amp;C5</f>
        <v>25 мм  белый глянцевый 0221</v>
      </c>
      <c r="E5" s="331" t="str">
        <f aca="false">"Жалюзи алюмин. горизонтальные "&amp;D5</f>
        <v>Жалюзи алюмин. горизонтальные 25 мм  белый глянцевый 0221</v>
      </c>
      <c r="F5" s="331" t="n">
        <v>0.46</v>
      </c>
      <c r="G5" s="331" t="n">
        <v>2.85</v>
      </c>
      <c r="H5" s="331" t="n">
        <v>3</v>
      </c>
      <c r="I5" s="331" t="n">
        <v>8</v>
      </c>
      <c r="J5" s="348" t="n">
        <v>14.12</v>
      </c>
      <c r="K5" s="348" t="n">
        <f aca="false">J5*0.85</f>
        <v>12.002</v>
      </c>
      <c r="L5" s="349" t="n">
        <f aca="false">K5*$B$2</f>
        <v>1020.17</v>
      </c>
      <c r="M5" s="349" t="n">
        <f aca="false">L5*$M$2</f>
        <v>1530.255</v>
      </c>
      <c r="O5" s="350" t="s">
        <v>350</v>
      </c>
      <c r="P5" s="351" t="s">
        <v>349</v>
      </c>
      <c r="Q5" s="352" t="n">
        <v>41.12</v>
      </c>
      <c r="R5" s="353"/>
      <c r="S5" s="354" t="n">
        <v>8101</v>
      </c>
      <c r="T5" s="355" t="s">
        <v>351</v>
      </c>
      <c r="U5" s="356" t="n">
        <v>18.67</v>
      </c>
    </row>
    <row r="6" customFormat="false" ht="12.8" hidden="false" customHeight="false" outlineLevel="0" collapsed="false">
      <c r="A6" s="331" t="s">
        <v>348</v>
      </c>
      <c r="B6" s="346" t="s">
        <v>352</v>
      </c>
      <c r="C6" s="347" t="s">
        <v>353</v>
      </c>
      <c r="D6" s="331" t="str">
        <f aca="false">A6&amp;" "&amp;B6&amp;" "&amp;C6</f>
        <v>25 мм  белый матовый 0120</v>
      </c>
      <c r="E6" s="331" t="str">
        <f aca="false">"Жалюзи алюмин. горизонтальные "&amp;D6</f>
        <v>Жалюзи алюмин. горизонтальные 25 мм  белый матовый 0120</v>
      </c>
      <c r="F6" s="331" t="n">
        <v>0.46</v>
      </c>
      <c r="G6" s="331" t="n">
        <v>2.85</v>
      </c>
      <c r="H6" s="331" t="n">
        <v>3</v>
      </c>
      <c r="I6" s="331" t="n">
        <v>8</v>
      </c>
      <c r="J6" s="348" t="n">
        <v>17.5</v>
      </c>
      <c r="K6" s="348" t="n">
        <f aca="false">J6*0.85</f>
        <v>14.875</v>
      </c>
      <c r="L6" s="349" t="n">
        <f aca="false">K6*$B$2</f>
        <v>1264.375</v>
      </c>
      <c r="M6" s="349" t="n">
        <f aca="false">L6*$M$2</f>
        <v>1896.5625</v>
      </c>
      <c r="O6" s="354" t="s">
        <v>353</v>
      </c>
      <c r="P6" s="357" t="s">
        <v>352</v>
      </c>
      <c r="Q6" s="352" t="n">
        <v>13.31</v>
      </c>
      <c r="R6" s="353"/>
      <c r="S6" s="358" t="n">
        <v>8103</v>
      </c>
      <c r="T6" s="355"/>
      <c r="U6" s="356"/>
    </row>
    <row r="7" customFormat="false" ht="12.8" hidden="false" customHeight="false" outlineLevel="0" collapsed="false">
      <c r="A7" s="331" t="s">
        <v>348</v>
      </c>
      <c r="B7" s="346" t="s">
        <v>354</v>
      </c>
      <c r="C7" s="347" t="n">
        <v>1606</v>
      </c>
      <c r="D7" s="331" t="str">
        <f aca="false">A7&amp;" "&amp;B7&amp;" "&amp;C7</f>
        <v>25 мм  светло-серый 1606</v>
      </c>
      <c r="E7" s="331" t="str">
        <f aca="false">"Жалюзи алюмин. горизонтальные "&amp;D7</f>
        <v>Жалюзи алюмин. горизонтальные 25 мм  светло-серый 1606</v>
      </c>
      <c r="F7" s="331" t="n">
        <v>0.46</v>
      </c>
      <c r="G7" s="331" t="n">
        <v>2.85</v>
      </c>
      <c r="H7" s="331" t="n">
        <v>3</v>
      </c>
      <c r="I7" s="331" t="n">
        <v>8</v>
      </c>
      <c r="J7" s="348" t="n">
        <v>17.5</v>
      </c>
      <c r="K7" s="348" t="n">
        <f aca="false">J7*0.85</f>
        <v>14.875</v>
      </c>
      <c r="L7" s="349" t="n">
        <f aca="false">K7*$B$2</f>
        <v>1264.375</v>
      </c>
      <c r="M7" s="349" t="n">
        <f aca="false">L7*$M$2</f>
        <v>1896.5625</v>
      </c>
      <c r="O7" s="359" t="n">
        <v>1606</v>
      </c>
      <c r="P7" s="360" t="s">
        <v>354</v>
      </c>
      <c r="Q7" s="352"/>
      <c r="R7" s="353"/>
      <c r="S7" s="361" t="n">
        <v>7419</v>
      </c>
      <c r="T7" s="362" t="s">
        <v>355</v>
      </c>
      <c r="U7" s="363" t="n">
        <v>21.57</v>
      </c>
    </row>
    <row r="8" customFormat="false" ht="12.8" hidden="false" customHeight="false" outlineLevel="0" collapsed="false">
      <c r="A8" s="331" t="s">
        <v>348</v>
      </c>
      <c r="B8" s="346" t="s">
        <v>356</v>
      </c>
      <c r="C8" s="347" t="n">
        <v>1852</v>
      </c>
      <c r="D8" s="331" t="str">
        <f aca="false">A8&amp;" "&amp;B8&amp;" "&amp;C8</f>
        <v>25 мм  серый матовый 1852</v>
      </c>
      <c r="E8" s="331" t="str">
        <f aca="false">"Жалюзи алюмин. горизонтальные "&amp;D8</f>
        <v>Жалюзи алюмин. горизонтальные 25 мм  серый матовый 1852</v>
      </c>
      <c r="F8" s="331" t="n">
        <v>0.46</v>
      </c>
      <c r="G8" s="331" t="n">
        <v>2.85</v>
      </c>
      <c r="H8" s="331" t="n">
        <v>3</v>
      </c>
      <c r="I8" s="331" t="n">
        <v>8</v>
      </c>
      <c r="J8" s="348" t="n">
        <v>17.5</v>
      </c>
      <c r="K8" s="348" t="n">
        <f aca="false">J8*0.85</f>
        <v>14.875</v>
      </c>
      <c r="L8" s="349" t="n">
        <f aca="false">K8*$B$2</f>
        <v>1264.375</v>
      </c>
      <c r="M8" s="349" t="n">
        <f aca="false">L8*$M$2</f>
        <v>1896.5625</v>
      </c>
      <c r="O8" s="359" t="n">
        <v>1852</v>
      </c>
      <c r="P8" s="364" t="s">
        <v>356</v>
      </c>
      <c r="Q8" s="352"/>
      <c r="R8" s="353"/>
      <c r="S8" s="359" t="n">
        <v>7431</v>
      </c>
      <c r="T8" s="362"/>
      <c r="U8" s="363"/>
    </row>
    <row r="9" customFormat="false" ht="12.8" hidden="false" customHeight="false" outlineLevel="0" collapsed="false">
      <c r="A9" s="331" t="s">
        <v>348</v>
      </c>
      <c r="B9" s="346" t="s">
        <v>357</v>
      </c>
      <c r="C9" s="347" t="n">
        <v>1854</v>
      </c>
      <c r="D9" s="331" t="str">
        <f aca="false">A9&amp;" "&amp;B9&amp;" "&amp;C9</f>
        <v>25 мм  графит 1854</v>
      </c>
      <c r="E9" s="331" t="str">
        <f aca="false">"Жалюзи алюмин. горизонтальные "&amp;D9</f>
        <v>Жалюзи алюмин. горизонтальные 25 мм  графит 1854</v>
      </c>
      <c r="F9" s="331" t="n">
        <v>0.46</v>
      </c>
      <c r="G9" s="331" t="n">
        <v>2.85</v>
      </c>
      <c r="H9" s="331" t="n">
        <v>3</v>
      </c>
      <c r="I9" s="331" t="n">
        <v>8</v>
      </c>
      <c r="J9" s="348" t="n">
        <v>17.5</v>
      </c>
      <c r="K9" s="348" t="n">
        <f aca="false">J9*0.85</f>
        <v>14.875</v>
      </c>
      <c r="L9" s="349" t="n">
        <f aca="false">K9*$B$2</f>
        <v>1264.375</v>
      </c>
      <c r="M9" s="349" t="n">
        <f aca="false">L9*$M$2</f>
        <v>1896.5625</v>
      </c>
      <c r="O9" s="359" t="n">
        <v>1908</v>
      </c>
      <c r="P9" s="364" t="s">
        <v>358</v>
      </c>
      <c r="Q9" s="352"/>
      <c r="R9" s="353"/>
      <c r="S9" s="359" t="n">
        <v>8011</v>
      </c>
      <c r="T9" s="365" t="s">
        <v>359</v>
      </c>
      <c r="U9" s="363"/>
    </row>
    <row r="10" customFormat="false" ht="12.8" hidden="false" customHeight="false" outlineLevel="0" collapsed="false">
      <c r="A10" s="331" t="s">
        <v>348</v>
      </c>
      <c r="B10" s="346" t="s">
        <v>360</v>
      </c>
      <c r="C10" s="347" t="n">
        <v>1881</v>
      </c>
      <c r="D10" s="331" t="str">
        <f aca="false">A10&amp;" "&amp;B10&amp;" "&amp;C10</f>
        <v>25 мм  тёмно-серый 1881</v>
      </c>
      <c r="E10" s="331" t="str">
        <f aca="false">"Жалюзи алюмин. горизонтальные "&amp;D10</f>
        <v>Жалюзи алюмин. горизонтальные 25 мм  тёмно-серый 1881</v>
      </c>
      <c r="F10" s="331" t="n">
        <v>0.46</v>
      </c>
      <c r="G10" s="331" t="n">
        <v>2.85</v>
      </c>
      <c r="H10" s="331" t="n">
        <v>3</v>
      </c>
      <c r="I10" s="331" t="n">
        <v>8</v>
      </c>
      <c r="J10" s="348" t="n">
        <v>17.5</v>
      </c>
      <c r="K10" s="348" t="n">
        <f aca="false">J10*0.85</f>
        <v>14.875</v>
      </c>
      <c r="L10" s="349" t="n">
        <f aca="false">K10*$B$2</f>
        <v>1264.375</v>
      </c>
      <c r="M10" s="349" t="n">
        <f aca="false">L10*$M$2</f>
        <v>1896.5625</v>
      </c>
      <c r="O10" s="359" t="n">
        <v>2259</v>
      </c>
      <c r="P10" s="364" t="s">
        <v>361</v>
      </c>
      <c r="Q10" s="352"/>
      <c r="R10" s="353"/>
      <c r="S10" s="358" t="n">
        <v>8012</v>
      </c>
      <c r="T10" s="365"/>
      <c r="U10" s="363"/>
    </row>
    <row r="11" customFormat="false" ht="12.8" hidden="false" customHeight="false" outlineLevel="0" collapsed="false">
      <c r="A11" s="331" t="s">
        <v>348</v>
      </c>
      <c r="B11" s="346" t="s">
        <v>358</v>
      </c>
      <c r="C11" s="347" t="n">
        <v>1908</v>
      </c>
      <c r="D11" s="331" t="str">
        <f aca="false">A11&amp;" "&amp;B11&amp;" "&amp;C11</f>
        <v>25 мм  черый 1908</v>
      </c>
      <c r="E11" s="331" t="str">
        <f aca="false">"Жалюзи алюмин. горизонтальные "&amp;D11</f>
        <v>Жалюзи алюмин. горизонтальные 25 мм  черый 1908</v>
      </c>
      <c r="F11" s="331" t="n">
        <v>0.46</v>
      </c>
      <c r="G11" s="331" t="n">
        <v>2.85</v>
      </c>
      <c r="H11" s="331" t="n">
        <v>3</v>
      </c>
      <c r="I11" s="331" t="n">
        <v>8</v>
      </c>
      <c r="J11" s="348" t="n">
        <v>17.5</v>
      </c>
      <c r="K11" s="348" t="n">
        <f aca="false">J11*0.85</f>
        <v>14.875</v>
      </c>
      <c r="L11" s="349" t="n">
        <f aca="false">K11*$B$2</f>
        <v>1264.375</v>
      </c>
      <c r="M11" s="349" t="n">
        <f aca="false">L11*$M$2</f>
        <v>1896.5625</v>
      </c>
      <c r="O11" s="359" t="n">
        <v>2261</v>
      </c>
      <c r="P11" s="366" t="s">
        <v>362</v>
      </c>
      <c r="Q11" s="352"/>
      <c r="R11" s="353"/>
      <c r="S11" s="361" t="n">
        <v>7505</v>
      </c>
      <c r="T11" s="367" t="s">
        <v>363</v>
      </c>
      <c r="U11" s="363" t="n">
        <v>24.44</v>
      </c>
    </row>
    <row r="12" customFormat="false" ht="12.8" hidden="false" customHeight="false" outlineLevel="0" collapsed="false">
      <c r="A12" s="331" t="s">
        <v>348</v>
      </c>
      <c r="B12" s="346" t="s">
        <v>361</v>
      </c>
      <c r="C12" s="347" t="n">
        <v>2259</v>
      </c>
      <c r="D12" s="331" t="str">
        <f aca="false">A12&amp;" "&amp;B12&amp;" "&amp;C12</f>
        <v>25 мм  магнолия 2259</v>
      </c>
      <c r="E12" s="331" t="str">
        <f aca="false">"Жалюзи алюмин. горизонтальные "&amp;D12</f>
        <v>Жалюзи алюмин. горизонтальные 25 мм  магнолия 2259</v>
      </c>
      <c r="F12" s="331" t="n">
        <v>0.46</v>
      </c>
      <c r="G12" s="331" t="n">
        <v>2.85</v>
      </c>
      <c r="H12" s="331" t="n">
        <v>3</v>
      </c>
      <c r="I12" s="331" t="n">
        <v>8</v>
      </c>
      <c r="J12" s="348" t="n">
        <v>17.5</v>
      </c>
      <c r="K12" s="348" t="n">
        <f aca="false">J12*0.85</f>
        <v>14.875</v>
      </c>
      <c r="L12" s="349" t="n">
        <f aca="false">K12*$B$2</f>
        <v>1264.375</v>
      </c>
      <c r="M12" s="349" t="n">
        <f aca="false">L12*$M$2</f>
        <v>1896.5625</v>
      </c>
      <c r="O12" s="359" t="n">
        <v>2406</v>
      </c>
      <c r="P12" s="366" t="s">
        <v>364</v>
      </c>
      <c r="Q12" s="352"/>
      <c r="R12" s="353"/>
      <c r="S12" s="359" t="n">
        <v>7525</v>
      </c>
      <c r="T12" s="367"/>
      <c r="U12" s="363"/>
    </row>
    <row r="13" customFormat="false" ht="12.8" hidden="false" customHeight="false" outlineLevel="0" collapsed="false">
      <c r="A13" s="331" t="s">
        <v>348</v>
      </c>
      <c r="B13" s="346" t="s">
        <v>362</v>
      </c>
      <c r="C13" s="347" t="n">
        <v>2261</v>
      </c>
      <c r="D13" s="331" t="str">
        <f aca="false">A13&amp;" "&amp;B13&amp;" "&amp;C13</f>
        <v>25 мм  светло-бежевый 2261</v>
      </c>
      <c r="E13" s="331" t="str">
        <f aca="false">"Жалюзи алюмин. горизонтальные "&amp;D13</f>
        <v>Жалюзи алюмин. горизонтальные 25 мм  светло-бежевый 2261</v>
      </c>
      <c r="F13" s="331" t="n">
        <v>0.46</v>
      </c>
      <c r="G13" s="331" t="n">
        <v>2.85</v>
      </c>
      <c r="H13" s="331" t="n">
        <v>3</v>
      </c>
      <c r="I13" s="331" t="n">
        <v>8</v>
      </c>
      <c r="J13" s="348" t="n">
        <v>17.5</v>
      </c>
      <c r="K13" s="348" t="n">
        <f aca="false">J13*0.85</f>
        <v>14.875</v>
      </c>
      <c r="L13" s="349" t="n">
        <f aca="false">K13*$B$2</f>
        <v>1264.375</v>
      </c>
      <c r="M13" s="349" t="n">
        <f aca="false">L13*$M$2</f>
        <v>1896.5625</v>
      </c>
      <c r="O13" s="359" t="n">
        <v>2746</v>
      </c>
      <c r="P13" s="366" t="s">
        <v>365</v>
      </c>
      <c r="Q13" s="352"/>
      <c r="R13" s="353"/>
      <c r="S13" s="359" t="n">
        <v>7528</v>
      </c>
      <c r="T13" s="367"/>
      <c r="U13" s="363"/>
    </row>
    <row r="14" customFormat="false" ht="12.8" hidden="false" customHeight="false" outlineLevel="0" collapsed="false">
      <c r="A14" s="331" t="s">
        <v>348</v>
      </c>
      <c r="B14" s="346" t="s">
        <v>364</v>
      </c>
      <c r="C14" s="347" t="n">
        <v>2406</v>
      </c>
      <c r="D14" s="331" t="str">
        <f aca="false">A14&amp;" "&amp;B14&amp;" "&amp;C14</f>
        <v>25 мм  темно-бежевый 2406</v>
      </c>
      <c r="E14" s="331" t="str">
        <f aca="false">"Жалюзи алюмин. горизонтальные "&amp;D14</f>
        <v>Жалюзи алюмин. горизонтальные 25 мм  темно-бежевый 2406</v>
      </c>
      <c r="F14" s="331" t="n">
        <v>0.46</v>
      </c>
      <c r="G14" s="331" t="n">
        <v>2.85</v>
      </c>
      <c r="H14" s="331" t="n">
        <v>3</v>
      </c>
      <c r="I14" s="331" t="n">
        <v>8</v>
      </c>
      <c r="J14" s="348" t="n">
        <v>17.5</v>
      </c>
      <c r="K14" s="348" t="n">
        <f aca="false">J14*0.85</f>
        <v>14.875</v>
      </c>
      <c r="L14" s="349" t="n">
        <f aca="false">K14*$B$2</f>
        <v>1264.375</v>
      </c>
      <c r="M14" s="349" t="n">
        <f aca="false">L14*$M$2</f>
        <v>1896.5625</v>
      </c>
      <c r="O14" s="359" t="n">
        <v>2871</v>
      </c>
      <c r="P14" s="366" t="s">
        <v>366</v>
      </c>
      <c r="Q14" s="352"/>
      <c r="R14" s="353"/>
      <c r="S14" s="358" t="n">
        <v>7536</v>
      </c>
      <c r="T14" s="367"/>
      <c r="U14" s="363"/>
    </row>
    <row r="15" customFormat="false" ht="12.8" hidden="false" customHeight="false" outlineLevel="0" collapsed="false">
      <c r="A15" s="331" t="s">
        <v>348</v>
      </c>
      <c r="B15" s="346" t="s">
        <v>365</v>
      </c>
      <c r="C15" s="347" t="n">
        <v>2746</v>
      </c>
      <c r="D15" s="331" t="str">
        <f aca="false">A15&amp;" "&amp;B15&amp;" "&amp;C15</f>
        <v>25 мм  шоколад 2746</v>
      </c>
      <c r="E15" s="331" t="str">
        <f aca="false">"Жалюзи алюмин. горизонтальные "&amp;D15</f>
        <v>Жалюзи алюмин. горизонтальные 25 мм  шоколад 2746</v>
      </c>
      <c r="F15" s="331" t="n">
        <v>0.46</v>
      </c>
      <c r="G15" s="331" t="n">
        <v>2.85</v>
      </c>
      <c r="H15" s="331" t="n">
        <v>3</v>
      </c>
      <c r="I15" s="331" t="n">
        <v>8</v>
      </c>
      <c r="J15" s="348" t="n">
        <v>17.5</v>
      </c>
      <c r="K15" s="348" t="n">
        <f aca="false">J15*0.85</f>
        <v>14.875</v>
      </c>
      <c r="L15" s="349" t="n">
        <f aca="false">K15*$B$2</f>
        <v>1264.375</v>
      </c>
      <c r="M15" s="349" t="n">
        <f aca="false">L15*$M$2</f>
        <v>1896.5625</v>
      </c>
      <c r="O15" s="359" t="n">
        <v>3144</v>
      </c>
      <c r="P15" s="364" t="s">
        <v>367</v>
      </c>
      <c r="Q15" s="352"/>
      <c r="R15" s="353"/>
      <c r="S15" s="354" t="n">
        <v>9013</v>
      </c>
      <c r="T15" s="368" t="s">
        <v>368</v>
      </c>
      <c r="U15" s="369" t="n">
        <v>19.55</v>
      </c>
    </row>
    <row r="16" customFormat="false" ht="12.8" hidden="false" customHeight="false" outlineLevel="0" collapsed="false">
      <c r="A16" s="331" t="s">
        <v>348</v>
      </c>
      <c r="B16" s="346" t="s">
        <v>366</v>
      </c>
      <c r="C16" s="347" t="n">
        <v>2871</v>
      </c>
      <c r="D16" s="331" t="str">
        <f aca="false">A16&amp;" "&amp;B16&amp;" "&amp;C16</f>
        <v>25 мм  коричневый 2871</v>
      </c>
      <c r="E16" s="331" t="str">
        <f aca="false">"Жалюзи алюмин. горизонтальные "&amp;D16</f>
        <v>Жалюзи алюмин. горизонтальные 25 мм  коричневый 2871</v>
      </c>
      <c r="F16" s="331" t="n">
        <v>0.46</v>
      </c>
      <c r="G16" s="331" t="n">
        <v>2.85</v>
      </c>
      <c r="H16" s="331" t="n">
        <v>3</v>
      </c>
      <c r="I16" s="331" t="n">
        <v>8</v>
      </c>
      <c r="J16" s="348" t="n">
        <v>17.5</v>
      </c>
      <c r="K16" s="348" t="n">
        <f aca="false">J16*0.85</f>
        <v>14.875</v>
      </c>
      <c r="L16" s="349" t="n">
        <f aca="false">K16*$B$2</f>
        <v>1264.375</v>
      </c>
      <c r="M16" s="349" t="n">
        <f aca="false">L16*$M$2</f>
        <v>1896.5625</v>
      </c>
      <c r="O16" s="359" t="n">
        <v>3204</v>
      </c>
      <c r="P16" s="366" t="s">
        <v>369</v>
      </c>
      <c r="Q16" s="352"/>
      <c r="R16" s="370"/>
      <c r="S16" s="359" t="n">
        <v>9018</v>
      </c>
      <c r="T16" s="368"/>
      <c r="U16" s="369"/>
    </row>
    <row r="17" customFormat="false" ht="12.8" hidden="false" customHeight="false" outlineLevel="0" collapsed="false">
      <c r="A17" s="331" t="s">
        <v>348</v>
      </c>
      <c r="B17" s="346" t="s">
        <v>367</v>
      </c>
      <c r="C17" s="347" t="n">
        <v>3144</v>
      </c>
      <c r="D17" s="331" t="str">
        <f aca="false">A17&amp;" "&amp;B17&amp;" "&amp;C17</f>
        <v>25 мм  ваниль 3144</v>
      </c>
      <c r="E17" s="331" t="str">
        <f aca="false">"Жалюзи алюмин. горизонтальные "&amp;D17</f>
        <v>Жалюзи алюмин. горизонтальные 25 мм  ваниль 3144</v>
      </c>
      <c r="F17" s="331" t="n">
        <v>0.46</v>
      </c>
      <c r="G17" s="331" t="n">
        <v>2.85</v>
      </c>
      <c r="H17" s="331" t="n">
        <v>3</v>
      </c>
      <c r="I17" s="331" t="n">
        <v>8</v>
      </c>
      <c r="J17" s="348" t="n">
        <v>17.5</v>
      </c>
      <c r="K17" s="348" t="n">
        <f aca="false">J17*0.85</f>
        <v>14.875</v>
      </c>
      <c r="L17" s="349" t="n">
        <f aca="false">K17*$B$2</f>
        <v>1264.375</v>
      </c>
      <c r="M17" s="349" t="n">
        <f aca="false">L17*$M$2</f>
        <v>1896.5625</v>
      </c>
      <c r="O17" s="359" t="n">
        <v>3209</v>
      </c>
      <c r="P17" s="366" t="s">
        <v>370</v>
      </c>
      <c r="Q17" s="352"/>
      <c r="R17" s="370"/>
      <c r="S17" s="358" t="n">
        <v>9035</v>
      </c>
      <c r="T17" s="368"/>
      <c r="U17" s="369"/>
    </row>
    <row r="18" customFormat="false" ht="12.8" hidden="false" customHeight="false" outlineLevel="0" collapsed="false">
      <c r="A18" s="331" t="s">
        <v>348</v>
      </c>
      <c r="B18" s="346" t="s">
        <v>369</v>
      </c>
      <c r="C18" s="347" t="n">
        <v>3204</v>
      </c>
      <c r="D18" s="331" t="str">
        <f aca="false">A18&amp;" "&amp;B18&amp;" "&amp;C18</f>
        <v>25 мм  желтый 3204</v>
      </c>
      <c r="E18" s="331" t="str">
        <f aca="false">"Жалюзи алюмин. горизонтальные "&amp;D18</f>
        <v>Жалюзи алюмин. горизонтальные 25 мм  желтый 3204</v>
      </c>
      <c r="F18" s="331" t="n">
        <v>0.46</v>
      </c>
      <c r="G18" s="331" t="n">
        <v>2.85</v>
      </c>
      <c r="H18" s="331" t="n">
        <v>3</v>
      </c>
      <c r="I18" s="331" t="n">
        <v>8</v>
      </c>
      <c r="J18" s="348" t="n">
        <v>17.5</v>
      </c>
      <c r="K18" s="348" t="n">
        <f aca="false">J18*0.85</f>
        <v>14.875</v>
      </c>
      <c r="L18" s="349" t="n">
        <f aca="false">K18*$B$2</f>
        <v>1264.375</v>
      </c>
      <c r="M18" s="349" t="n">
        <f aca="false">L18*$M$2</f>
        <v>1896.5625</v>
      </c>
      <c r="O18" s="359" t="n">
        <v>3458</v>
      </c>
      <c r="P18" s="364" t="s">
        <v>371</v>
      </c>
      <c r="Q18" s="352"/>
      <c r="R18" s="370"/>
      <c r="S18" s="354" t="n">
        <v>7718</v>
      </c>
      <c r="T18" s="368" t="s">
        <v>372</v>
      </c>
      <c r="U18" s="369" t="n">
        <v>31.21</v>
      </c>
    </row>
    <row r="19" customFormat="false" ht="12.8" hidden="false" customHeight="false" outlineLevel="0" collapsed="false">
      <c r="A19" s="331" t="s">
        <v>348</v>
      </c>
      <c r="B19" s="346" t="s">
        <v>370</v>
      </c>
      <c r="C19" s="347" t="n">
        <v>3209</v>
      </c>
      <c r="D19" s="331" t="str">
        <f aca="false">A19&amp;" "&amp;B19&amp;" "&amp;C19</f>
        <v>25 мм  лимонный 3209</v>
      </c>
      <c r="E19" s="331" t="str">
        <f aca="false">"Жалюзи алюмин. горизонтальные "&amp;D19</f>
        <v>Жалюзи алюмин. горизонтальные 25 мм  лимонный 3209</v>
      </c>
      <c r="F19" s="331" t="n">
        <v>0.46</v>
      </c>
      <c r="G19" s="331" t="n">
        <v>2.85</v>
      </c>
      <c r="H19" s="331" t="n">
        <v>3</v>
      </c>
      <c r="I19" s="331" t="n">
        <v>8</v>
      </c>
      <c r="J19" s="348" t="n">
        <v>17.5</v>
      </c>
      <c r="K19" s="348" t="n">
        <f aca="false">J19*0.85</f>
        <v>14.875</v>
      </c>
      <c r="L19" s="349" t="n">
        <f aca="false">K19*$B$2</f>
        <v>1264.375</v>
      </c>
      <c r="M19" s="349" t="n">
        <f aca="false">L19*$M$2</f>
        <v>1896.5625</v>
      </c>
      <c r="O19" s="359" t="n">
        <v>3499</v>
      </c>
      <c r="P19" s="364"/>
      <c r="Q19" s="352"/>
      <c r="R19" s="370"/>
      <c r="S19" s="359" t="n">
        <v>7722</v>
      </c>
      <c r="T19" s="368"/>
      <c r="U19" s="369"/>
    </row>
    <row r="20" customFormat="false" ht="12.8" hidden="false" customHeight="false" outlineLevel="0" collapsed="false">
      <c r="A20" s="331" t="s">
        <v>348</v>
      </c>
      <c r="B20" s="346" t="s">
        <v>371</v>
      </c>
      <c r="C20" s="347" t="n">
        <v>3458</v>
      </c>
      <c r="D20" s="331" t="str">
        <f aca="false">A20&amp;" "&amp;B20&amp;" "&amp;C20</f>
        <v>25 мм  дюна 3458</v>
      </c>
      <c r="E20" s="331" t="str">
        <f aca="false">"Жалюзи алюмин. горизонтальные "&amp;D20</f>
        <v>Жалюзи алюмин. горизонтальные 25 мм  дюна 3458</v>
      </c>
      <c r="F20" s="331" t="n">
        <v>0.46</v>
      </c>
      <c r="G20" s="331" t="n">
        <v>2.85</v>
      </c>
      <c r="H20" s="331" t="n">
        <v>3</v>
      </c>
      <c r="I20" s="331" t="n">
        <v>8</v>
      </c>
      <c r="J20" s="348" t="n">
        <v>17.5</v>
      </c>
      <c r="K20" s="348" t="n">
        <f aca="false">J20*0.85</f>
        <v>14.875</v>
      </c>
      <c r="L20" s="349" t="n">
        <f aca="false">K20*$B$2</f>
        <v>1264.375</v>
      </c>
      <c r="M20" s="349" t="n">
        <f aca="false">L20*$M$2</f>
        <v>1896.5625</v>
      </c>
      <c r="O20" s="359" t="n">
        <v>4059</v>
      </c>
      <c r="P20" s="364" t="s">
        <v>373</v>
      </c>
      <c r="Q20" s="352"/>
      <c r="R20" s="353"/>
      <c r="S20" s="358" t="n">
        <v>7734</v>
      </c>
      <c r="T20" s="368"/>
      <c r="U20" s="369"/>
    </row>
    <row r="21" customFormat="false" ht="12.8" hidden="false" customHeight="false" outlineLevel="0" collapsed="false">
      <c r="A21" s="331" t="s">
        <v>348</v>
      </c>
      <c r="B21" s="346" t="s">
        <v>373</v>
      </c>
      <c r="C21" s="347" t="n">
        <v>4059</v>
      </c>
      <c r="D21" s="331" t="str">
        <f aca="false">A21&amp;" "&amp;B21&amp;" "&amp;C21</f>
        <v>25 мм  кремово-розовый 4059</v>
      </c>
      <c r="E21" s="331" t="str">
        <f aca="false">"Жалюзи алюмин. горизонтальные "&amp;D21</f>
        <v>Жалюзи алюмин. горизонтальные 25 мм  кремово-розовый 4059</v>
      </c>
      <c r="F21" s="331" t="n">
        <v>0.46</v>
      </c>
      <c r="G21" s="331" t="n">
        <v>2.85</v>
      </c>
      <c r="H21" s="331" t="n">
        <v>3</v>
      </c>
      <c r="I21" s="331" t="n">
        <v>8</v>
      </c>
      <c r="J21" s="348" t="n">
        <v>17.5</v>
      </c>
      <c r="K21" s="348" t="n">
        <f aca="false">J21*0.85</f>
        <v>14.875</v>
      </c>
      <c r="L21" s="349" t="n">
        <f aca="false">K21*$B$2</f>
        <v>1264.375</v>
      </c>
      <c r="M21" s="349" t="n">
        <f aca="false">L21*$M$2</f>
        <v>1896.5625</v>
      </c>
      <c r="O21" s="359" t="n">
        <v>4063</v>
      </c>
      <c r="P21" s="366" t="s">
        <v>374</v>
      </c>
      <c r="Q21" s="352"/>
      <c r="R21" s="342"/>
      <c r="S21" s="371" t="n">
        <v>7754</v>
      </c>
      <c r="T21" s="372" t="s">
        <v>375</v>
      </c>
      <c r="U21" s="369" t="n">
        <v>25.14</v>
      </c>
    </row>
    <row r="22" customFormat="false" ht="12.8" hidden="false" customHeight="false" outlineLevel="0" collapsed="false">
      <c r="A22" s="331" t="s">
        <v>348</v>
      </c>
      <c r="B22" s="346" t="s">
        <v>374</v>
      </c>
      <c r="C22" s="347" t="n">
        <v>4063</v>
      </c>
      <c r="D22" s="331" t="str">
        <f aca="false">A22&amp;" "&amp;B22&amp;" "&amp;C22</f>
        <v>25 мм  персиковый 4063</v>
      </c>
      <c r="E22" s="331" t="str">
        <f aca="false">"Жалюзи алюмин. горизонтальные "&amp;D22</f>
        <v>Жалюзи алюмин. горизонтальные 25 мм  персиковый 4063</v>
      </c>
      <c r="F22" s="331" t="n">
        <v>0.46</v>
      </c>
      <c r="G22" s="331" t="n">
        <v>2.85</v>
      </c>
      <c r="H22" s="331" t="n">
        <v>3</v>
      </c>
      <c r="I22" s="331" t="n">
        <v>8</v>
      </c>
      <c r="J22" s="348" t="n">
        <v>17.5</v>
      </c>
      <c r="K22" s="348" t="n">
        <f aca="false">J22*0.85</f>
        <v>14.875</v>
      </c>
      <c r="L22" s="349" t="n">
        <f aca="false">K22*$B$2</f>
        <v>1264.375</v>
      </c>
      <c r="M22" s="349" t="n">
        <f aca="false">L22*$M$2</f>
        <v>1896.5625</v>
      </c>
      <c r="O22" s="359" t="n">
        <v>4077</v>
      </c>
      <c r="P22" s="366" t="s">
        <v>376</v>
      </c>
      <c r="Q22" s="352"/>
      <c r="R22" s="342"/>
      <c r="S22" s="373" t="s">
        <v>377</v>
      </c>
      <c r="T22" s="373"/>
      <c r="U22" s="373"/>
    </row>
    <row r="23" customFormat="false" ht="12.8" hidden="false" customHeight="false" outlineLevel="0" collapsed="false">
      <c r="A23" s="331" t="s">
        <v>348</v>
      </c>
      <c r="B23" s="346" t="s">
        <v>376</v>
      </c>
      <c r="C23" s="347" t="n">
        <v>4077</v>
      </c>
      <c r="D23" s="331" t="str">
        <f aca="false">A23&amp;" "&amp;B23&amp;" "&amp;C23</f>
        <v>25 мм  красный 4077</v>
      </c>
      <c r="E23" s="331" t="str">
        <f aca="false">"Жалюзи алюмин. горизонтальные "&amp;D23</f>
        <v>Жалюзи алюмин. горизонтальные 25 мм  красный 4077</v>
      </c>
      <c r="F23" s="331" t="n">
        <v>0.46</v>
      </c>
      <c r="G23" s="331" t="n">
        <v>2.85</v>
      </c>
      <c r="H23" s="331" t="n">
        <v>3</v>
      </c>
      <c r="I23" s="331" t="n">
        <v>8</v>
      </c>
      <c r="J23" s="348" t="n">
        <v>17.5</v>
      </c>
      <c r="K23" s="348" t="n">
        <f aca="false">J23*0.85</f>
        <v>14.875</v>
      </c>
      <c r="L23" s="349" t="n">
        <f aca="false">K23*$B$2</f>
        <v>1264.375</v>
      </c>
      <c r="M23" s="349" t="n">
        <f aca="false">L23*$M$2</f>
        <v>1896.5625</v>
      </c>
      <c r="O23" s="359" t="n">
        <v>4082</v>
      </c>
      <c r="P23" s="366" t="s">
        <v>378</v>
      </c>
      <c r="Q23" s="352"/>
      <c r="R23" s="342"/>
      <c r="S23" s="374" t="s">
        <v>379</v>
      </c>
      <c r="T23" s="375" t="s">
        <v>380</v>
      </c>
      <c r="U23" s="369" t="n">
        <v>22.64</v>
      </c>
    </row>
    <row r="24" customFormat="false" ht="12.8" hidden="false" customHeight="false" outlineLevel="0" collapsed="false">
      <c r="A24" s="331" t="s">
        <v>348</v>
      </c>
      <c r="B24" s="346" t="s">
        <v>378</v>
      </c>
      <c r="C24" s="347" t="n">
        <v>4082</v>
      </c>
      <c r="D24" s="331" t="str">
        <f aca="false">A24&amp;" "&amp;B24&amp;" "&amp;C24</f>
        <v>25 мм  светло-розовый 4082</v>
      </c>
      <c r="E24" s="331" t="str">
        <f aca="false">"Жалюзи алюмин. горизонтальные "&amp;D24</f>
        <v>Жалюзи алюмин. горизонтальные 25 мм  светло-розовый 4082</v>
      </c>
      <c r="F24" s="331" t="n">
        <v>0.46</v>
      </c>
      <c r="G24" s="331" t="n">
        <v>2.85</v>
      </c>
      <c r="H24" s="331" t="n">
        <v>3</v>
      </c>
      <c r="I24" s="331" t="n">
        <v>8</v>
      </c>
      <c r="J24" s="348" t="n">
        <v>17.5</v>
      </c>
      <c r="K24" s="348" t="n">
        <f aca="false">J24*0.85</f>
        <v>14.875</v>
      </c>
      <c r="L24" s="349" t="n">
        <f aca="false">K24*$B$2</f>
        <v>1264.375</v>
      </c>
      <c r="M24" s="349" t="n">
        <f aca="false">L24*$M$2</f>
        <v>1896.5625</v>
      </c>
      <c r="O24" s="359" t="n">
        <v>4096</v>
      </c>
      <c r="P24" s="364"/>
      <c r="Q24" s="352"/>
      <c r="R24" s="342"/>
      <c r="S24" s="376" t="n">
        <v>1606</v>
      </c>
      <c r="T24" s="377" t="s">
        <v>354</v>
      </c>
      <c r="U24" s="369"/>
    </row>
    <row r="25" customFormat="false" ht="12.8" hidden="false" customHeight="false" outlineLevel="0" collapsed="false">
      <c r="A25" s="331" t="s">
        <v>348</v>
      </c>
      <c r="B25" s="346" t="s">
        <v>381</v>
      </c>
      <c r="C25" s="347" t="n">
        <v>4158</v>
      </c>
      <c r="D25" s="331" t="str">
        <f aca="false">A25&amp;" "&amp;B25&amp;" "&amp;C25</f>
        <v>25 мм  розовый 4158</v>
      </c>
      <c r="E25" s="331" t="str">
        <f aca="false">"Жалюзи алюмин. горизонтальные "&amp;D25</f>
        <v>Жалюзи алюмин. горизонтальные 25 мм  розовый 4158</v>
      </c>
      <c r="F25" s="331" t="n">
        <v>0.46</v>
      </c>
      <c r="G25" s="331" t="n">
        <v>2.85</v>
      </c>
      <c r="H25" s="331" t="n">
        <v>3</v>
      </c>
      <c r="I25" s="331" t="n">
        <v>8</v>
      </c>
      <c r="J25" s="348" t="n">
        <v>17.5</v>
      </c>
      <c r="K25" s="348" t="n">
        <f aca="false">J25*0.85</f>
        <v>14.875</v>
      </c>
      <c r="L25" s="349" t="n">
        <f aca="false">K25*$B$2</f>
        <v>1264.375</v>
      </c>
      <c r="M25" s="349" t="n">
        <f aca="false">L25*$M$2</f>
        <v>1896.5625</v>
      </c>
      <c r="O25" s="359" t="n">
        <v>4158</v>
      </c>
      <c r="P25" s="364" t="s">
        <v>381</v>
      </c>
      <c r="Q25" s="352"/>
      <c r="R25" s="342"/>
      <c r="S25" s="376" t="n">
        <v>2261</v>
      </c>
      <c r="T25" s="377" t="s">
        <v>362</v>
      </c>
      <c r="U25" s="369"/>
    </row>
    <row r="26" customFormat="false" ht="12.8" hidden="false" customHeight="false" outlineLevel="0" collapsed="false">
      <c r="A26" s="331" t="s">
        <v>348</v>
      </c>
      <c r="B26" s="346" t="s">
        <v>382</v>
      </c>
      <c r="C26" s="347" t="n">
        <v>4261</v>
      </c>
      <c r="D26" s="331" t="str">
        <f aca="false">A26&amp;" "&amp;B26&amp;" "&amp;C26</f>
        <v>25 мм  абрикосовый 4261</v>
      </c>
      <c r="E26" s="331" t="str">
        <f aca="false">"Жалюзи алюмин. горизонтальные "&amp;D26</f>
        <v>Жалюзи алюмин. горизонтальные 25 мм  абрикосовый 4261</v>
      </c>
      <c r="F26" s="331" t="n">
        <v>0.46</v>
      </c>
      <c r="G26" s="331" t="n">
        <v>2.85</v>
      </c>
      <c r="H26" s="331" t="n">
        <v>3</v>
      </c>
      <c r="I26" s="331" t="n">
        <v>8</v>
      </c>
      <c r="J26" s="348" t="n">
        <v>17.5</v>
      </c>
      <c r="K26" s="348" t="n">
        <f aca="false">J26*0.85</f>
        <v>14.875</v>
      </c>
      <c r="L26" s="349" t="n">
        <f aca="false">K26*$B$2</f>
        <v>1264.375</v>
      </c>
      <c r="M26" s="349" t="n">
        <f aca="false">L26*$M$2</f>
        <v>1896.5625</v>
      </c>
      <c r="O26" s="359" t="n">
        <v>4201</v>
      </c>
      <c r="P26" s="364"/>
      <c r="Q26" s="352"/>
      <c r="R26" s="342"/>
      <c r="S26" s="376" t="n">
        <v>4063</v>
      </c>
      <c r="T26" s="377" t="s">
        <v>374</v>
      </c>
      <c r="U26" s="369"/>
    </row>
    <row r="27" customFormat="false" ht="12.8" hidden="false" customHeight="false" outlineLevel="0" collapsed="false">
      <c r="A27" s="331" t="s">
        <v>348</v>
      </c>
      <c r="B27" s="346" t="s">
        <v>383</v>
      </c>
      <c r="C27" s="347" t="n">
        <v>4301</v>
      </c>
      <c r="D27" s="331" t="str">
        <f aca="false">A27&amp;" "&amp;B27&amp;" "&amp;C27</f>
        <v>25 мм  темно-абрикосовый 4301</v>
      </c>
      <c r="E27" s="331" t="str">
        <f aca="false">"Жалюзи алюмин. горизонтальные "&amp;D27</f>
        <v>Жалюзи алюмин. горизонтальные 25 мм  темно-абрикосовый 4301</v>
      </c>
      <c r="F27" s="331" t="n">
        <v>0.46</v>
      </c>
      <c r="G27" s="331" t="n">
        <v>2.85</v>
      </c>
      <c r="H27" s="331" t="n">
        <v>3</v>
      </c>
      <c r="I27" s="331" t="n">
        <v>8</v>
      </c>
      <c r="J27" s="348" t="n">
        <v>17.5</v>
      </c>
      <c r="K27" s="348" t="n">
        <f aca="false">J27*0.85</f>
        <v>14.875</v>
      </c>
      <c r="L27" s="349" t="n">
        <f aca="false">K27*$B$2</f>
        <v>1264.375</v>
      </c>
      <c r="M27" s="349" t="n">
        <f aca="false">L27*$M$2</f>
        <v>1896.5625</v>
      </c>
      <c r="O27" s="359" t="n">
        <v>4261</v>
      </c>
      <c r="P27" s="366" t="s">
        <v>382</v>
      </c>
      <c r="Q27" s="352"/>
      <c r="R27" s="342"/>
      <c r="S27" s="378" t="n">
        <v>7013</v>
      </c>
      <c r="T27" s="379" t="s">
        <v>384</v>
      </c>
      <c r="U27" s="369"/>
    </row>
    <row r="28" customFormat="false" ht="12.8" hidden="false" customHeight="false" outlineLevel="0" collapsed="false">
      <c r="A28" s="331" t="s">
        <v>348</v>
      </c>
      <c r="B28" s="346" t="s">
        <v>385</v>
      </c>
      <c r="C28" s="347" t="n">
        <v>4858</v>
      </c>
      <c r="D28" s="331" t="str">
        <f aca="false">A28&amp;" "&amp;B28&amp;" "&amp;C28</f>
        <v>25 мм  темно-лиловый 4858</v>
      </c>
      <c r="E28" s="331" t="str">
        <f aca="false">"Жалюзи алюмин. горизонтальные "&amp;D28</f>
        <v>Жалюзи алюмин. горизонтальные 25 мм  темно-лиловый 4858</v>
      </c>
      <c r="F28" s="331" t="n">
        <v>0.46</v>
      </c>
      <c r="G28" s="331" t="n">
        <v>2.85</v>
      </c>
      <c r="H28" s="331" t="n">
        <v>3</v>
      </c>
      <c r="I28" s="331" t="n">
        <v>8</v>
      </c>
      <c r="J28" s="348" t="n">
        <v>17.5</v>
      </c>
      <c r="K28" s="348" t="n">
        <f aca="false">J28*0.85</f>
        <v>14.875</v>
      </c>
      <c r="L28" s="349" t="n">
        <f aca="false">K28*$B$2</f>
        <v>1264.375</v>
      </c>
      <c r="M28" s="349" t="n">
        <f aca="false">L28*$M$2</f>
        <v>1896.5625</v>
      </c>
      <c r="O28" s="359" t="n">
        <v>4301</v>
      </c>
      <c r="P28" s="364" t="s">
        <v>383</v>
      </c>
      <c r="Q28" s="352"/>
      <c r="R28" s="342"/>
      <c r="S28" s="373" t="s">
        <v>386</v>
      </c>
      <c r="T28" s="373"/>
      <c r="U28" s="373"/>
    </row>
    <row r="29" customFormat="false" ht="12.8" hidden="false" customHeight="false" outlineLevel="0" collapsed="false">
      <c r="A29" s="331" t="s">
        <v>348</v>
      </c>
      <c r="B29" s="346" t="s">
        <v>387</v>
      </c>
      <c r="C29" s="347" t="n">
        <v>4967</v>
      </c>
      <c r="D29" s="331" t="str">
        <f aca="false">A29&amp;" "&amp;B29&amp;" "&amp;C29</f>
        <v>25 мм  лиловый 4967</v>
      </c>
      <c r="E29" s="331" t="str">
        <f aca="false">"Жалюзи алюмин. горизонтальные "&amp;D29</f>
        <v>Жалюзи алюмин. горизонтальные 25 мм  лиловый 4967</v>
      </c>
      <c r="F29" s="331" t="n">
        <v>0.46</v>
      </c>
      <c r="G29" s="331" t="n">
        <v>2.85</v>
      </c>
      <c r="H29" s="331" t="n">
        <v>3</v>
      </c>
      <c r="I29" s="331" t="n">
        <v>8</v>
      </c>
      <c r="J29" s="348" t="n">
        <v>17.5</v>
      </c>
      <c r="K29" s="348" t="n">
        <f aca="false">J29*0.85</f>
        <v>14.875</v>
      </c>
      <c r="L29" s="349" t="n">
        <f aca="false">K29*$B$2</f>
        <v>1264.375</v>
      </c>
      <c r="M29" s="349" t="n">
        <f aca="false">L29*$M$2</f>
        <v>1896.5625</v>
      </c>
      <c r="O29" s="359" t="n">
        <v>4858</v>
      </c>
      <c r="P29" s="364" t="s">
        <v>385</v>
      </c>
      <c r="Q29" s="352"/>
      <c r="R29" s="342"/>
      <c r="S29" s="374" t="s">
        <v>388</v>
      </c>
      <c r="T29" s="375" t="s">
        <v>389</v>
      </c>
      <c r="U29" s="380" t="n">
        <v>36.48</v>
      </c>
    </row>
    <row r="30" customFormat="false" ht="12.8" hidden="false" customHeight="false" outlineLevel="0" collapsed="false">
      <c r="A30" s="331" t="s">
        <v>348</v>
      </c>
      <c r="B30" s="346" t="s">
        <v>390</v>
      </c>
      <c r="C30" s="347" t="n">
        <v>5150</v>
      </c>
      <c r="D30" s="331" t="str">
        <f aca="false">A30&amp;" "&amp;B30&amp;" "&amp;C30</f>
        <v>25 мм  светло-голубой 5150</v>
      </c>
      <c r="E30" s="331" t="str">
        <f aca="false">"Жалюзи алюмин. горизонтальные "&amp;D30</f>
        <v>Жалюзи алюмин. горизонтальные 25 мм  светло-голубой 5150</v>
      </c>
      <c r="F30" s="331" t="n">
        <v>0.46</v>
      </c>
      <c r="G30" s="331" t="n">
        <v>2.85</v>
      </c>
      <c r="H30" s="331" t="n">
        <v>3</v>
      </c>
      <c r="I30" s="331" t="n">
        <v>8</v>
      </c>
      <c r="J30" s="348" t="n">
        <v>17.5</v>
      </c>
      <c r="K30" s="348" t="n">
        <f aca="false">J30*0.85</f>
        <v>14.875</v>
      </c>
      <c r="L30" s="349" t="n">
        <f aca="false">K30*$B$2</f>
        <v>1264.375</v>
      </c>
      <c r="M30" s="349" t="n">
        <f aca="false">L30*$M$2</f>
        <v>1896.5625</v>
      </c>
      <c r="O30" s="359" t="n">
        <v>4967</v>
      </c>
      <c r="P30" s="366" t="s">
        <v>387</v>
      </c>
      <c r="Q30" s="352"/>
      <c r="R30" s="342"/>
      <c r="S30" s="378" t="s">
        <v>391</v>
      </c>
      <c r="T30" s="379" t="s">
        <v>392</v>
      </c>
      <c r="U30" s="381" t="n">
        <v>22.64</v>
      </c>
    </row>
    <row r="31" customFormat="false" ht="12.8" hidden="false" customHeight="false" outlineLevel="0" collapsed="false">
      <c r="A31" s="331" t="s">
        <v>348</v>
      </c>
      <c r="B31" s="346" t="s">
        <v>393</v>
      </c>
      <c r="C31" s="347" t="n">
        <v>5173</v>
      </c>
      <c r="D31" s="331" t="str">
        <f aca="false">A31&amp;" "&amp;B31&amp;" "&amp;C31</f>
        <v>25 мм  голубой 5173</v>
      </c>
      <c r="E31" s="331" t="str">
        <f aca="false">"Жалюзи алюмин. горизонтальные "&amp;D31</f>
        <v>Жалюзи алюмин. горизонтальные 25 мм  голубой 5173</v>
      </c>
      <c r="F31" s="331" t="n">
        <v>0.46</v>
      </c>
      <c r="G31" s="331" t="n">
        <v>2.85</v>
      </c>
      <c r="H31" s="331" t="n">
        <v>3</v>
      </c>
      <c r="I31" s="331" t="n">
        <v>8</v>
      </c>
      <c r="J31" s="348" t="n">
        <v>17.5</v>
      </c>
      <c r="K31" s="348" t="n">
        <f aca="false">J31*0.85</f>
        <v>14.875</v>
      </c>
      <c r="L31" s="349" t="n">
        <f aca="false">K31*$B$2</f>
        <v>1264.375</v>
      </c>
      <c r="M31" s="349" t="n">
        <f aca="false">L31*$M$2</f>
        <v>1896.5625</v>
      </c>
      <c r="O31" s="359" t="n">
        <v>5150</v>
      </c>
      <c r="P31" s="366" t="s">
        <v>390</v>
      </c>
      <c r="Q31" s="352"/>
      <c r="R31" s="342"/>
      <c r="S31" s="382" t="s">
        <v>394</v>
      </c>
      <c r="T31" s="382"/>
      <c r="U31" s="382"/>
    </row>
    <row r="32" customFormat="false" ht="12.8" hidden="false" customHeight="false" outlineLevel="0" collapsed="false">
      <c r="A32" s="331" t="s">
        <v>348</v>
      </c>
      <c r="B32" s="346" t="s">
        <v>395</v>
      </c>
      <c r="C32" s="347" t="n">
        <v>5259</v>
      </c>
      <c r="D32" s="331" t="str">
        <f aca="false">A32&amp;" "&amp;B32&amp;" "&amp;C32</f>
        <v>25 мм  индиго 5259</v>
      </c>
      <c r="E32" s="331" t="str">
        <f aca="false">"Жалюзи алюмин. горизонтальные "&amp;D32</f>
        <v>Жалюзи алюмин. горизонтальные 25 мм  индиго 5259</v>
      </c>
      <c r="F32" s="331" t="n">
        <v>0.46</v>
      </c>
      <c r="G32" s="331" t="n">
        <v>2.85</v>
      </c>
      <c r="H32" s="331" t="n">
        <v>3</v>
      </c>
      <c r="I32" s="331" t="n">
        <v>8</v>
      </c>
      <c r="J32" s="348" t="n">
        <v>17.5</v>
      </c>
      <c r="K32" s="348" t="n">
        <f aca="false">J32*0.85</f>
        <v>14.875</v>
      </c>
      <c r="L32" s="349" t="n">
        <f aca="false">K32*$B$2</f>
        <v>1264.375</v>
      </c>
      <c r="M32" s="349" t="n">
        <f aca="false">L32*$M$2</f>
        <v>1896.5625</v>
      </c>
      <c r="O32" s="359" t="n">
        <v>5173</v>
      </c>
      <c r="P32" s="366" t="s">
        <v>393</v>
      </c>
      <c r="Q32" s="352"/>
      <c r="R32" s="342"/>
      <c r="S32" s="383" t="s">
        <v>379</v>
      </c>
      <c r="T32" s="384" t="s">
        <v>396</v>
      </c>
      <c r="U32" s="385" t="n">
        <v>18.52</v>
      </c>
    </row>
    <row r="33" customFormat="false" ht="12.8" hidden="false" customHeight="false" outlineLevel="0" collapsed="false">
      <c r="A33" s="331" t="s">
        <v>348</v>
      </c>
      <c r="B33" s="346" t="s">
        <v>397</v>
      </c>
      <c r="C33" s="347" t="n">
        <v>5608</v>
      </c>
      <c r="D33" s="331" t="str">
        <f aca="false">A33&amp;" "&amp;B33&amp;" "&amp;C33</f>
        <v>25 мм  светло-зеленый 5608</v>
      </c>
      <c r="E33" s="331" t="str">
        <f aca="false">"Жалюзи алюмин. горизонтальные "&amp;D33</f>
        <v>Жалюзи алюмин. горизонтальные 25 мм  светло-зеленый 5608</v>
      </c>
      <c r="F33" s="331" t="n">
        <v>0.46</v>
      </c>
      <c r="G33" s="331" t="n">
        <v>2.85</v>
      </c>
      <c r="H33" s="331" t="n">
        <v>3</v>
      </c>
      <c r="I33" s="331" t="n">
        <v>8</v>
      </c>
      <c r="J33" s="348" t="n">
        <v>17.5</v>
      </c>
      <c r="K33" s="348" t="n">
        <f aca="false">J33*0.85</f>
        <v>14.875</v>
      </c>
      <c r="L33" s="349" t="n">
        <f aca="false">K33*$B$2</f>
        <v>1264.375</v>
      </c>
      <c r="M33" s="349" t="n">
        <f aca="false">L33*$M$2</f>
        <v>1896.5625</v>
      </c>
      <c r="O33" s="359" t="n">
        <v>5259</v>
      </c>
      <c r="P33" s="366" t="s">
        <v>395</v>
      </c>
      <c r="Q33" s="352"/>
      <c r="R33" s="386"/>
      <c r="S33" s="387" t="n">
        <v>1606</v>
      </c>
      <c r="T33" s="388" t="s">
        <v>354</v>
      </c>
      <c r="U33" s="385" t="n">
        <v>21.08</v>
      </c>
    </row>
    <row r="34" customFormat="false" ht="12.8" hidden="false" customHeight="false" outlineLevel="0" collapsed="false">
      <c r="A34" s="331" t="s">
        <v>348</v>
      </c>
      <c r="B34" s="346"/>
      <c r="C34" s="347" t="n">
        <v>5713</v>
      </c>
      <c r="D34" s="331" t="str">
        <f aca="false">A34&amp;" "&amp;B34&amp;" "&amp;C34</f>
        <v>25 мм   5713</v>
      </c>
      <c r="E34" s="331" t="str">
        <f aca="false">"Жалюзи алюмин. горизонтальные "&amp;D34</f>
        <v>Жалюзи алюмин. горизонтальные 25 мм   5713</v>
      </c>
      <c r="F34" s="331" t="n">
        <v>0.46</v>
      </c>
      <c r="G34" s="331" t="n">
        <v>2.85</v>
      </c>
      <c r="H34" s="331" t="n">
        <v>3</v>
      </c>
      <c r="I34" s="331" t="n">
        <v>8</v>
      </c>
      <c r="J34" s="348" t="n">
        <v>17.5</v>
      </c>
      <c r="K34" s="348" t="n">
        <f aca="false">J34*0.85</f>
        <v>14.875</v>
      </c>
      <c r="L34" s="349" t="n">
        <f aca="false">K34*$B$2</f>
        <v>1264.375</v>
      </c>
      <c r="M34" s="349" t="n">
        <f aca="false">L34*$M$2</f>
        <v>1896.5625</v>
      </c>
      <c r="O34" s="359" t="n">
        <v>5608</v>
      </c>
      <c r="P34" s="366" t="s">
        <v>397</v>
      </c>
      <c r="Q34" s="352"/>
      <c r="R34" s="342"/>
      <c r="S34" s="389" t="n">
        <v>2259</v>
      </c>
      <c r="T34" s="390" t="s">
        <v>361</v>
      </c>
      <c r="U34" s="385"/>
    </row>
    <row r="35" customFormat="false" ht="12.8" hidden="false" customHeight="false" outlineLevel="0" collapsed="false">
      <c r="A35" s="331" t="s">
        <v>348</v>
      </c>
      <c r="B35" s="346" t="s">
        <v>398</v>
      </c>
      <c r="C35" s="347" t="n">
        <v>5850</v>
      </c>
      <c r="D35" s="331" t="str">
        <f aca="false">A35&amp;" "&amp;B35&amp;" "&amp;C35</f>
        <v>25 мм  зеленый матовый 5850</v>
      </c>
      <c r="E35" s="331" t="str">
        <f aca="false">"Жалюзи алюмин. горизонтальные "&amp;D35</f>
        <v>Жалюзи алюмин. горизонтальные 25 мм  зеленый матовый 5850</v>
      </c>
      <c r="F35" s="331" t="n">
        <v>0.46</v>
      </c>
      <c r="G35" s="331" t="n">
        <v>2.85</v>
      </c>
      <c r="H35" s="331" t="n">
        <v>3</v>
      </c>
      <c r="I35" s="331" t="n">
        <v>8</v>
      </c>
      <c r="J35" s="348" t="n">
        <v>17.5</v>
      </c>
      <c r="K35" s="348" t="n">
        <f aca="false">J35*0.85</f>
        <v>14.875</v>
      </c>
      <c r="L35" s="349" t="n">
        <f aca="false">K35*$B$2</f>
        <v>1264.375</v>
      </c>
      <c r="M35" s="349" t="n">
        <f aca="false">L35*$M$2</f>
        <v>1896.5625</v>
      </c>
      <c r="O35" s="359" t="n">
        <v>5713</v>
      </c>
      <c r="P35" s="364"/>
      <c r="Q35" s="352"/>
      <c r="R35" s="342"/>
      <c r="S35" s="389" t="n">
        <v>2261</v>
      </c>
      <c r="T35" s="390" t="s">
        <v>362</v>
      </c>
      <c r="U35" s="385"/>
    </row>
    <row r="36" customFormat="false" ht="12.8" hidden="false" customHeight="false" outlineLevel="0" collapsed="false">
      <c r="A36" s="331" t="s">
        <v>348</v>
      </c>
      <c r="B36" s="346" t="s">
        <v>399</v>
      </c>
      <c r="C36" s="347" t="n">
        <v>5853</v>
      </c>
      <c r="D36" s="331" t="str">
        <f aca="false">A36&amp;" "&amp;B36&amp;" "&amp;C36</f>
        <v>25 мм  салатовый 5853</v>
      </c>
      <c r="E36" s="331" t="str">
        <f aca="false">"Жалюзи алюмин. горизонтальные "&amp;D36</f>
        <v>Жалюзи алюмин. горизонтальные 25 мм  салатовый 5853</v>
      </c>
      <c r="F36" s="331" t="n">
        <v>0.46</v>
      </c>
      <c r="G36" s="331" t="n">
        <v>2.85</v>
      </c>
      <c r="H36" s="331" t="n">
        <v>3</v>
      </c>
      <c r="I36" s="331" t="n">
        <v>8</v>
      </c>
      <c r="J36" s="348" t="n">
        <v>17.5</v>
      </c>
      <c r="K36" s="348" t="n">
        <f aca="false">J36*0.85</f>
        <v>14.875</v>
      </c>
      <c r="L36" s="349" t="n">
        <f aca="false">K36*$B$2</f>
        <v>1264.375</v>
      </c>
      <c r="M36" s="349" t="n">
        <f aca="false">L36*$M$2</f>
        <v>1896.5625</v>
      </c>
      <c r="O36" s="359" t="n">
        <v>5850</v>
      </c>
      <c r="P36" s="364" t="s">
        <v>398</v>
      </c>
      <c r="Q36" s="352"/>
      <c r="R36" s="342"/>
      <c r="S36" s="389" t="n">
        <v>2406</v>
      </c>
      <c r="T36" s="391" t="s">
        <v>364</v>
      </c>
      <c r="U36" s="385"/>
    </row>
    <row r="37" customFormat="false" ht="12.8" hidden="false" customHeight="false" outlineLevel="0" collapsed="false">
      <c r="A37" s="331" t="s">
        <v>348</v>
      </c>
      <c r="B37" s="346"/>
      <c r="C37" s="347" t="n">
        <v>5992</v>
      </c>
      <c r="D37" s="331" t="str">
        <f aca="false">A37&amp;" "&amp;B37&amp;" "&amp;C37</f>
        <v>25 мм   5992</v>
      </c>
      <c r="E37" s="331" t="str">
        <f aca="false">"Жалюзи алюмин. горизонтальные "&amp;D37</f>
        <v>Жалюзи алюмин. горизонтальные 25 мм   5992</v>
      </c>
      <c r="F37" s="331" t="n">
        <v>0.46</v>
      </c>
      <c r="G37" s="331" t="n">
        <v>2.85</v>
      </c>
      <c r="H37" s="331" t="n">
        <v>3</v>
      </c>
      <c r="I37" s="331" t="n">
        <v>8</v>
      </c>
      <c r="J37" s="348" t="n">
        <v>17.5</v>
      </c>
      <c r="K37" s="348" t="n">
        <f aca="false">J37*0.85</f>
        <v>14.875</v>
      </c>
      <c r="L37" s="349" t="n">
        <f aca="false">K37*$B$2</f>
        <v>1264.375</v>
      </c>
      <c r="M37" s="349" t="n">
        <f aca="false">L37*$M$2</f>
        <v>1896.5625</v>
      </c>
      <c r="O37" s="359" t="n">
        <v>5853</v>
      </c>
      <c r="P37" s="366" t="s">
        <v>399</v>
      </c>
      <c r="Q37" s="352"/>
      <c r="R37" s="342"/>
      <c r="S37" s="389" t="n">
        <v>2871</v>
      </c>
      <c r="T37" s="390" t="s">
        <v>366</v>
      </c>
      <c r="U37" s="385"/>
    </row>
    <row r="38" customFormat="false" ht="12.8" hidden="false" customHeight="false" outlineLevel="0" collapsed="false">
      <c r="A38" s="331" t="s">
        <v>348</v>
      </c>
      <c r="B38" s="346"/>
      <c r="C38" s="347"/>
      <c r="D38" s="331" t="str">
        <f aca="false">A38&amp;" "&amp;B38&amp;" "&amp;C38</f>
        <v>25 мм   </v>
      </c>
      <c r="E38" s="331" t="str">
        <f aca="false">"Жалюзи алюмин. горизонтальные "&amp;D38</f>
        <v>Жалюзи алюмин. горизонтальные 25 мм   </v>
      </c>
      <c r="F38" s="331" t="n">
        <v>0.46</v>
      </c>
      <c r="G38" s="331" t="n">
        <v>2.85</v>
      </c>
      <c r="H38" s="331" t="n">
        <v>3</v>
      </c>
      <c r="I38" s="331" t="n">
        <v>8</v>
      </c>
      <c r="J38" s="348" t="n">
        <v>17.5</v>
      </c>
      <c r="K38" s="348" t="n">
        <f aca="false">J38*0.85</f>
        <v>14.875</v>
      </c>
      <c r="L38" s="349" t="n">
        <f aca="false">K38*$B$2</f>
        <v>1264.375</v>
      </c>
      <c r="M38" s="349" t="n">
        <f aca="false">L38*$M$2</f>
        <v>1896.5625</v>
      </c>
      <c r="O38" s="392" t="n">
        <v>5992</v>
      </c>
      <c r="P38" s="393"/>
      <c r="Q38" s="352"/>
      <c r="R38" s="342"/>
      <c r="S38" s="389" t="n">
        <v>3144</v>
      </c>
      <c r="T38" s="390" t="s">
        <v>367</v>
      </c>
      <c r="U38" s="385"/>
    </row>
    <row r="39" customFormat="false" ht="12.8" hidden="false" customHeight="false" outlineLevel="0" collapsed="false">
      <c r="A39" s="331" t="s">
        <v>348</v>
      </c>
      <c r="B39" s="346" t="s">
        <v>400</v>
      </c>
      <c r="C39" s="347" t="n">
        <v>7005</v>
      </c>
      <c r="D39" s="331" t="str">
        <f aca="false">A39&amp;" "&amp;B39&amp;" "&amp;C39</f>
        <v>25 мм  металлик 7005</v>
      </c>
      <c r="E39" s="331" t="str">
        <f aca="false">"Жалюзи алюмин. горизонтальные "&amp;D39</f>
        <v>Жалюзи алюмин. горизонтальные 25 мм  металлик 7005</v>
      </c>
      <c r="F39" s="331" t="n">
        <v>0.46</v>
      </c>
      <c r="G39" s="331" t="n">
        <v>2.85</v>
      </c>
      <c r="H39" s="331" t="n">
        <v>3</v>
      </c>
      <c r="I39" s="331" t="n">
        <v>8</v>
      </c>
      <c r="J39" s="348" t="n">
        <v>18.14</v>
      </c>
      <c r="K39" s="348" t="n">
        <f aca="false">J39*0.85</f>
        <v>15.419</v>
      </c>
      <c r="L39" s="349" t="n">
        <f aca="false">K39*$B$2</f>
        <v>1310.615</v>
      </c>
      <c r="M39" s="349" t="n">
        <f aca="false">L39*$M$2</f>
        <v>1965.9225</v>
      </c>
      <c r="O39" s="354" t="n">
        <v>7005</v>
      </c>
      <c r="P39" s="357" t="s">
        <v>400</v>
      </c>
      <c r="Q39" s="352" t="n">
        <v>13.94</v>
      </c>
      <c r="R39" s="342"/>
      <c r="S39" s="389" t="n">
        <v>4063</v>
      </c>
      <c r="T39" s="390" t="s">
        <v>374</v>
      </c>
      <c r="U39" s="385"/>
    </row>
    <row r="40" customFormat="false" ht="12.8" hidden="false" customHeight="false" outlineLevel="0" collapsed="false">
      <c r="A40" s="331" t="s">
        <v>348</v>
      </c>
      <c r="B40" s="346" t="s">
        <v>384</v>
      </c>
      <c r="C40" s="347" t="n">
        <v>7013</v>
      </c>
      <c r="D40" s="331" t="str">
        <f aca="false">A40&amp;" "&amp;B40&amp;" "&amp;C40</f>
        <v>25 мм  серебро 7013</v>
      </c>
      <c r="E40" s="331" t="str">
        <f aca="false">"Жалюзи алюмин. горизонтальные "&amp;D40</f>
        <v>Жалюзи алюмин. горизонтальные 25 мм  серебро 7013</v>
      </c>
      <c r="F40" s="331" t="n">
        <v>0.46</v>
      </c>
      <c r="G40" s="331" t="n">
        <v>2.85</v>
      </c>
      <c r="H40" s="331" t="n">
        <v>3</v>
      </c>
      <c r="I40" s="331" t="n">
        <v>8</v>
      </c>
      <c r="J40" s="348" t="n">
        <v>18.14</v>
      </c>
      <c r="K40" s="348" t="n">
        <f aca="false">J40*0.85</f>
        <v>15.419</v>
      </c>
      <c r="L40" s="349" t="n">
        <f aca="false">K40*$B$2</f>
        <v>1310.615</v>
      </c>
      <c r="M40" s="349" t="n">
        <f aca="false">L40*$M$2</f>
        <v>1965.9225</v>
      </c>
      <c r="O40" s="359" t="n">
        <v>7013</v>
      </c>
      <c r="P40" s="366" t="s">
        <v>384</v>
      </c>
      <c r="Q40" s="352"/>
      <c r="R40" s="342"/>
      <c r="S40" s="389" t="n">
        <v>7005</v>
      </c>
      <c r="T40" s="390" t="s">
        <v>400</v>
      </c>
      <c r="U40" s="385"/>
    </row>
    <row r="41" customFormat="false" ht="12.8" hidden="false" customHeight="false" outlineLevel="0" collapsed="false">
      <c r="A41" s="331" t="s">
        <v>348</v>
      </c>
      <c r="B41" s="346" t="s">
        <v>401</v>
      </c>
      <c r="C41" s="347" t="n">
        <v>7120</v>
      </c>
      <c r="D41" s="331" t="str">
        <f aca="false">A41&amp;" "&amp;B41&amp;" "&amp;C41</f>
        <v>25 мм  золото 7120</v>
      </c>
      <c r="E41" s="331" t="str">
        <f aca="false">"Жалюзи алюмин. горизонтальные "&amp;D41</f>
        <v>Жалюзи алюмин. горизонтальные 25 мм  золото 7120</v>
      </c>
      <c r="F41" s="331" t="n">
        <v>0.46</v>
      </c>
      <c r="G41" s="331" t="n">
        <v>2.85</v>
      </c>
      <c r="H41" s="331" t="n">
        <v>3</v>
      </c>
      <c r="I41" s="331" t="n">
        <v>8</v>
      </c>
      <c r="J41" s="348" t="n">
        <v>18.14</v>
      </c>
      <c r="K41" s="348" t="n">
        <f aca="false">J41*0.85</f>
        <v>15.419</v>
      </c>
      <c r="L41" s="349" t="n">
        <f aca="false">K41*$B$2</f>
        <v>1310.615</v>
      </c>
      <c r="M41" s="349" t="n">
        <f aca="false">L41*$M$2</f>
        <v>1965.9225</v>
      </c>
      <c r="O41" s="359" t="n">
        <v>7120</v>
      </c>
      <c r="P41" s="364"/>
      <c r="Q41" s="352"/>
      <c r="R41" s="342"/>
      <c r="S41" s="389" t="n">
        <v>7013</v>
      </c>
      <c r="T41" s="390" t="s">
        <v>384</v>
      </c>
      <c r="U41" s="385"/>
    </row>
    <row r="42" customFormat="false" ht="12.8" hidden="false" customHeight="false" outlineLevel="0" collapsed="false">
      <c r="A42" s="331" t="s">
        <v>348</v>
      </c>
      <c r="B42" s="346" t="s">
        <v>401</v>
      </c>
      <c r="C42" s="347" t="n">
        <v>7122</v>
      </c>
      <c r="D42" s="331" t="str">
        <f aca="false">A42&amp;" "&amp;B42&amp;" "&amp;C42</f>
        <v>25 мм  золото 7122</v>
      </c>
      <c r="E42" s="331" t="str">
        <f aca="false">"Жалюзи алюмин. горизонтальные "&amp;D42</f>
        <v>Жалюзи алюмин. горизонтальные 25 мм  золото 7122</v>
      </c>
      <c r="F42" s="331" t="n">
        <v>0.46</v>
      </c>
      <c r="G42" s="331" t="n">
        <v>2.85</v>
      </c>
      <c r="H42" s="331" t="n">
        <v>3</v>
      </c>
      <c r="I42" s="331" t="n">
        <v>8</v>
      </c>
      <c r="J42" s="348" t="n">
        <v>18.14</v>
      </c>
      <c r="K42" s="348" t="n">
        <f aca="false">J42*0.85</f>
        <v>15.419</v>
      </c>
      <c r="L42" s="349" t="n">
        <f aca="false">K42*$B$2</f>
        <v>1310.615</v>
      </c>
      <c r="M42" s="349" t="n">
        <f aca="false">L42*$M$2</f>
        <v>1965.9225</v>
      </c>
      <c r="O42" s="359" t="n">
        <v>7122</v>
      </c>
      <c r="P42" s="366" t="s">
        <v>401</v>
      </c>
      <c r="Q42" s="352"/>
      <c r="R42" s="342"/>
      <c r="S42" s="389" t="n">
        <v>7122</v>
      </c>
      <c r="T42" s="391" t="s">
        <v>401</v>
      </c>
      <c r="U42" s="385"/>
    </row>
    <row r="43" customFormat="false" ht="12.8" hidden="false" customHeight="false" outlineLevel="0" collapsed="false">
      <c r="A43" s="331" t="s">
        <v>348</v>
      </c>
      <c r="B43" s="346" t="s">
        <v>402</v>
      </c>
      <c r="C43" s="347" t="n">
        <v>7125</v>
      </c>
      <c r="D43" s="331" t="str">
        <f aca="false">A43&amp;" "&amp;B43&amp;" "&amp;C43</f>
        <v>25 мм  зернистое золото 7125</v>
      </c>
      <c r="E43" s="331" t="str">
        <f aca="false">"Жалюзи алюмин. горизонтальные "&amp;D43</f>
        <v>Жалюзи алюмин. горизонтальные 25 мм  зернистое золото 7125</v>
      </c>
      <c r="F43" s="331" t="n">
        <v>0.46</v>
      </c>
      <c r="G43" s="331" t="n">
        <v>2.85</v>
      </c>
      <c r="H43" s="331" t="n">
        <v>3</v>
      </c>
      <c r="I43" s="331" t="n">
        <v>8</v>
      </c>
      <c r="J43" s="348" t="n">
        <v>18.14</v>
      </c>
      <c r="K43" s="348" t="n">
        <f aca="false">J43*0.85</f>
        <v>15.419</v>
      </c>
      <c r="L43" s="349" t="n">
        <f aca="false">K43*$B$2</f>
        <v>1310.615</v>
      </c>
      <c r="M43" s="349" t="n">
        <f aca="false">L43*$M$2</f>
        <v>1965.9225</v>
      </c>
      <c r="O43" s="359" t="n">
        <v>7125</v>
      </c>
      <c r="P43" s="364" t="s">
        <v>402</v>
      </c>
      <c r="Q43" s="352"/>
      <c r="R43" s="342"/>
      <c r="S43" s="394" t="n">
        <v>7128</v>
      </c>
      <c r="T43" s="395" t="s">
        <v>403</v>
      </c>
      <c r="U43" s="385"/>
    </row>
    <row r="44" customFormat="false" ht="12.8" hidden="false" customHeight="false" outlineLevel="0" collapsed="false">
      <c r="A44" s="331" t="s">
        <v>348</v>
      </c>
      <c r="B44" s="346" t="s">
        <v>403</v>
      </c>
      <c r="C44" s="347" t="n">
        <v>7128</v>
      </c>
      <c r="D44" s="331" t="str">
        <f aca="false">A44&amp;" "&amp;B44&amp;" "&amp;C44</f>
        <v>25 мм  красное золото 7128</v>
      </c>
      <c r="E44" s="331" t="str">
        <f aca="false">"Жалюзи алюмин. горизонтальные "&amp;D44</f>
        <v>Жалюзи алюмин. горизонтальные 25 мм  красное золото 7128</v>
      </c>
      <c r="F44" s="331" t="n">
        <v>0.46</v>
      </c>
      <c r="G44" s="331" t="n">
        <v>2.85</v>
      </c>
      <c r="H44" s="331" t="n">
        <v>3</v>
      </c>
      <c r="I44" s="331" t="n">
        <v>8</v>
      </c>
      <c r="J44" s="348" t="n">
        <v>18.14</v>
      </c>
      <c r="K44" s="348" t="n">
        <f aca="false">J44*0.85</f>
        <v>15.419</v>
      </c>
      <c r="L44" s="349" t="n">
        <f aca="false">K44*$B$2</f>
        <v>1310.615</v>
      </c>
      <c r="M44" s="349" t="n">
        <f aca="false">L44*$M$2</f>
        <v>1965.9225</v>
      </c>
      <c r="O44" s="359" t="n">
        <v>7128</v>
      </c>
      <c r="P44" s="366" t="s">
        <v>403</v>
      </c>
      <c r="Q44" s="352"/>
      <c r="R44" s="342"/>
      <c r="S44" s="387" t="n">
        <v>6012</v>
      </c>
      <c r="T44" s="396" t="s">
        <v>404</v>
      </c>
      <c r="U44" s="397" t="n">
        <v>41.31</v>
      </c>
    </row>
    <row r="45" customFormat="false" ht="12.8" hidden="false" customHeight="false" outlineLevel="0" collapsed="false">
      <c r="A45" s="331" t="s">
        <v>348</v>
      </c>
      <c r="B45" s="346" t="s">
        <v>405</v>
      </c>
      <c r="C45" s="347" t="n">
        <v>7218</v>
      </c>
      <c r="D45" s="331" t="str">
        <f aca="false">A45&amp;" "&amp;B45&amp;" "&amp;C45</f>
        <v>25 мм  металлик темно-серый 7218</v>
      </c>
      <c r="E45" s="331" t="str">
        <f aca="false">"Жалюзи алюмин. горизонтальные "&amp;D45</f>
        <v>Жалюзи алюмин. горизонтальные 25 мм  металлик темно-серый 7218</v>
      </c>
      <c r="F45" s="331" t="n">
        <v>0.46</v>
      </c>
      <c r="G45" s="331" t="n">
        <v>2.85</v>
      </c>
      <c r="H45" s="331" t="n">
        <v>3</v>
      </c>
      <c r="I45" s="331" t="n">
        <v>8</v>
      </c>
      <c r="J45" s="348" t="n">
        <v>18.14</v>
      </c>
      <c r="K45" s="348" t="n">
        <f aca="false">J45*0.85</f>
        <v>15.419</v>
      </c>
      <c r="L45" s="349" t="n">
        <f aca="false">K45*$B$2</f>
        <v>1310.615</v>
      </c>
      <c r="M45" s="349" t="n">
        <f aca="false">L45*$M$2</f>
        <v>1965.9225</v>
      </c>
      <c r="O45" s="359" t="n">
        <v>7218</v>
      </c>
      <c r="P45" s="366" t="s">
        <v>405</v>
      </c>
      <c r="Q45" s="352"/>
      <c r="R45" s="342"/>
      <c r="S45" s="394" t="n">
        <v>6013</v>
      </c>
      <c r="T45" s="398" t="s">
        <v>406</v>
      </c>
      <c r="U45" s="397"/>
    </row>
    <row r="46" customFormat="false" ht="12.8" hidden="false" customHeight="false" outlineLevel="0" collapsed="false">
      <c r="A46" s="331" t="s">
        <v>348</v>
      </c>
      <c r="B46" s="346" t="s">
        <v>407</v>
      </c>
      <c r="C46" s="347" t="n">
        <v>7255</v>
      </c>
      <c r="D46" s="331" t="str">
        <f aca="false">A46&amp;" "&amp;B46&amp;" "&amp;C46</f>
        <v>25 мм  металлик сиреневый 7255</v>
      </c>
      <c r="E46" s="331" t="str">
        <f aca="false">"Жалюзи алюмин. горизонтальные "&amp;D46</f>
        <v>Жалюзи алюмин. горизонтальные 25 мм  металлик сиреневый 7255</v>
      </c>
      <c r="F46" s="331" t="n">
        <v>0.46</v>
      </c>
      <c r="G46" s="331" t="n">
        <v>2.85</v>
      </c>
      <c r="H46" s="331" t="n">
        <v>3</v>
      </c>
      <c r="I46" s="331" t="n">
        <v>8</v>
      </c>
      <c r="J46" s="348" t="n">
        <v>18.14</v>
      </c>
      <c r="K46" s="348" t="n">
        <f aca="false">J46*0.85</f>
        <v>15.419</v>
      </c>
      <c r="L46" s="349" t="n">
        <f aca="false">K46*$B$2</f>
        <v>1310.615</v>
      </c>
      <c r="M46" s="349" t="n">
        <f aca="false">L46*$M$2</f>
        <v>1965.9225</v>
      </c>
      <c r="O46" s="359" t="n">
        <v>7255</v>
      </c>
      <c r="P46" s="366" t="s">
        <v>407</v>
      </c>
      <c r="Q46" s="352"/>
      <c r="R46" s="342"/>
      <c r="S46" s="399" t="s">
        <v>408</v>
      </c>
      <c r="T46" s="399"/>
      <c r="U46" s="399"/>
    </row>
    <row r="47" customFormat="false" ht="12.8" hidden="false" customHeight="false" outlineLevel="0" collapsed="false">
      <c r="A47" s="331" t="s">
        <v>348</v>
      </c>
      <c r="B47" s="346" t="s">
        <v>409</v>
      </c>
      <c r="C47" s="347" t="n">
        <v>7256</v>
      </c>
      <c r="D47" s="331" t="str">
        <f aca="false">A47&amp;" "&amp;B47&amp;" "&amp;C47</f>
        <v>25 мм  металлик салатовый 7256</v>
      </c>
      <c r="E47" s="331" t="str">
        <f aca="false">"Жалюзи алюмин. горизонтальные "&amp;D47</f>
        <v>Жалюзи алюмин. горизонтальные 25 мм  металлик салатовый 7256</v>
      </c>
      <c r="F47" s="331" t="n">
        <v>0.46</v>
      </c>
      <c r="G47" s="331" t="n">
        <v>2.85</v>
      </c>
      <c r="H47" s="331" t="n">
        <v>3</v>
      </c>
      <c r="I47" s="331" t="n">
        <v>8</v>
      </c>
      <c r="J47" s="348" t="n">
        <v>18.14</v>
      </c>
      <c r="K47" s="348" t="n">
        <f aca="false">J47*0.85</f>
        <v>15.419</v>
      </c>
      <c r="L47" s="349" t="n">
        <f aca="false">K47*$B$2</f>
        <v>1310.615</v>
      </c>
      <c r="M47" s="349" t="n">
        <f aca="false">L47*$M$2</f>
        <v>1965.9225</v>
      </c>
      <c r="O47" s="359" t="n">
        <v>7256</v>
      </c>
      <c r="P47" s="366" t="s">
        <v>409</v>
      </c>
      <c r="Q47" s="352"/>
      <c r="R47" s="342"/>
      <c r="S47" s="400" t="s">
        <v>394</v>
      </c>
      <c r="T47" s="400"/>
      <c r="U47" s="400"/>
    </row>
    <row r="48" customFormat="false" ht="12.8" hidden="false" customHeight="false" outlineLevel="0" collapsed="false">
      <c r="A48" s="331" t="s">
        <v>348</v>
      </c>
      <c r="B48" s="346" t="s">
        <v>410</v>
      </c>
      <c r="C48" s="347" t="n">
        <v>7257</v>
      </c>
      <c r="D48" s="331" t="str">
        <f aca="false">A48&amp;" "&amp;B48&amp;" "&amp;C48</f>
        <v>25 мм  металлик персиковый 7257</v>
      </c>
      <c r="E48" s="331" t="str">
        <f aca="false">"Жалюзи алюмин. горизонтальные "&amp;D48</f>
        <v>Жалюзи алюмин. горизонтальные 25 мм  металлик персиковый 7257</v>
      </c>
      <c r="F48" s="331" t="n">
        <v>0.46</v>
      </c>
      <c r="G48" s="331" t="n">
        <v>2.85</v>
      </c>
      <c r="H48" s="331" t="n">
        <v>3</v>
      </c>
      <c r="I48" s="331" t="n">
        <v>8</v>
      </c>
      <c r="J48" s="348" t="n">
        <v>18.14</v>
      </c>
      <c r="K48" s="348" t="n">
        <f aca="false">J48*0.85</f>
        <v>15.419</v>
      </c>
      <c r="L48" s="349" t="n">
        <f aca="false">K48*$B$2</f>
        <v>1310.615</v>
      </c>
      <c r="M48" s="349" t="n">
        <f aca="false">L48*$M$2</f>
        <v>1965.9225</v>
      </c>
      <c r="O48" s="359" t="n">
        <v>7257</v>
      </c>
      <c r="P48" s="366" t="s">
        <v>410</v>
      </c>
      <c r="Q48" s="352"/>
      <c r="R48" s="342"/>
      <c r="S48" s="401" t="n">
        <v>5173</v>
      </c>
      <c r="T48" s="402" t="s">
        <v>393</v>
      </c>
      <c r="U48" s="403" t="n">
        <v>12.56</v>
      </c>
    </row>
    <row r="49" customFormat="false" ht="12.8" hidden="false" customHeight="false" outlineLevel="0" collapsed="false">
      <c r="A49" s="331" t="s">
        <v>348</v>
      </c>
      <c r="B49" s="346" t="s">
        <v>411</v>
      </c>
      <c r="C49" s="347" t="n">
        <v>7258</v>
      </c>
      <c r="D49" s="331" t="str">
        <f aca="false">A49&amp;" "&amp;B49&amp;" "&amp;C49</f>
        <v>25 мм  металлик темно-коричневый 7258</v>
      </c>
      <c r="E49" s="331" t="str">
        <f aca="false">"Жалюзи алюмин. горизонтальные "&amp;D49</f>
        <v>Жалюзи алюмин. горизонтальные 25 мм  металлик темно-коричневый 7258</v>
      </c>
      <c r="F49" s="331" t="n">
        <v>0.46</v>
      </c>
      <c r="G49" s="331" t="n">
        <v>2.85</v>
      </c>
      <c r="H49" s="331" t="n">
        <v>3</v>
      </c>
      <c r="I49" s="331" t="n">
        <v>8</v>
      </c>
      <c r="J49" s="348" t="n">
        <v>18.14</v>
      </c>
      <c r="K49" s="348" t="n">
        <f aca="false">J49*0.85</f>
        <v>15.419</v>
      </c>
      <c r="L49" s="349" t="n">
        <f aca="false">K49*$B$2</f>
        <v>1310.615</v>
      </c>
      <c r="M49" s="349" t="n">
        <f aca="false">L49*$M$2</f>
        <v>1965.9225</v>
      </c>
      <c r="O49" s="359" t="n">
        <v>7258</v>
      </c>
      <c r="P49" s="364"/>
      <c r="Q49" s="352"/>
      <c r="R49" s="342"/>
      <c r="S49" s="389" t="n">
        <v>5608</v>
      </c>
      <c r="T49" s="404" t="s">
        <v>397</v>
      </c>
      <c r="U49" s="403"/>
    </row>
    <row r="50" customFormat="false" ht="12.8" hidden="false" customHeight="false" outlineLevel="0" collapsed="false">
      <c r="A50" s="331" t="s">
        <v>348</v>
      </c>
      <c r="B50" s="346" t="s">
        <v>412</v>
      </c>
      <c r="C50" s="347" t="n">
        <v>7259</v>
      </c>
      <c r="D50" s="331" t="str">
        <f aca="false">A50&amp;" "&amp;B50&amp;" "&amp;C50</f>
        <v>25 мм  металлик розовый 7259</v>
      </c>
      <c r="E50" s="331" t="str">
        <f aca="false">"Жалюзи алюмин. горизонтальные "&amp;D50</f>
        <v>Жалюзи алюмин. горизонтальные 25 мм  металлик розовый 7259</v>
      </c>
      <c r="F50" s="331" t="n">
        <v>0.46</v>
      </c>
      <c r="G50" s="331" t="n">
        <v>2.85</v>
      </c>
      <c r="H50" s="331" t="n">
        <v>3</v>
      </c>
      <c r="I50" s="331" t="n">
        <v>8</v>
      </c>
      <c r="J50" s="348" t="n">
        <v>18.14</v>
      </c>
      <c r="K50" s="348" t="n">
        <f aca="false">J50*0.85</f>
        <v>15.419</v>
      </c>
      <c r="L50" s="349" t="n">
        <f aca="false">K50*$B$2</f>
        <v>1310.615</v>
      </c>
      <c r="M50" s="349" t="n">
        <f aca="false">L50*$M$2</f>
        <v>1965.9225</v>
      </c>
      <c r="O50" s="359" t="n">
        <v>7259</v>
      </c>
      <c r="P50" s="364"/>
      <c r="Q50" s="352"/>
      <c r="R50" s="342"/>
      <c r="S50" s="389" t="n">
        <v>5850</v>
      </c>
      <c r="T50" s="404" t="s">
        <v>398</v>
      </c>
      <c r="U50" s="403"/>
    </row>
    <row r="51" customFormat="false" ht="12.8" hidden="false" customHeight="false" outlineLevel="0" collapsed="false">
      <c r="A51" s="331" t="s">
        <v>348</v>
      </c>
      <c r="B51" s="346" t="s">
        <v>413</v>
      </c>
      <c r="C51" s="347" t="n">
        <v>7260</v>
      </c>
      <c r="D51" s="331" t="str">
        <f aca="false">A51&amp;" "&amp;B51&amp;" "&amp;C51</f>
        <v>25 мм  металлик синий 7260</v>
      </c>
      <c r="E51" s="331" t="str">
        <f aca="false">"Жалюзи алюмин. горизонтальные "&amp;D51</f>
        <v>Жалюзи алюмин. горизонтальные 25 мм  металлик синий 7260</v>
      </c>
      <c r="F51" s="331" t="n">
        <v>0.46</v>
      </c>
      <c r="G51" s="331" t="n">
        <v>2.85</v>
      </c>
      <c r="H51" s="331" t="n">
        <v>3</v>
      </c>
      <c r="I51" s="331" t="n">
        <v>8</v>
      </c>
      <c r="J51" s="348" t="n">
        <v>18.14</v>
      </c>
      <c r="K51" s="348" t="n">
        <f aca="false">J51*0.85</f>
        <v>15.419</v>
      </c>
      <c r="L51" s="349" t="n">
        <f aca="false">K51*$B$2</f>
        <v>1310.615</v>
      </c>
      <c r="M51" s="349" t="n">
        <f aca="false">L51*$M$2</f>
        <v>1965.9225</v>
      </c>
      <c r="O51" s="359" t="n">
        <v>7260</v>
      </c>
      <c r="P51" s="364"/>
      <c r="Q51" s="352"/>
      <c r="R51" s="342"/>
      <c r="S51" s="389" t="n">
        <v>5327</v>
      </c>
      <c r="T51" s="405" t="s">
        <v>414</v>
      </c>
      <c r="U51" s="403"/>
    </row>
    <row r="52" customFormat="false" ht="12.8" hidden="false" customHeight="false" outlineLevel="0" collapsed="false">
      <c r="A52" s="331" t="s">
        <v>348</v>
      </c>
      <c r="B52" s="346" t="s">
        <v>415</v>
      </c>
      <c r="C52" s="347" t="n">
        <v>7261</v>
      </c>
      <c r="D52" s="331" t="str">
        <f aca="false">A52&amp;" "&amp;B52&amp;" "&amp;C52</f>
        <v>25 мм  металлик бежевый 7261</v>
      </c>
      <c r="E52" s="331" t="str">
        <f aca="false">"Жалюзи алюмин. горизонтальные "&amp;D52</f>
        <v>Жалюзи алюмин. горизонтальные 25 мм  металлик бежевый 7261</v>
      </c>
      <c r="F52" s="331" t="n">
        <v>0.46</v>
      </c>
      <c r="G52" s="331" t="n">
        <v>2.85</v>
      </c>
      <c r="H52" s="331" t="n">
        <v>3</v>
      </c>
      <c r="I52" s="331" t="n">
        <v>8</v>
      </c>
      <c r="J52" s="348" t="n">
        <v>18.14</v>
      </c>
      <c r="K52" s="348" t="n">
        <f aca="false">J52*0.85</f>
        <v>15.419</v>
      </c>
      <c r="L52" s="349" t="n">
        <f aca="false">K52*$B$2</f>
        <v>1310.615</v>
      </c>
      <c r="M52" s="349" t="n">
        <f aca="false">L52*$M$2</f>
        <v>1965.9225</v>
      </c>
      <c r="O52" s="359" t="n">
        <v>7261</v>
      </c>
      <c r="P52" s="364"/>
      <c r="Q52" s="352"/>
      <c r="R52" s="342"/>
      <c r="S52" s="389"/>
      <c r="T52" s="404" t="s">
        <v>399</v>
      </c>
      <c r="U52" s="403"/>
    </row>
    <row r="53" customFormat="false" ht="12.8" hidden="false" customHeight="false" outlineLevel="0" collapsed="false">
      <c r="A53" s="331" t="s">
        <v>348</v>
      </c>
      <c r="B53" s="346" t="s">
        <v>416</v>
      </c>
      <c r="C53" s="347" t="n">
        <v>7282</v>
      </c>
      <c r="D53" s="331" t="str">
        <f aca="false">A53&amp;" "&amp;B53&amp;" "&amp;C53</f>
        <v>25 мм  металлик голубой 7282</v>
      </c>
      <c r="E53" s="331" t="str">
        <f aca="false">"Жалюзи алюмин. горизонтальные "&amp;D53</f>
        <v>Жалюзи алюмин. горизонтальные 25 мм  металлик голубой 7282</v>
      </c>
      <c r="F53" s="331" t="n">
        <v>0.46</v>
      </c>
      <c r="G53" s="331" t="n">
        <v>2.85</v>
      </c>
      <c r="H53" s="331" t="n">
        <v>3</v>
      </c>
      <c r="I53" s="331" t="n">
        <v>8</v>
      </c>
      <c r="J53" s="348" t="n">
        <v>18.14</v>
      </c>
      <c r="K53" s="348" t="n">
        <f aca="false">J53*0.85</f>
        <v>15.419</v>
      </c>
      <c r="L53" s="349" t="n">
        <f aca="false">K53*$B$2</f>
        <v>1310.615</v>
      </c>
      <c r="M53" s="349" t="n">
        <f aca="false">L53*$M$2</f>
        <v>1965.9225</v>
      </c>
      <c r="O53" s="358" t="n">
        <v>7282</v>
      </c>
      <c r="P53" s="406" t="s">
        <v>416</v>
      </c>
      <c r="Q53" s="352"/>
      <c r="R53" s="342"/>
      <c r="S53" s="400" t="s">
        <v>417</v>
      </c>
      <c r="T53" s="400"/>
      <c r="U53" s="400"/>
    </row>
    <row r="54" customFormat="false" ht="12.8" hidden="false" customHeight="false" outlineLevel="0" collapsed="false">
      <c r="A54" s="331" t="s">
        <v>348</v>
      </c>
      <c r="B54" s="346" t="s">
        <v>418</v>
      </c>
      <c r="C54" s="347" t="n">
        <v>2549</v>
      </c>
      <c r="D54" s="331" t="str">
        <f aca="false">A54&amp;" "&amp;B54&amp;" "&amp;C54</f>
        <v>25 мм  чайная роза 2549</v>
      </c>
      <c r="E54" s="331" t="str">
        <f aca="false">"Жалюзи алюмин. горизонтальные "&amp;D54</f>
        <v>Жалюзи алюмин. горизонтальные 25 мм  чайная роза 2549</v>
      </c>
      <c r="F54" s="331" t="n">
        <v>0.46</v>
      </c>
      <c r="G54" s="331" t="n">
        <v>2.85</v>
      </c>
      <c r="H54" s="331" t="n">
        <v>3</v>
      </c>
      <c r="I54" s="331" t="n">
        <v>8</v>
      </c>
      <c r="J54" s="348" t="n">
        <v>25.73</v>
      </c>
      <c r="K54" s="348" t="n">
        <f aca="false">J54*0.85</f>
        <v>21.8705</v>
      </c>
      <c r="L54" s="349" t="n">
        <f aca="false">K54*$B$2</f>
        <v>1858.9925</v>
      </c>
      <c r="M54" s="349" t="n">
        <f aca="false">L54*$M$2</f>
        <v>2788.48875</v>
      </c>
      <c r="O54" s="407" t="n">
        <v>7105</v>
      </c>
      <c r="P54" s="408" t="s">
        <v>419</v>
      </c>
      <c r="Q54" s="352" t="n">
        <v>16.32</v>
      </c>
      <c r="R54" s="342"/>
      <c r="S54" s="354" t="n">
        <v>4524</v>
      </c>
      <c r="T54" s="357" t="s">
        <v>420</v>
      </c>
      <c r="U54" s="403" t="n">
        <v>9.51</v>
      </c>
    </row>
    <row r="55" customFormat="false" ht="12.8" hidden="false" customHeight="false" outlineLevel="0" collapsed="false">
      <c r="A55" s="331" t="s">
        <v>348</v>
      </c>
      <c r="B55" s="346" t="s">
        <v>421</v>
      </c>
      <c r="C55" s="347" t="s">
        <v>422</v>
      </c>
      <c r="D55" s="331" t="str">
        <f aca="false">A55&amp;" "&amp;B55&amp;" "&amp;C55</f>
        <v>25 мм  перфорация магнолия 2259п</v>
      </c>
      <c r="E55" s="331" t="str">
        <f aca="false">"Жалюзи алюмин. горизонтальные "&amp;D55</f>
        <v>Жалюзи алюмин. горизонтальные 25 мм  перфорация магнолия 2259п</v>
      </c>
      <c r="F55" s="331" t="n">
        <v>0.46</v>
      </c>
      <c r="G55" s="331" t="n">
        <v>2.85</v>
      </c>
      <c r="H55" s="331" t="n">
        <v>3</v>
      </c>
      <c r="I55" s="331" t="n">
        <v>8</v>
      </c>
      <c r="J55" s="348" t="n">
        <v>21.48</v>
      </c>
      <c r="K55" s="348" t="n">
        <f aca="false">J55*0.85</f>
        <v>18.258</v>
      </c>
      <c r="L55" s="349" t="n">
        <f aca="false">K55*$B$2</f>
        <v>1551.93</v>
      </c>
      <c r="M55" s="349" t="n">
        <f aca="false">L55*$M$2</f>
        <v>2327.895</v>
      </c>
      <c r="O55" s="350" t="n">
        <v>2549</v>
      </c>
      <c r="P55" s="351" t="s">
        <v>418</v>
      </c>
      <c r="Q55" s="352" t="n">
        <v>19.85</v>
      </c>
      <c r="R55" s="342"/>
      <c r="S55" s="359" t="n">
        <v>5880</v>
      </c>
      <c r="T55" s="364" t="s">
        <v>423</v>
      </c>
      <c r="U55" s="403"/>
    </row>
    <row r="56" customFormat="false" ht="12.8" hidden="false" customHeight="false" outlineLevel="0" collapsed="false">
      <c r="A56" s="331" t="s">
        <v>348</v>
      </c>
      <c r="B56" s="346" t="s">
        <v>424</v>
      </c>
      <c r="C56" s="347" t="s">
        <v>425</v>
      </c>
      <c r="D56" s="331" t="str">
        <f aca="false">A56&amp;" "&amp;B56&amp;" "&amp;C56</f>
        <v>25 мм  перфорация металлик 7005п</v>
      </c>
      <c r="E56" s="331" t="str">
        <f aca="false">"Жалюзи алюмин. горизонтальные "&amp;D56</f>
        <v>Жалюзи алюмин. горизонтальные 25 мм  перфорация металлик 7005п</v>
      </c>
      <c r="F56" s="331" t="n">
        <v>0.46</v>
      </c>
      <c r="G56" s="331" t="n">
        <v>2.85</v>
      </c>
      <c r="H56" s="331" t="n">
        <v>3</v>
      </c>
      <c r="I56" s="331" t="n">
        <v>8</v>
      </c>
      <c r="J56" s="348" t="n">
        <v>26.92</v>
      </c>
      <c r="K56" s="348" t="n">
        <f aca="false">J56*0.85</f>
        <v>22.882</v>
      </c>
      <c r="L56" s="349" t="n">
        <f aca="false">K56*$B$2</f>
        <v>1944.97</v>
      </c>
      <c r="M56" s="349" t="n">
        <f aca="false">L56*$M$2</f>
        <v>2917.455</v>
      </c>
      <c r="O56" s="354" t="s">
        <v>422</v>
      </c>
      <c r="P56" s="357" t="s">
        <v>421</v>
      </c>
      <c r="Q56" s="352" t="n">
        <v>20.79</v>
      </c>
      <c r="R56" s="342"/>
      <c r="S56" s="359" t="n">
        <v>9048</v>
      </c>
      <c r="T56" s="366" t="s">
        <v>426</v>
      </c>
      <c r="U56" s="403"/>
    </row>
    <row r="57" customFormat="false" ht="12.8" hidden="false" customHeight="false" outlineLevel="0" collapsed="false">
      <c r="A57" s="331" t="s">
        <v>348</v>
      </c>
      <c r="B57" s="346" t="s">
        <v>427</v>
      </c>
      <c r="C57" s="347" t="s">
        <v>428</v>
      </c>
      <c r="D57" s="331" t="str">
        <f aca="false">A57&amp;" "&amp;B57&amp;" "&amp;C57</f>
        <v>25 мм  перфорация белая 0225п</v>
      </c>
      <c r="E57" s="331" t="str">
        <f aca="false">"Жалюзи алюмин. горизонтальные "&amp;D57</f>
        <v>Жалюзи алюмин. горизонтальные 25 мм  перфорация белая 0225п</v>
      </c>
      <c r="F57" s="331" t="n">
        <v>0.46</v>
      </c>
      <c r="G57" s="331" t="n">
        <v>2.85</v>
      </c>
      <c r="H57" s="331" t="n">
        <v>3</v>
      </c>
      <c r="I57" s="331" t="n">
        <v>8</v>
      </c>
      <c r="J57" s="348" t="n">
        <v>26.92</v>
      </c>
      <c r="K57" s="348" t="n">
        <f aca="false">J57*0.85</f>
        <v>22.882</v>
      </c>
      <c r="L57" s="349" t="n">
        <f aca="false">K57*$B$2</f>
        <v>1944.97</v>
      </c>
      <c r="M57" s="349" t="n">
        <f aca="false">L57*$M$2</f>
        <v>2917.455</v>
      </c>
      <c r="O57" s="359" t="s">
        <v>425</v>
      </c>
      <c r="P57" s="366" t="s">
        <v>424</v>
      </c>
      <c r="Q57" s="352"/>
      <c r="R57" s="342"/>
      <c r="S57" s="359" t="n">
        <v>9058</v>
      </c>
      <c r="T57" s="366" t="s">
        <v>429</v>
      </c>
      <c r="U57" s="403"/>
    </row>
    <row r="58" customFormat="false" ht="12.8" hidden="false" customHeight="false" outlineLevel="0" collapsed="false">
      <c r="A58" s="331" t="s">
        <v>348</v>
      </c>
      <c r="B58" s="346" t="s">
        <v>430</v>
      </c>
      <c r="C58" s="347" t="s">
        <v>431</v>
      </c>
      <c r="D58" s="331" t="str">
        <f aca="false">A58&amp;" "&amp;B58&amp;" "&amp;C58</f>
        <v>25 мм  перфорация черный 1908п</v>
      </c>
      <c r="E58" s="331" t="str">
        <f aca="false">"Жалюзи алюмин. горизонтальные "&amp;D58</f>
        <v>Жалюзи алюмин. горизонтальные 25 мм  перфорация черный 1908п</v>
      </c>
      <c r="F58" s="331" t="n">
        <v>0.46</v>
      </c>
      <c r="G58" s="331" t="n">
        <v>2.85</v>
      </c>
      <c r="H58" s="331" t="n">
        <v>3</v>
      </c>
      <c r="I58" s="331" t="n">
        <v>8</v>
      </c>
      <c r="J58" s="348" t="n">
        <v>26.92</v>
      </c>
      <c r="K58" s="348" t="n">
        <f aca="false">J58*0.85</f>
        <v>22.882</v>
      </c>
      <c r="L58" s="349" t="n">
        <f aca="false">K58*$B$2</f>
        <v>1944.97</v>
      </c>
      <c r="M58" s="349" t="n">
        <f aca="false">L58*$M$2</f>
        <v>2917.455</v>
      </c>
      <c r="O58" s="359" t="s">
        <v>428</v>
      </c>
      <c r="P58" s="366" t="s">
        <v>427</v>
      </c>
      <c r="Q58" s="352"/>
      <c r="R58" s="342"/>
      <c r="S58" s="409"/>
      <c r="T58" s="410" t="s">
        <v>432</v>
      </c>
      <c r="U58" s="403"/>
    </row>
    <row r="59" customFormat="false" ht="12.8" hidden="false" customHeight="false" outlineLevel="0" collapsed="false">
      <c r="A59" s="331" t="s">
        <v>348</v>
      </c>
      <c r="B59" s="346" t="s">
        <v>433</v>
      </c>
      <c r="C59" s="347" t="s">
        <v>434</v>
      </c>
      <c r="D59" s="331" t="str">
        <f aca="false">A59&amp;" "&amp;B59&amp;" "&amp;C59</f>
        <v>25 мм  перфорация красное золото 7128п</v>
      </c>
      <c r="E59" s="331" t="str">
        <f aca="false">"Жалюзи алюмин. горизонтальные "&amp;D59</f>
        <v>Жалюзи алюмин. горизонтальные 25 мм  перфорация красное золото 7128п</v>
      </c>
      <c r="F59" s="331" t="n">
        <v>0.46</v>
      </c>
      <c r="G59" s="331" t="n">
        <v>2.85</v>
      </c>
      <c r="H59" s="331" t="n">
        <v>3</v>
      </c>
      <c r="I59" s="331" t="n">
        <v>8</v>
      </c>
      <c r="J59" s="348" t="n">
        <v>26.92</v>
      </c>
      <c r="K59" s="348" t="n">
        <f aca="false">J59*0.85</f>
        <v>22.882</v>
      </c>
      <c r="L59" s="349" t="n">
        <f aca="false">K59*$B$2</f>
        <v>1944.97</v>
      </c>
      <c r="M59" s="349" t="n">
        <f aca="false">L59*$M$2</f>
        <v>2917.455</v>
      </c>
      <c r="O59" s="359" t="s">
        <v>431</v>
      </c>
      <c r="P59" s="366" t="s">
        <v>430</v>
      </c>
      <c r="Q59" s="352"/>
      <c r="R59" s="342"/>
      <c r="S59" s="409"/>
      <c r="T59" s="410" t="s">
        <v>435</v>
      </c>
      <c r="U59" s="403"/>
    </row>
    <row r="60" customFormat="false" ht="12.8" hidden="false" customHeight="false" outlineLevel="0" collapsed="false">
      <c r="A60" s="331" t="s">
        <v>348</v>
      </c>
      <c r="B60" s="346" t="s">
        <v>436</v>
      </c>
      <c r="C60" s="347" t="n">
        <v>6009</v>
      </c>
      <c r="D60" s="331" t="str">
        <f aca="false">A60&amp;" "&amp;B60&amp;" "&amp;C60</f>
        <v>25 мм  белый под дерево 6009</v>
      </c>
      <c r="E60" s="331" t="str">
        <f aca="false">"Жалюзи алюмин. горизонтальные "&amp;D60</f>
        <v>Жалюзи алюмин. горизонтальные 25 мм  белый под дерево 6009</v>
      </c>
      <c r="F60" s="331" t="n">
        <v>0.46</v>
      </c>
      <c r="G60" s="331" t="n">
        <v>2.85</v>
      </c>
      <c r="H60" s="331" t="n">
        <v>3</v>
      </c>
      <c r="I60" s="331" t="n">
        <v>8</v>
      </c>
      <c r="J60" s="348" t="n">
        <v>32.79</v>
      </c>
      <c r="K60" s="348" t="n">
        <f aca="false">J60*0.85</f>
        <v>27.8715</v>
      </c>
      <c r="L60" s="349" t="n">
        <f aca="false">K60*$B$2</f>
        <v>2369.0775</v>
      </c>
      <c r="M60" s="349" t="n">
        <f aca="false">L60*$M$2</f>
        <v>3553.61625</v>
      </c>
      <c r="O60" s="358" t="s">
        <v>434</v>
      </c>
      <c r="P60" s="406" t="s">
        <v>433</v>
      </c>
      <c r="Q60" s="352"/>
      <c r="R60" s="411"/>
      <c r="S60" s="409"/>
      <c r="T60" s="410" t="s">
        <v>437</v>
      </c>
      <c r="U60" s="403"/>
    </row>
    <row r="61" customFormat="false" ht="12.8" hidden="false" customHeight="false" outlineLevel="0" collapsed="false">
      <c r="A61" s="331" t="s">
        <v>348</v>
      </c>
      <c r="B61" s="412" t="s">
        <v>438</v>
      </c>
      <c r="C61" s="413" t="n">
        <v>6010</v>
      </c>
      <c r="D61" s="331" t="str">
        <f aca="false">A61&amp;" "&amp;B61&amp;" "&amp;C61</f>
        <v>25 мм  сосна 6010</v>
      </c>
      <c r="E61" s="331" t="str">
        <f aca="false">"Жалюзи алюмин. горизонтальные "&amp;D61</f>
        <v>Жалюзи алюмин. горизонтальные 25 мм  сосна 6010</v>
      </c>
      <c r="F61" s="331" t="n">
        <v>0.46</v>
      </c>
      <c r="G61" s="331" t="n">
        <v>2.85</v>
      </c>
      <c r="H61" s="331" t="n">
        <v>3</v>
      </c>
      <c r="I61" s="331" t="n">
        <v>8</v>
      </c>
      <c r="J61" s="348" t="n">
        <v>32.79</v>
      </c>
      <c r="K61" s="348" t="n">
        <f aca="false">J61*0.85</f>
        <v>27.8715</v>
      </c>
      <c r="L61" s="349" t="n">
        <f aca="false">K61*$B$2</f>
        <v>2369.0775</v>
      </c>
      <c r="M61" s="349" t="n">
        <f aca="false">L61*$M$2</f>
        <v>3553.61625</v>
      </c>
      <c r="O61" s="354" t="n">
        <v>6009</v>
      </c>
      <c r="P61" s="357"/>
      <c r="Q61" s="352" t="n">
        <v>25.39</v>
      </c>
      <c r="R61" s="411"/>
      <c r="S61" s="414"/>
      <c r="T61" s="415" t="s">
        <v>439</v>
      </c>
      <c r="U61" s="403"/>
    </row>
    <row r="62" customFormat="false" ht="12.8" hidden="false" customHeight="false" outlineLevel="0" collapsed="false">
      <c r="A62" s="331" t="s">
        <v>348</v>
      </c>
      <c r="B62" s="346" t="s">
        <v>440</v>
      </c>
      <c r="C62" s="347" t="n">
        <v>6012</v>
      </c>
      <c r="D62" s="331" t="str">
        <f aca="false">A62&amp;" "&amp;B62&amp;" "&amp;C62</f>
        <v>25 мм  бук 6012</v>
      </c>
      <c r="E62" s="331" t="str">
        <f aca="false">"Жалюзи алюмин. горизонтальные "&amp;D62</f>
        <v>Жалюзи алюмин. горизонтальные 25 мм  бук 6012</v>
      </c>
      <c r="F62" s="331" t="n">
        <v>0.46</v>
      </c>
      <c r="G62" s="331" t="n">
        <v>2.85</v>
      </c>
      <c r="H62" s="331" t="n">
        <v>3</v>
      </c>
      <c r="I62" s="331" t="n">
        <v>8</v>
      </c>
      <c r="J62" s="348" t="n">
        <v>32.79</v>
      </c>
      <c r="K62" s="348" t="n">
        <f aca="false">J62*0.85</f>
        <v>27.8715</v>
      </c>
      <c r="L62" s="349" t="n">
        <f aca="false">K62*$B$2</f>
        <v>2369.0775</v>
      </c>
      <c r="M62" s="349" t="n">
        <f aca="false">L62*$M$2</f>
        <v>3553.61625</v>
      </c>
      <c r="O62" s="416" t="n">
        <v>6010</v>
      </c>
      <c r="P62" s="417" t="s">
        <v>438</v>
      </c>
      <c r="Q62" s="352"/>
      <c r="R62" s="411"/>
      <c r="S62" s="418"/>
      <c r="T62" s="418"/>
      <c r="U62" s="418"/>
    </row>
    <row r="63" customFormat="false" ht="12.8" hidden="false" customHeight="false" outlineLevel="0" collapsed="false">
      <c r="A63" s="331" t="s">
        <v>348</v>
      </c>
      <c r="B63" s="346" t="s">
        <v>441</v>
      </c>
      <c r="C63" s="347" t="n">
        <v>6013</v>
      </c>
      <c r="D63" s="331" t="str">
        <f aca="false">A63&amp;" "&amp;B63&amp;" "&amp;C63</f>
        <v>25 мм  дуб 6013</v>
      </c>
      <c r="E63" s="331" t="str">
        <f aca="false">"Жалюзи алюмин. горизонтальные "&amp;D63</f>
        <v>Жалюзи алюмин. горизонтальные 25 мм  дуб 6013</v>
      </c>
      <c r="F63" s="331" t="n">
        <v>0.46</v>
      </c>
      <c r="G63" s="331" t="n">
        <v>2.85</v>
      </c>
      <c r="H63" s="331" t="n">
        <v>3</v>
      </c>
      <c r="I63" s="331" t="n">
        <v>8</v>
      </c>
      <c r="J63" s="348" t="n">
        <v>32.79</v>
      </c>
      <c r="K63" s="348" t="n">
        <f aca="false">J63*0.85</f>
        <v>27.8715</v>
      </c>
      <c r="L63" s="349" t="n">
        <f aca="false">K63*$B$2</f>
        <v>2369.0775</v>
      </c>
      <c r="M63" s="349" t="n">
        <f aca="false">L63*$M$2</f>
        <v>3553.61625</v>
      </c>
      <c r="O63" s="359" t="n">
        <v>6012</v>
      </c>
      <c r="P63" s="366" t="s">
        <v>440</v>
      </c>
      <c r="Q63" s="352"/>
      <c r="R63" s="418"/>
      <c r="S63" s="418"/>
      <c r="T63" s="418"/>
      <c r="U63" s="418"/>
    </row>
    <row r="64" customFormat="false" ht="12.8" hidden="false" customHeight="false" outlineLevel="0" collapsed="false">
      <c r="A64" s="331" t="s">
        <v>348</v>
      </c>
      <c r="B64" s="346" t="s">
        <v>442</v>
      </c>
      <c r="C64" s="347" t="n">
        <v>6014</v>
      </c>
      <c r="D64" s="331" t="str">
        <f aca="false">A64&amp;" "&amp;B64&amp;" "&amp;C64</f>
        <v>25 мм  орех 6014</v>
      </c>
      <c r="E64" s="331" t="str">
        <f aca="false">"Жалюзи алюмин. горизонтальные "&amp;D64</f>
        <v>Жалюзи алюмин. горизонтальные 25 мм  орех 6014</v>
      </c>
      <c r="F64" s="331" t="n">
        <v>0.46</v>
      </c>
      <c r="G64" s="331" t="n">
        <v>2.85</v>
      </c>
      <c r="H64" s="331" t="n">
        <v>3</v>
      </c>
      <c r="I64" s="331" t="n">
        <v>8</v>
      </c>
      <c r="J64" s="348" t="n">
        <v>32.79</v>
      </c>
      <c r="K64" s="348" t="n">
        <f aca="false">J64*0.85</f>
        <v>27.8715</v>
      </c>
      <c r="L64" s="349" t="n">
        <f aca="false">K64*$B$2</f>
        <v>2369.0775</v>
      </c>
      <c r="M64" s="349" t="n">
        <f aca="false">L64*$M$2</f>
        <v>3553.61625</v>
      </c>
      <c r="O64" s="359" t="n">
        <v>6013</v>
      </c>
      <c r="P64" s="366" t="s">
        <v>441</v>
      </c>
      <c r="Q64" s="352"/>
      <c r="R64" s="418"/>
      <c r="S64" s="419"/>
      <c r="T64" s="419"/>
      <c r="U64" s="418"/>
    </row>
    <row r="65" customFormat="false" ht="12.8" hidden="false" customHeight="false" outlineLevel="0" collapsed="false">
      <c r="A65" s="331" t="s">
        <v>348</v>
      </c>
      <c r="B65" s="346" t="s">
        <v>443</v>
      </c>
      <c r="C65" s="347" t="n">
        <v>6015</v>
      </c>
      <c r="D65" s="331" t="str">
        <f aca="false">A65&amp;" "&amp;B65&amp;" "&amp;C65</f>
        <v>25 мм  каштан 6015</v>
      </c>
      <c r="E65" s="331" t="str">
        <f aca="false">"Жалюзи алюмин. горизонтальные "&amp;D65</f>
        <v>Жалюзи алюмин. горизонтальные 25 мм  каштан 6015</v>
      </c>
      <c r="F65" s="331" t="n">
        <v>0.46</v>
      </c>
      <c r="G65" s="331" t="n">
        <v>2.85</v>
      </c>
      <c r="H65" s="331" t="n">
        <v>3</v>
      </c>
      <c r="I65" s="331" t="n">
        <v>8</v>
      </c>
      <c r="J65" s="348" t="n">
        <v>32.79</v>
      </c>
      <c r="K65" s="348" t="n">
        <f aca="false">J65*0.85</f>
        <v>27.8715</v>
      </c>
      <c r="L65" s="349" t="n">
        <f aca="false">K65*$B$2</f>
        <v>2369.0775</v>
      </c>
      <c r="M65" s="349" t="n">
        <f aca="false">L65*$M$2</f>
        <v>3553.61625</v>
      </c>
      <c r="O65" s="359" t="n">
        <v>6014</v>
      </c>
      <c r="P65" s="366" t="s">
        <v>442</v>
      </c>
      <c r="Q65" s="352"/>
      <c r="R65" s="418"/>
      <c r="S65" s="419"/>
      <c r="T65" s="419"/>
      <c r="U65" s="418"/>
    </row>
    <row r="66" customFormat="false" ht="12.8" hidden="false" customHeight="false" outlineLevel="0" collapsed="false">
      <c r="A66" s="331" t="s">
        <v>348</v>
      </c>
      <c r="B66" s="346" t="s">
        <v>444</v>
      </c>
      <c r="C66" s="347" t="n">
        <v>6016</v>
      </c>
      <c r="D66" s="331" t="str">
        <f aca="false">A66&amp;" "&amp;B66&amp;" "&amp;C66</f>
        <v>25 мм  тик 6016</v>
      </c>
      <c r="E66" s="331" t="str">
        <f aca="false">"Жалюзи алюмин. горизонтальные "&amp;D66</f>
        <v>Жалюзи алюмин. горизонтальные 25 мм  тик 6016</v>
      </c>
      <c r="F66" s="331" t="n">
        <v>0.46</v>
      </c>
      <c r="G66" s="331" t="n">
        <v>2.85</v>
      </c>
      <c r="H66" s="331" t="n">
        <v>3</v>
      </c>
      <c r="I66" s="331" t="n">
        <v>8</v>
      </c>
      <c r="J66" s="348" t="n">
        <v>32.79</v>
      </c>
      <c r="K66" s="348" t="n">
        <f aca="false">J66*0.85</f>
        <v>27.8715</v>
      </c>
      <c r="L66" s="349" t="n">
        <f aca="false">K66*$B$2</f>
        <v>2369.0775</v>
      </c>
      <c r="M66" s="349" t="n">
        <f aca="false">L66*$M$2</f>
        <v>3553.61625</v>
      </c>
      <c r="O66" s="359" t="n">
        <v>6015</v>
      </c>
      <c r="P66" s="366" t="s">
        <v>443</v>
      </c>
      <c r="Q66" s="352"/>
      <c r="R66" s="418"/>
      <c r="S66" s="419"/>
      <c r="T66" s="419"/>
      <c r="U66" s="418"/>
    </row>
    <row r="67" customFormat="false" ht="12.8" hidden="false" customHeight="false" outlineLevel="0" collapsed="false">
      <c r="A67" s="331" t="s">
        <v>348</v>
      </c>
      <c r="B67" s="412"/>
      <c r="C67" s="347" t="n">
        <v>6017</v>
      </c>
      <c r="D67" s="331" t="str">
        <f aca="false">A67&amp;" "&amp;B67&amp;" "&amp;C67</f>
        <v>25 мм   6017</v>
      </c>
      <c r="E67" s="331" t="str">
        <f aca="false">"Жалюзи алюмин. горизонтальные "&amp;D67</f>
        <v>Жалюзи алюмин. горизонтальные 25 мм   6017</v>
      </c>
      <c r="F67" s="331" t="n">
        <v>0.46</v>
      </c>
      <c r="G67" s="331" t="n">
        <v>2.85</v>
      </c>
      <c r="H67" s="331" t="n">
        <v>3</v>
      </c>
      <c r="I67" s="331" t="n">
        <v>8</v>
      </c>
      <c r="J67" s="348" t="n">
        <v>32.79</v>
      </c>
      <c r="K67" s="348" t="n">
        <f aca="false">J67*0.85</f>
        <v>27.8715</v>
      </c>
      <c r="L67" s="349" t="n">
        <f aca="false">K67*$B$2</f>
        <v>2369.0775</v>
      </c>
      <c r="M67" s="349" t="n">
        <f aca="false">L67*$M$2</f>
        <v>3553.61625</v>
      </c>
      <c r="O67" s="359" t="n">
        <v>6016</v>
      </c>
      <c r="P67" s="366" t="s">
        <v>444</v>
      </c>
      <c r="Q67" s="352"/>
      <c r="R67" s="418"/>
      <c r="S67" s="418"/>
      <c r="T67" s="418"/>
      <c r="U67" s="418"/>
    </row>
    <row r="68" customFormat="false" ht="12.8" hidden="false" customHeight="false" outlineLevel="0" collapsed="false">
      <c r="A68" s="331" t="s">
        <v>348</v>
      </c>
      <c r="B68" s="346" t="s">
        <v>445</v>
      </c>
      <c r="C68" s="347" t="n">
        <v>9002</v>
      </c>
      <c r="D68" s="331" t="str">
        <f aca="false">A68&amp;" "&amp;B68&amp;" "&amp;C68</f>
        <v>25 мм  белый жемчуг 9002</v>
      </c>
      <c r="E68" s="331" t="str">
        <f aca="false">"Жалюзи алюмин. горизонтальные "&amp;D68</f>
        <v>Жалюзи алюмин. горизонтальные 25 мм  белый жемчуг 9002</v>
      </c>
      <c r="F68" s="331" t="n">
        <v>0.46</v>
      </c>
      <c r="G68" s="331" t="n">
        <v>2.85</v>
      </c>
      <c r="H68" s="331" t="n">
        <v>3</v>
      </c>
      <c r="I68" s="331" t="n">
        <v>8</v>
      </c>
      <c r="J68" s="348" t="n">
        <v>32.79</v>
      </c>
      <c r="K68" s="348" t="n">
        <f aca="false">J68*0.85</f>
        <v>27.8715</v>
      </c>
      <c r="L68" s="349" t="n">
        <f aca="false">K68*$B$2</f>
        <v>2369.0775</v>
      </c>
      <c r="M68" s="349" t="n">
        <f aca="false">L68*$M$2</f>
        <v>3553.61625</v>
      </c>
      <c r="O68" s="359" t="n">
        <v>6017</v>
      </c>
      <c r="P68" s="377"/>
      <c r="Q68" s="352"/>
      <c r="R68" s="418"/>
      <c r="S68" s="418"/>
      <c r="T68" s="418"/>
      <c r="U68" s="418"/>
    </row>
    <row r="69" customFormat="false" ht="12.8" hidden="false" customHeight="false" outlineLevel="0" collapsed="false">
      <c r="A69" s="331" t="s">
        <v>348</v>
      </c>
      <c r="B69" s="420" t="s">
        <v>351</v>
      </c>
      <c r="C69" s="347" t="n">
        <v>8101</v>
      </c>
      <c r="D69" s="331" t="str">
        <f aca="false">A69&amp;" "&amp;B69&amp;" "&amp;C69</f>
        <v>25 мм  шагрень 8101</v>
      </c>
      <c r="E69" s="331" t="str">
        <f aca="false">"Жалюзи алюмин. горизонтальные "&amp;D69</f>
        <v>Жалюзи алюмин. горизонтальные 25 мм  шагрень 8101</v>
      </c>
      <c r="F69" s="331" t="n">
        <v>0.46</v>
      </c>
      <c r="G69" s="331" t="n">
        <v>2.85</v>
      </c>
      <c r="H69" s="331" t="n">
        <v>3</v>
      </c>
      <c r="I69" s="331" t="n">
        <v>8</v>
      </c>
      <c r="J69" s="348" t="n">
        <v>24.25</v>
      </c>
      <c r="K69" s="348" t="n">
        <f aca="false">J69*0.85</f>
        <v>20.6125</v>
      </c>
      <c r="L69" s="349" t="n">
        <f aca="false">K69*$B$2</f>
        <v>1752.0625</v>
      </c>
      <c r="M69" s="349" t="n">
        <f aca="false">L69*$M$2</f>
        <v>2628.09375</v>
      </c>
      <c r="O69" s="358" t="n">
        <v>9002</v>
      </c>
      <c r="P69" s="406" t="s">
        <v>445</v>
      </c>
      <c r="Q69" s="352"/>
      <c r="R69" s="418"/>
      <c r="S69" s="418"/>
      <c r="T69" s="418"/>
      <c r="U69" s="418"/>
    </row>
    <row r="70" customFormat="false" ht="15" hidden="false" customHeight="false" outlineLevel="0" collapsed="false">
      <c r="A70" s="331" t="s">
        <v>348</v>
      </c>
      <c r="B70" s="420" t="s">
        <v>351</v>
      </c>
      <c r="C70" s="347" t="n">
        <v>8103</v>
      </c>
      <c r="D70" s="331" t="str">
        <f aca="false">A70&amp;" "&amp;B70&amp;" "&amp;C70</f>
        <v>25 мм  шагрень 8103</v>
      </c>
      <c r="E70" s="331" t="str">
        <f aca="false">"Жалюзи алюмин. горизонтальные "&amp;D70</f>
        <v>Жалюзи алюмин. горизонтальные 25 мм  шагрень 8103</v>
      </c>
      <c r="F70" s="331" t="n">
        <v>0.46</v>
      </c>
      <c r="G70" s="331" t="n">
        <v>2.85</v>
      </c>
      <c r="H70" s="331" t="n">
        <v>3</v>
      </c>
      <c r="I70" s="331" t="n">
        <v>8</v>
      </c>
      <c r="J70" s="348" t="n">
        <v>24.25</v>
      </c>
      <c r="K70" s="348" t="n">
        <f aca="false">J70*0.85</f>
        <v>20.6125</v>
      </c>
      <c r="L70" s="349" t="n">
        <f aca="false">K70*$B$2</f>
        <v>1752.0625</v>
      </c>
      <c r="M70" s="349" t="n">
        <f aca="false">L70*$M$2</f>
        <v>2628.09375</v>
      </c>
      <c r="O70" s="421" t="s">
        <v>446</v>
      </c>
      <c r="P70" s="421"/>
      <c r="Q70" s="421"/>
      <c r="R70" s="421"/>
      <c r="S70" s="421"/>
      <c r="T70" s="421"/>
      <c r="U70" s="421"/>
    </row>
    <row r="71" customFormat="false" ht="13.8" hidden="false" customHeight="false" outlineLevel="0" collapsed="false">
      <c r="A71" s="331" t="s">
        <v>348</v>
      </c>
      <c r="B71" s="422" t="s">
        <v>355</v>
      </c>
      <c r="C71" s="347" t="n">
        <v>7419</v>
      </c>
      <c r="D71" s="331" t="str">
        <f aca="false">A71&amp;" "&amp;B71&amp;" "&amp;C71</f>
        <v>25 мм  лен 7419</v>
      </c>
      <c r="E71" s="331" t="str">
        <f aca="false">"Жалюзи алюмин. горизонтальные "&amp;D71</f>
        <v>Жалюзи алюмин. горизонтальные 25 мм  лен 7419</v>
      </c>
      <c r="F71" s="331" t="n">
        <v>0.46</v>
      </c>
      <c r="G71" s="331" t="n">
        <v>2.85</v>
      </c>
      <c r="H71" s="331" t="n">
        <v>3</v>
      </c>
      <c r="I71" s="331" t="n">
        <v>8</v>
      </c>
      <c r="J71" s="348" t="n">
        <v>27.88</v>
      </c>
      <c r="K71" s="348" t="n">
        <f aca="false">J71*0.85</f>
        <v>23.698</v>
      </c>
      <c r="L71" s="349" t="n">
        <f aca="false">K71*$B$2</f>
        <v>2014.33</v>
      </c>
      <c r="M71" s="349" t="n">
        <f aca="false">L71*$M$2</f>
        <v>3021.495</v>
      </c>
      <c r="O71" s="423" t="s">
        <v>447</v>
      </c>
      <c r="P71" s="424" t="s">
        <v>448</v>
      </c>
      <c r="Q71" s="425" t="s">
        <v>449</v>
      </c>
      <c r="R71" s="426"/>
      <c r="S71" s="427" t="s">
        <v>450</v>
      </c>
      <c r="T71" s="424" t="s">
        <v>448</v>
      </c>
      <c r="U71" s="425" t="s">
        <v>449</v>
      </c>
    </row>
    <row r="72" customFormat="false" ht="12.8" hidden="false" customHeight="false" outlineLevel="0" collapsed="false">
      <c r="A72" s="331" t="s">
        <v>348</v>
      </c>
      <c r="B72" s="422" t="s">
        <v>355</v>
      </c>
      <c r="C72" s="347" t="n">
        <v>7431</v>
      </c>
      <c r="D72" s="331" t="str">
        <f aca="false">A72&amp;" "&amp;B72&amp;" "&amp;C72</f>
        <v>25 мм  лен 7431</v>
      </c>
      <c r="E72" s="331" t="str">
        <f aca="false">"Жалюзи алюмин. горизонтальные "&amp;D72</f>
        <v>Жалюзи алюмин. горизонтальные 25 мм  лен 7431</v>
      </c>
      <c r="F72" s="331" t="n">
        <v>0.46</v>
      </c>
      <c r="G72" s="331" t="n">
        <v>2.85</v>
      </c>
      <c r="H72" s="331" t="n">
        <v>3</v>
      </c>
      <c r="I72" s="331" t="n">
        <v>8</v>
      </c>
      <c r="J72" s="348" t="n">
        <v>27.88</v>
      </c>
      <c r="K72" s="348" t="n">
        <f aca="false">J72*0.85</f>
        <v>23.698</v>
      </c>
      <c r="L72" s="349" t="n">
        <f aca="false">K72*$B$2</f>
        <v>2014.33</v>
      </c>
      <c r="M72" s="349" t="n">
        <f aca="false">L72*$M$2</f>
        <v>3021.495</v>
      </c>
      <c r="O72" s="428" t="s">
        <v>451</v>
      </c>
      <c r="P72" s="429" t="n">
        <v>0.27</v>
      </c>
      <c r="Q72" s="430" t="n">
        <v>2.1</v>
      </c>
      <c r="R72" s="418"/>
      <c r="S72" s="428" t="s">
        <v>451</v>
      </c>
      <c r="T72" s="429" t="n">
        <v>0.35</v>
      </c>
      <c r="U72" s="430" t="n">
        <v>1.1</v>
      </c>
    </row>
    <row r="73" customFormat="false" ht="12.8" hidden="false" customHeight="false" outlineLevel="0" collapsed="false">
      <c r="A73" s="331" t="s">
        <v>348</v>
      </c>
      <c r="B73" s="422" t="s">
        <v>359</v>
      </c>
      <c r="C73" s="347" t="n">
        <v>8011</v>
      </c>
      <c r="D73" s="331" t="str">
        <f aca="false">A73&amp;" "&amp;B73&amp;" "&amp;C73</f>
        <v>25 мм  полоса 8011</v>
      </c>
      <c r="E73" s="331" t="str">
        <f aca="false">"Жалюзи алюмин. горизонтальные "&amp;D73</f>
        <v>Жалюзи алюмин. горизонтальные 25 мм  полоса 8011</v>
      </c>
      <c r="F73" s="331" t="n">
        <v>0.46</v>
      </c>
      <c r="G73" s="331" t="n">
        <v>2.85</v>
      </c>
      <c r="H73" s="331" t="n">
        <v>3</v>
      </c>
      <c r="I73" s="331" t="n">
        <v>8</v>
      </c>
      <c r="J73" s="348" t="n">
        <v>27.88</v>
      </c>
      <c r="K73" s="348" t="n">
        <f aca="false">J73*0.85</f>
        <v>23.698</v>
      </c>
      <c r="L73" s="349" t="n">
        <f aca="false">K73*$B$2</f>
        <v>2014.33</v>
      </c>
      <c r="M73" s="349" t="n">
        <f aca="false">L73*$M$2</f>
        <v>3021.495</v>
      </c>
      <c r="O73" s="431" t="s">
        <v>452</v>
      </c>
      <c r="P73" s="432" t="n">
        <v>0.3</v>
      </c>
      <c r="Q73" s="433" t="n">
        <v>3.4</v>
      </c>
      <c r="R73" s="434"/>
      <c r="S73" s="431" t="s">
        <v>452</v>
      </c>
      <c r="T73" s="432" t="n">
        <v>0.5</v>
      </c>
      <c r="U73" s="433" t="n">
        <v>1.5</v>
      </c>
    </row>
    <row r="74" customFormat="false" ht="12.8" hidden="false" customHeight="false" outlineLevel="0" collapsed="false">
      <c r="A74" s="331" t="s">
        <v>348</v>
      </c>
      <c r="B74" s="422" t="s">
        <v>359</v>
      </c>
      <c r="C74" s="347" t="n">
        <v>8012</v>
      </c>
      <c r="D74" s="331" t="str">
        <f aca="false">A74&amp;" "&amp;B74&amp;" "&amp;C74</f>
        <v>25 мм  полоса 8012</v>
      </c>
      <c r="E74" s="331" t="str">
        <f aca="false">"Жалюзи алюмин. горизонтальные "&amp;D74</f>
        <v>Жалюзи алюмин. горизонтальные 25 мм  полоса 8012</v>
      </c>
      <c r="F74" s="331" t="n">
        <v>0.46</v>
      </c>
      <c r="G74" s="331" t="n">
        <v>2.85</v>
      </c>
      <c r="H74" s="331" t="n">
        <v>3</v>
      </c>
      <c r="I74" s="331" t="n">
        <v>8</v>
      </c>
      <c r="J74" s="348" t="n">
        <v>27.88</v>
      </c>
      <c r="K74" s="348" t="n">
        <f aca="false">J74*0.85</f>
        <v>23.698</v>
      </c>
      <c r="L74" s="349" t="n">
        <f aca="false">K74*$B$2</f>
        <v>2014.33</v>
      </c>
      <c r="M74" s="349" t="n">
        <f aca="false">L74*$M$2</f>
        <v>3021.495</v>
      </c>
      <c r="O74" s="435" t="s">
        <v>453</v>
      </c>
      <c r="P74" s="436" t="s">
        <v>166</v>
      </c>
      <c r="Q74" s="437" t="n">
        <v>7</v>
      </c>
      <c r="R74" s="418"/>
      <c r="S74" s="438" t="s">
        <v>454</v>
      </c>
      <c r="T74" s="438"/>
      <c r="U74" s="438"/>
    </row>
    <row r="75" customFormat="false" ht="12.8" hidden="false" customHeight="false" outlineLevel="0" collapsed="false">
      <c r="A75" s="331" t="s">
        <v>348</v>
      </c>
      <c r="B75" s="439" t="s">
        <v>363</v>
      </c>
      <c r="C75" s="347" t="n">
        <v>7505</v>
      </c>
      <c r="D75" s="331" t="str">
        <f aca="false">A75&amp;" "&amp;B75&amp;" "&amp;C75</f>
        <v>25 мм  штрих 7505</v>
      </c>
      <c r="E75" s="331" t="str">
        <f aca="false">"Жалюзи алюмин. горизонтальные "&amp;D75</f>
        <v>Жалюзи алюмин. горизонтальные 25 мм  штрих 7505</v>
      </c>
      <c r="F75" s="331" t="n">
        <v>0.46</v>
      </c>
      <c r="G75" s="331" t="n">
        <v>2.85</v>
      </c>
      <c r="H75" s="331" t="n">
        <v>3</v>
      </c>
      <c r="I75" s="331" t="n">
        <v>8</v>
      </c>
      <c r="J75" s="348" t="n">
        <v>31.51</v>
      </c>
      <c r="K75" s="348" t="n">
        <f aca="false">J75*0.85</f>
        <v>26.7835</v>
      </c>
      <c r="L75" s="349" t="n">
        <f aca="false">K75*$B$2</f>
        <v>2276.5975</v>
      </c>
      <c r="M75" s="349" t="n">
        <f aca="false">L75*$M$2</f>
        <v>3414.89625</v>
      </c>
      <c r="O75" s="423" t="s">
        <v>455</v>
      </c>
      <c r="P75" s="424" t="s">
        <v>448</v>
      </c>
      <c r="Q75" s="425" t="s">
        <v>449</v>
      </c>
      <c r="R75" s="418"/>
      <c r="S75" s="418"/>
      <c r="T75" s="418"/>
      <c r="U75" s="418"/>
    </row>
    <row r="76" customFormat="false" ht="12.8" hidden="false" customHeight="false" outlineLevel="0" collapsed="false">
      <c r="A76" s="331" t="s">
        <v>348</v>
      </c>
      <c r="B76" s="439" t="s">
        <v>363</v>
      </c>
      <c r="C76" s="347" t="n">
        <v>7525</v>
      </c>
      <c r="D76" s="331" t="str">
        <f aca="false">A76&amp;" "&amp;B76&amp;" "&amp;C76</f>
        <v>25 мм  штрих 7525</v>
      </c>
      <c r="E76" s="331" t="str">
        <f aca="false">"Жалюзи алюмин. горизонтальные "&amp;D76</f>
        <v>Жалюзи алюмин. горизонтальные 25 мм  штрих 7525</v>
      </c>
      <c r="F76" s="331" t="n">
        <v>0.46</v>
      </c>
      <c r="G76" s="331" t="n">
        <v>2.85</v>
      </c>
      <c r="H76" s="331" t="n">
        <v>3</v>
      </c>
      <c r="I76" s="331" t="n">
        <v>8</v>
      </c>
      <c r="J76" s="348" t="n">
        <v>31.51</v>
      </c>
      <c r="K76" s="348" t="n">
        <f aca="false">J76*0.85</f>
        <v>26.7835</v>
      </c>
      <c r="L76" s="349" t="n">
        <f aca="false">K76*$B$2</f>
        <v>2276.5975</v>
      </c>
      <c r="M76" s="349" t="n">
        <f aca="false">L76*$M$2</f>
        <v>3414.89625</v>
      </c>
      <c r="O76" s="428" t="s">
        <v>451</v>
      </c>
      <c r="P76" s="440" t="n">
        <v>0.27</v>
      </c>
      <c r="Q76" s="430" t="n">
        <v>2.9</v>
      </c>
      <c r="R76" s="418"/>
      <c r="S76" s="441" t="s">
        <v>456</v>
      </c>
      <c r="T76" s="442" t="s">
        <v>448</v>
      </c>
      <c r="U76" s="443" t="s">
        <v>449</v>
      </c>
    </row>
    <row r="77" customFormat="false" ht="12.8" hidden="false" customHeight="false" outlineLevel="0" collapsed="false">
      <c r="A77" s="331" t="s">
        <v>348</v>
      </c>
      <c r="B77" s="439" t="s">
        <v>363</v>
      </c>
      <c r="C77" s="347" t="n">
        <v>7528</v>
      </c>
      <c r="D77" s="331" t="str">
        <f aca="false">A77&amp;" "&amp;B77&amp;" "&amp;C77</f>
        <v>25 мм  штрих 7528</v>
      </c>
      <c r="E77" s="331" t="str">
        <f aca="false">"Жалюзи алюмин. горизонтальные "&amp;D77</f>
        <v>Жалюзи алюмин. горизонтальные 25 мм  штрих 7528</v>
      </c>
      <c r="F77" s="331" t="n">
        <v>0.46</v>
      </c>
      <c r="G77" s="331" t="n">
        <v>2.85</v>
      </c>
      <c r="H77" s="331" t="n">
        <v>3</v>
      </c>
      <c r="I77" s="331" t="n">
        <v>8</v>
      </c>
      <c r="J77" s="348" t="n">
        <v>31.51</v>
      </c>
      <c r="K77" s="348" t="n">
        <f aca="false">J77*0.85</f>
        <v>26.7835</v>
      </c>
      <c r="L77" s="349" t="n">
        <f aca="false">K77*$B$2</f>
        <v>2276.5975</v>
      </c>
      <c r="M77" s="349" t="n">
        <f aca="false">L77*$M$2</f>
        <v>3414.89625</v>
      </c>
      <c r="O77" s="431" t="s">
        <v>452</v>
      </c>
      <c r="P77" s="444" t="s">
        <v>166</v>
      </c>
      <c r="Q77" s="433" t="n">
        <v>3.4</v>
      </c>
      <c r="R77" s="418"/>
      <c r="S77" s="428" t="s">
        <v>451</v>
      </c>
      <c r="T77" s="440" t="n">
        <v>0.27</v>
      </c>
      <c r="U77" s="430" t="n">
        <v>1.5</v>
      </c>
    </row>
    <row r="78" customFormat="false" ht="13.8" hidden="false" customHeight="false" outlineLevel="0" collapsed="false">
      <c r="A78" s="331" t="s">
        <v>348</v>
      </c>
      <c r="B78" s="439" t="s">
        <v>363</v>
      </c>
      <c r="C78" s="347" t="n">
        <v>7536</v>
      </c>
      <c r="D78" s="331" t="str">
        <f aca="false">A78&amp;" "&amp;B78&amp;" "&amp;C78</f>
        <v>25 мм  штрих 7536</v>
      </c>
      <c r="E78" s="331" t="str">
        <f aca="false">"Жалюзи алюмин. горизонтальные "&amp;D78</f>
        <v>Жалюзи алюмин. горизонтальные 25 мм  штрих 7536</v>
      </c>
      <c r="F78" s="331" t="n">
        <v>0.46</v>
      </c>
      <c r="G78" s="331" t="n">
        <v>2.85</v>
      </c>
      <c r="H78" s="331" t="n">
        <v>3</v>
      </c>
      <c r="I78" s="331" t="n">
        <v>8</v>
      </c>
      <c r="J78" s="348" t="n">
        <v>31.51</v>
      </c>
      <c r="K78" s="348" t="n">
        <f aca="false">J78*0.85</f>
        <v>26.7835</v>
      </c>
      <c r="L78" s="349" t="n">
        <f aca="false">K78*$B$2</f>
        <v>2276.5975</v>
      </c>
      <c r="M78" s="349" t="n">
        <f aca="false">L78*$M$2</f>
        <v>3414.89625</v>
      </c>
      <c r="O78" s="435" t="s">
        <v>453</v>
      </c>
      <c r="P78" s="445" t="s">
        <v>166</v>
      </c>
      <c r="Q78" s="446" t="n">
        <v>7</v>
      </c>
      <c r="R78" s="426"/>
      <c r="S78" s="435" t="s">
        <v>452</v>
      </c>
      <c r="T78" s="447" t="n">
        <v>0.4</v>
      </c>
      <c r="U78" s="437" t="n">
        <v>1.5</v>
      </c>
    </row>
    <row r="79" customFormat="false" ht="12.8" hidden="false" customHeight="false" outlineLevel="0" collapsed="false">
      <c r="A79" s="331" t="s">
        <v>348</v>
      </c>
      <c r="B79" s="439" t="s">
        <v>368</v>
      </c>
      <c r="C79" s="347" t="n">
        <v>9013</v>
      </c>
      <c r="D79" s="331" t="str">
        <f aca="false">A79&amp;" "&amp;B79&amp;" "&amp;C79</f>
        <v>25 мм  перламутр 9013</v>
      </c>
      <c r="E79" s="331" t="str">
        <f aca="false">"Жалюзи алюмин. горизонтальные "&amp;D79</f>
        <v>Жалюзи алюмин. горизонтальные 25 мм  перламутр 9013</v>
      </c>
      <c r="F79" s="331" t="n">
        <v>0.46</v>
      </c>
      <c r="G79" s="331" t="n">
        <v>2.85</v>
      </c>
      <c r="H79" s="331" t="n">
        <v>3</v>
      </c>
      <c r="I79" s="331" t="n">
        <v>8</v>
      </c>
      <c r="J79" s="348" t="n">
        <v>25.35</v>
      </c>
      <c r="K79" s="348" t="n">
        <f aca="false">J79*0.85</f>
        <v>21.5475</v>
      </c>
      <c r="L79" s="349" t="n">
        <f aca="false">K79*$B$2</f>
        <v>1831.5375</v>
      </c>
      <c r="M79" s="349" t="n">
        <f aca="false">L79*$M$2</f>
        <v>2747.30625</v>
      </c>
      <c r="O79" s="448" t="s">
        <v>457</v>
      </c>
      <c r="P79" s="448"/>
      <c r="Q79" s="448"/>
      <c r="R79" s="448"/>
      <c r="S79" s="448"/>
      <c r="T79" s="448"/>
      <c r="U79" s="448"/>
    </row>
    <row r="80" customFormat="false" ht="13.8" hidden="false" customHeight="false" outlineLevel="0" collapsed="false">
      <c r="A80" s="331" t="s">
        <v>348</v>
      </c>
      <c r="B80" s="439" t="s">
        <v>368</v>
      </c>
      <c r="C80" s="347" t="n">
        <v>9018</v>
      </c>
      <c r="D80" s="331" t="str">
        <f aca="false">A80&amp;" "&amp;B80&amp;" "&amp;C80</f>
        <v>25 мм  перламутр 9018</v>
      </c>
      <c r="E80" s="331" t="str">
        <f aca="false">"Жалюзи алюмин. горизонтальные "&amp;D80</f>
        <v>Жалюзи алюмин. горизонтальные 25 мм  перламутр 9018</v>
      </c>
      <c r="F80" s="331" t="n">
        <v>0.46</v>
      </c>
      <c r="G80" s="331" t="n">
        <v>2.85</v>
      </c>
      <c r="H80" s="331" t="n">
        <v>3</v>
      </c>
      <c r="I80" s="331" t="n">
        <v>8</v>
      </c>
      <c r="J80" s="348" t="n">
        <v>25.35</v>
      </c>
      <c r="K80" s="348" t="n">
        <f aca="false">J80*0.85</f>
        <v>21.5475</v>
      </c>
      <c r="L80" s="349" t="n">
        <f aca="false">K80*$B$2</f>
        <v>1831.5375</v>
      </c>
      <c r="M80" s="349" t="n">
        <f aca="false">L80*$M$2</f>
        <v>2747.30625</v>
      </c>
      <c r="O80" s="449" t="s">
        <v>458</v>
      </c>
      <c r="P80" s="449"/>
      <c r="Q80" s="449"/>
      <c r="R80" s="449"/>
      <c r="S80" s="449"/>
      <c r="T80" s="449"/>
      <c r="U80" s="449"/>
    </row>
    <row r="81" customFormat="false" ht="15" hidden="false" customHeight="false" outlineLevel="0" collapsed="false">
      <c r="A81" s="331" t="s">
        <v>348</v>
      </c>
      <c r="B81" s="439" t="s">
        <v>368</v>
      </c>
      <c r="C81" s="347" t="n">
        <v>9035</v>
      </c>
      <c r="D81" s="331" t="str">
        <f aca="false">A81&amp;" "&amp;B81&amp;" "&amp;C81</f>
        <v>25 мм  перламутр 9035</v>
      </c>
      <c r="E81" s="331" t="str">
        <f aca="false">"Жалюзи алюмин. горизонтальные "&amp;D81</f>
        <v>Жалюзи алюмин. горизонтальные 25 мм  перламутр 9035</v>
      </c>
      <c r="F81" s="331" t="n">
        <v>0.46</v>
      </c>
      <c r="G81" s="331" t="n">
        <v>2.85</v>
      </c>
      <c r="H81" s="331" t="n">
        <v>3</v>
      </c>
      <c r="I81" s="331" t="n">
        <v>8</v>
      </c>
      <c r="J81" s="348" t="n">
        <v>25.35</v>
      </c>
      <c r="K81" s="348" t="n">
        <f aca="false">J81*0.85</f>
        <v>21.5475</v>
      </c>
      <c r="L81" s="349" t="n">
        <f aca="false">K81*$B$2</f>
        <v>1831.5375</v>
      </c>
      <c r="M81" s="349" t="n">
        <f aca="false">L81*$M$2</f>
        <v>2747.30625</v>
      </c>
      <c r="O81" s="450" t="s">
        <v>459</v>
      </c>
      <c r="P81" s="450"/>
      <c r="Q81" s="450"/>
      <c r="R81" s="450"/>
      <c r="S81" s="450"/>
      <c r="T81" s="450"/>
      <c r="U81" s="450"/>
    </row>
    <row r="82" customFormat="false" ht="28.35" hidden="false" customHeight="true" outlineLevel="0" collapsed="false">
      <c r="A82" s="331" t="s">
        <v>348</v>
      </c>
      <c r="B82" s="439" t="s">
        <v>372</v>
      </c>
      <c r="C82" s="347" t="n">
        <v>7718</v>
      </c>
      <c r="D82" s="331" t="str">
        <f aca="false">A82&amp;" "&amp;B82&amp;" "&amp;C82</f>
        <v>25 мм  кварц 7718</v>
      </c>
      <c r="E82" s="331" t="str">
        <f aca="false">"Жалюзи алюмин. горизонтальные "&amp;D82</f>
        <v>Жалюзи алюмин. горизонтальные 25 мм  кварц 7718</v>
      </c>
      <c r="F82" s="331" t="n">
        <v>0.46</v>
      </c>
      <c r="G82" s="331" t="n">
        <v>2.85</v>
      </c>
      <c r="H82" s="331" t="n">
        <v>3</v>
      </c>
      <c r="I82" s="331" t="n">
        <v>8</v>
      </c>
      <c r="J82" s="348" t="n">
        <v>40.01</v>
      </c>
      <c r="K82" s="348" t="n">
        <f aca="false">J82*0.85</f>
        <v>34.0085</v>
      </c>
      <c r="L82" s="349" t="n">
        <f aca="false">K82*$B$2</f>
        <v>2890.7225</v>
      </c>
      <c r="M82" s="349" t="n">
        <f aca="false">L82*$M$2</f>
        <v>4336.08375</v>
      </c>
      <c r="O82" s="451" t="s">
        <v>460</v>
      </c>
      <c r="P82" s="451"/>
      <c r="Q82" s="451"/>
      <c r="R82" s="451"/>
      <c r="S82" s="451"/>
      <c r="T82" s="451"/>
      <c r="U82" s="451"/>
    </row>
    <row r="83" customFormat="false" ht="15" hidden="false" customHeight="false" outlineLevel="0" collapsed="false">
      <c r="A83" s="331" t="s">
        <v>348</v>
      </c>
      <c r="B83" s="439" t="s">
        <v>372</v>
      </c>
      <c r="C83" s="347" t="n">
        <v>7722</v>
      </c>
      <c r="D83" s="331" t="str">
        <f aca="false">A83&amp;" "&amp;B83&amp;" "&amp;C83</f>
        <v>25 мм  кварц 7722</v>
      </c>
      <c r="E83" s="331" t="str">
        <f aca="false">"Жалюзи алюмин. горизонтальные "&amp;D83</f>
        <v>Жалюзи алюмин. горизонтальные 25 мм  кварц 7722</v>
      </c>
      <c r="F83" s="331" t="n">
        <v>0.46</v>
      </c>
      <c r="G83" s="331" t="n">
        <v>2.85</v>
      </c>
      <c r="H83" s="331" t="n">
        <v>3</v>
      </c>
      <c r="I83" s="331" t="n">
        <v>8</v>
      </c>
      <c r="J83" s="348" t="n">
        <v>40.01</v>
      </c>
      <c r="K83" s="348" t="n">
        <f aca="false">J83*0.85</f>
        <v>34.0085</v>
      </c>
      <c r="L83" s="349" t="n">
        <f aca="false">K83*$B$2</f>
        <v>2890.7225</v>
      </c>
      <c r="M83" s="349" t="n">
        <f aca="false">L83*$M$2</f>
        <v>4336.08375</v>
      </c>
      <c r="O83" s="452" t="s">
        <v>461</v>
      </c>
      <c r="P83" s="452"/>
      <c r="Q83" s="452"/>
      <c r="R83" s="452"/>
      <c r="S83" s="452"/>
      <c r="T83" s="452"/>
      <c r="U83" s="452"/>
    </row>
    <row r="84" customFormat="false" ht="15" hidden="false" customHeight="false" outlineLevel="0" collapsed="false">
      <c r="A84" s="331" t="s">
        <v>348</v>
      </c>
      <c r="B84" s="439" t="s">
        <v>372</v>
      </c>
      <c r="C84" s="347" t="n">
        <v>7734</v>
      </c>
      <c r="D84" s="331" t="str">
        <f aca="false">A84&amp;" "&amp;B84&amp;" "&amp;C84</f>
        <v>25 мм  кварц 7734</v>
      </c>
      <c r="E84" s="331" t="str">
        <f aca="false">"Жалюзи алюмин. горизонтальные "&amp;D84</f>
        <v>Жалюзи алюмин. горизонтальные 25 мм  кварц 7734</v>
      </c>
      <c r="F84" s="331" t="n">
        <v>0.46</v>
      </c>
      <c r="G84" s="331" t="n">
        <v>2.85</v>
      </c>
      <c r="H84" s="331" t="n">
        <v>3</v>
      </c>
      <c r="I84" s="331" t="n">
        <v>8</v>
      </c>
      <c r="J84" s="348" t="n">
        <v>40.01</v>
      </c>
      <c r="K84" s="348" t="n">
        <f aca="false">J84*0.85</f>
        <v>34.0085</v>
      </c>
      <c r="L84" s="349" t="n">
        <f aca="false">K84*$B$2</f>
        <v>2890.7225</v>
      </c>
      <c r="M84" s="349" t="n">
        <f aca="false">L84*$M$2</f>
        <v>4336.08375</v>
      </c>
      <c r="O84" s="453" t="s">
        <v>462</v>
      </c>
      <c r="P84" s="453"/>
      <c r="Q84" s="453"/>
      <c r="R84" s="453"/>
      <c r="S84" s="453"/>
      <c r="T84" s="453"/>
      <c r="U84" s="453"/>
    </row>
    <row r="85" customFormat="false" ht="15" hidden="false" customHeight="false" outlineLevel="0" collapsed="false">
      <c r="A85" s="331" t="s">
        <v>386</v>
      </c>
      <c r="B85" s="332" t="s">
        <v>380</v>
      </c>
      <c r="C85" s="333" t="s">
        <v>353</v>
      </c>
      <c r="D85" s="331" t="str">
        <f aca="false">A85&amp;" "&amp;B85&amp;" "&amp;C85</f>
        <v>50 мм белый 0120</v>
      </c>
      <c r="E85" s="331" t="str">
        <f aca="false">"Жалюзи алюмин. горизонтальные "&amp;D85</f>
        <v>Жалюзи алюмин. горизонтальные 50 мм белый 0120</v>
      </c>
      <c r="F85" s="331" t="n">
        <v>0.42</v>
      </c>
      <c r="G85" s="331" t="n">
        <v>3</v>
      </c>
      <c r="H85" s="331" t="n">
        <v>3</v>
      </c>
      <c r="I85" s="331" t="n">
        <v>9</v>
      </c>
      <c r="J85" s="348" t="n">
        <v>41.64</v>
      </c>
      <c r="K85" s="454" t="n">
        <f aca="false">J85</f>
        <v>41.64</v>
      </c>
      <c r="L85" s="349" t="n">
        <f aca="false">K85*$B$2</f>
        <v>3539.4</v>
      </c>
      <c r="M85" s="349" t="n">
        <f aca="false">L85*$M$2</f>
        <v>5309.1</v>
      </c>
      <c r="O85" s="453" t="s">
        <v>463</v>
      </c>
      <c r="P85" s="453"/>
      <c r="Q85" s="453"/>
      <c r="R85" s="453"/>
      <c r="S85" s="453"/>
      <c r="T85" s="453"/>
      <c r="U85" s="453"/>
    </row>
    <row r="86" customFormat="false" ht="15" hidden="false" customHeight="false" outlineLevel="0" collapsed="false">
      <c r="A86" s="331" t="s">
        <v>386</v>
      </c>
      <c r="B86" s="332" t="s">
        <v>400</v>
      </c>
      <c r="D86" s="331" t="str">
        <f aca="false">A86&amp;" "&amp;B86&amp;" "&amp;C86</f>
        <v>50 мм металлик </v>
      </c>
      <c r="E86" s="331" t="str">
        <f aca="false">"Жалюзи алюмин. горизонтальные "&amp;D86</f>
        <v>Жалюзи алюмин. горизонтальные 50 мм металлик </v>
      </c>
      <c r="F86" s="331" t="n">
        <v>0.42</v>
      </c>
      <c r="G86" s="331" t="n">
        <v>3</v>
      </c>
      <c r="H86" s="331" t="n">
        <v>3</v>
      </c>
      <c r="I86" s="331" t="n">
        <v>9</v>
      </c>
      <c r="J86" s="348" t="n">
        <v>41.64</v>
      </c>
      <c r="K86" s="454" t="n">
        <f aca="false">J86</f>
        <v>41.64</v>
      </c>
      <c r="L86" s="349" t="n">
        <f aca="false">K86*$B$2</f>
        <v>3539.4</v>
      </c>
      <c r="M86" s="349" t="n">
        <f aca="false">L86*$M$2</f>
        <v>5309.1</v>
      </c>
      <c r="O86" s="453" t="s">
        <v>464</v>
      </c>
      <c r="P86" s="453"/>
      <c r="Q86" s="453"/>
      <c r="R86" s="453"/>
      <c r="S86" s="453"/>
      <c r="T86" s="453"/>
      <c r="U86" s="453"/>
    </row>
    <row r="87" customFormat="false" ht="15" hidden="false" customHeight="false" outlineLevel="0" collapsed="false">
      <c r="A87" s="331" t="s">
        <v>386</v>
      </c>
      <c r="B87" s="332" t="s">
        <v>392</v>
      </c>
      <c r="D87" s="331" t="str">
        <f aca="false">A87&amp;" "&amp;B87&amp;" "&amp;C87</f>
        <v>50 мм под дерево </v>
      </c>
      <c r="E87" s="331" t="str">
        <f aca="false">"Жалюзи алюмин. горизонтальные "&amp;D87</f>
        <v>Жалюзи алюмин. горизонтальные 50 мм под дерево </v>
      </c>
      <c r="F87" s="331" t="n">
        <v>0.42</v>
      </c>
      <c r="G87" s="331" t="n">
        <v>3</v>
      </c>
      <c r="H87" s="331" t="n">
        <v>3</v>
      </c>
      <c r="I87" s="331" t="n">
        <v>9</v>
      </c>
      <c r="J87" s="348" t="n">
        <v>41.64</v>
      </c>
      <c r="K87" s="454" t="n">
        <f aca="false">J87</f>
        <v>41.64</v>
      </c>
      <c r="L87" s="349" t="n">
        <f aca="false">K87*$B$2</f>
        <v>3539.4</v>
      </c>
      <c r="M87" s="349" t="n">
        <f aca="false">L87*$M$2</f>
        <v>5309.1</v>
      </c>
      <c r="O87" s="453" t="s">
        <v>465</v>
      </c>
      <c r="P87" s="453"/>
      <c r="Q87" s="453"/>
      <c r="R87" s="453"/>
      <c r="S87" s="453"/>
      <c r="T87" s="453"/>
      <c r="U87" s="453"/>
    </row>
    <row r="88" customFormat="false" ht="15" hidden="false" customHeight="false" outlineLevel="0" collapsed="false">
      <c r="A88" s="331" t="s">
        <v>394</v>
      </c>
      <c r="B88" s="455" t="s">
        <v>396</v>
      </c>
      <c r="C88" s="456" t="s">
        <v>379</v>
      </c>
      <c r="D88" s="331" t="str">
        <f aca="false">A88&amp;" "&amp;B88&amp;" "&amp;C88</f>
        <v>16 мм белая глянцевая 0225</v>
      </c>
      <c r="E88" s="331" t="str">
        <f aca="false">"Жалюзи алюмин. горизонтальные "&amp;D88</f>
        <v>Жалюзи алюмин. горизонтальные 16 мм белая глянцевая 0225</v>
      </c>
      <c r="F88" s="331" t="n">
        <v>0.46</v>
      </c>
      <c r="G88" s="331" t="n">
        <v>2.1</v>
      </c>
      <c r="H88" s="331" t="n">
        <v>3</v>
      </c>
      <c r="I88" s="331" t="n">
        <v>6</v>
      </c>
      <c r="J88" s="348" t="n">
        <v>22.14</v>
      </c>
      <c r="K88" s="348" t="n">
        <f aca="false">J88*0.85</f>
        <v>18.819</v>
      </c>
      <c r="L88" s="349" t="n">
        <f aca="false">K88*$B$2</f>
        <v>1599.615</v>
      </c>
      <c r="M88" s="349" t="n">
        <f aca="false">L88*$M$2</f>
        <v>2399.4225</v>
      </c>
      <c r="O88" s="453" t="s">
        <v>466</v>
      </c>
      <c r="P88" s="453"/>
      <c r="Q88" s="453"/>
      <c r="R88" s="453"/>
      <c r="S88" s="453"/>
      <c r="T88" s="453"/>
      <c r="U88" s="453"/>
    </row>
    <row r="89" customFormat="false" ht="15" hidden="false" customHeight="false" outlineLevel="0" collapsed="false">
      <c r="A89" s="331" t="s">
        <v>394</v>
      </c>
      <c r="B89" s="455" t="s">
        <v>354</v>
      </c>
      <c r="C89" s="456" t="n">
        <v>1606</v>
      </c>
      <c r="D89" s="331" t="str">
        <f aca="false">A89&amp;" "&amp;B89&amp;" "&amp;C89</f>
        <v>16 мм светло-серый 1606</v>
      </c>
      <c r="E89" s="331" t="str">
        <f aca="false">"Жалюзи алюмин. горизонтальные "&amp;D89</f>
        <v>Жалюзи алюмин. горизонтальные 16 мм светло-серый 1606</v>
      </c>
      <c r="F89" s="331" t="n">
        <v>0.46</v>
      </c>
      <c r="G89" s="331" t="n">
        <v>2.1</v>
      </c>
      <c r="H89" s="331" t="n">
        <v>3</v>
      </c>
      <c r="I89" s="331" t="n">
        <v>6</v>
      </c>
      <c r="J89" s="348" t="n">
        <v>25.13</v>
      </c>
      <c r="K89" s="348" t="n">
        <f aca="false">J89*0.85</f>
        <v>21.3605</v>
      </c>
      <c r="L89" s="349" t="n">
        <f aca="false">K89*$B$2</f>
        <v>1815.6425</v>
      </c>
      <c r="M89" s="349" t="n">
        <f aca="false">L89*$M$2</f>
        <v>2723.46375</v>
      </c>
      <c r="O89" s="453" t="s">
        <v>467</v>
      </c>
      <c r="P89" s="453"/>
      <c r="Q89" s="453"/>
      <c r="R89" s="453"/>
      <c r="S89" s="453"/>
      <c r="T89" s="453"/>
      <c r="U89" s="453"/>
    </row>
    <row r="90" customFormat="false" ht="15" hidden="false" customHeight="false" outlineLevel="0" collapsed="false">
      <c r="A90" s="331" t="s">
        <v>394</v>
      </c>
      <c r="B90" s="455" t="s">
        <v>361</v>
      </c>
      <c r="C90" s="456" t="n">
        <v>2259</v>
      </c>
      <c r="D90" s="331" t="str">
        <f aca="false">A90&amp;" "&amp;B90&amp;" "&amp;C90</f>
        <v>16 мм магнолия 2259</v>
      </c>
      <c r="E90" s="331" t="str">
        <f aca="false">"Жалюзи алюмин. горизонтальные "&amp;D90</f>
        <v>Жалюзи алюмин. горизонтальные 16 мм магнолия 2259</v>
      </c>
      <c r="F90" s="331" t="n">
        <v>0.46</v>
      </c>
      <c r="G90" s="331" t="n">
        <v>2.1</v>
      </c>
      <c r="H90" s="331" t="n">
        <v>3</v>
      </c>
      <c r="I90" s="331" t="n">
        <v>6</v>
      </c>
      <c r="J90" s="348" t="n">
        <v>25.13</v>
      </c>
      <c r="K90" s="348" t="n">
        <f aca="false">J90*0.85</f>
        <v>21.3605</v>
      </c>
      <c r="L90" s="349" t="n">
        <f aca="false">K90*$B$2</f>
        <v>1815.6425</v>
      </c>
      <c r="M90" s="349" t="n">
        <f aca="false">L90*$M$2</f>
        <v>2723.46375</v>
      </c>
      <c r="O90" s="453" t="s">
        <v>468</v>
      </c>
      <c r="P90" s="453"/>
      <c r="Q90" s="453"/>
      <c r="R90" s="453"/>
      <c r="S90" s="453"/>
      <c r="T90" s="453"/>
      <c r="U90" s="453"/>
    </row>
    <row r="91" customFormat="false" ht="15" hidden="false" customHeight="false" outlineLevel="0" collapsed="false">
      <c r="A91" s="331" t="s">
        <v>394</v>
      </c>
      <c r="B91" s="455" t="s">
        <v>362</v>
      </c>
      <c r="C91" s="456" t="n">
        <v>2261</v>
      </c>
      <c r="D91" s="331" t="str">
        <f aca="false">A91&amp;" "&amp;B91&amp;" "&amp;C91</f>
        <v>16 мм светло-бежевый 2261</v>
      </c>
      <c r="E91" s="331" t="str">
        <f aca="false">"Жалюзи алюмин. горизонтальные "&amp;D91</f>
        <v>Жалюзи алюмин. горизонтальные 16 мм светло-бежевый 2261</v>
      </c>
      <c r="F91" s="331" t="n">
        <v>0.46</v>
      </c>
      <c r="G91" s="331" t="n">
        <v>2.1</v>
      </c>
      <c r="H91" s="331" t="n">
        <v>3</v>
      </c>
      <c r="I91" s="331" t="n">
        <v>6</v>
      </c>
      <c r="J91" s="348" t="n">
        <v>25.13</v>
      </c>
      <c r="K91" s="348" t="n">
        <f aca="false">J91*0.85</f>
        <v>21.3605</v>
      </c>
      <c r="L91" s="349" t="n">
        <f aca="false">K91*$B$2</f>
        <v>1815.6425</v>
      </c>
      <c r="M91" s="349" t="n">
        <f aca="false">L91*$M$2</f>
        <v>2723.46375</v>
      </c>
      <c r="O91" s="452" t="s">
        <v>469</v>
      </c>
      <c r="P91" s="452"/>
      <c r="Q91" s="452"/>
      <c r="R91" s="452"/>
      <c r="S91" s="452"/>
      <c r="T91" s="452"/>
      <c r="U91" s="452"/>
    </row>
    <row r="92" customFormat="false" ht="17" hidden="false" customHeight="true" outlineLevel="0" collapsed="false">
      <c r="A92" s="331" t="s">
        <v>394</v>
      </c>
      <c r="B92" s="457" t="s">
        <v>364</v>
      </c>
      <c r="C92" s="456" t="n">
        <v>2406</v>
      </c>
      <c r="D92" s="331" t="str">
        <f aca="false">A92&amp;" "&amp;B92&amp;" "&amp;C92</f>
        <v>16 мм темно-бежевый 2406</v>
      </c>
      <c r="E92" s="331" t="str">
        <f aca="false">"Жалюзи алюмин. горизонтальные "&amp;D92</f>
        <v>Жалюзи алюмин. горизонтальные 16 мм темно-бежевый 2406</v>
      </c>
      <c r="F92" s="331" t="n">
        <v>0.46</v>
      </c>
      <c r="G92" s="331" t="n">
        <v>2.1</v>
      </c>
      <c r="H92" s="331" t="n">
        <v>3</v>
      </c>
      <c r="I92" s="331" t="n">
        <v>6</v>
      </c>
      <c r="J92" s="348" t="n">
        <v>25.13</v>
      </c>
      <c r="K92" s="348" t="n">
        <f aca="false">J92*0.85</f>
        <v>21.3605</v>
      </c>
      <c r="L92" s="349" t="n">
        <f aca="false">K92*$B$2</f>
        <v>1815.6425</v>
      </c>
      <c r="M92" s="349" t="n">
        <f aca="false">L92*$M$2</f>
        <v>2723.46375</v>
      </c>
      <c r="O92" s="451" t="s">
        <v>470</v>
      </c>
      <c r="P92" s="451"/>
      <c r="Q92" s="451"/>
      <c r="R92" s="451"/>
      <c r="S92" s="451"/>
      <c r="T92" s="451"/>
      <c r="U92" s="451"/>
    </row>
    <row r="93" customFormat="false" ht="15" hidden="false" customHeight="false" outlineLevel="0" collapsed="false">
      <c r="A93" s="331" t="s">
        <v>394</v>
      </c>
      <c r="B93" s="455" t="s">
        <v>366</v>
      </c>
      <c r="C93" s="456" t="n">
        <v>2871</v>
      </c>
      <c r="D93" s="331" t="str">
        <f aca="false">A93&amp;" "&amp;B93&amp;" "&amp;C93</f>
        <v>16 мм коричневый 2871</v>
      </c>
      <c r="E93" s="331" t="str">
        <f aca="false">"Жалюзи алюмин. горизонтальные "&amp;D93</f>
        <v>Жалюзи алюмин. горизонтальные 16 мм коричневый 2871</v>
      </c>
      <c r="F93" s="331" t="n">
        <v>0.46</v>
      </c>
      <c r="G93" s="331" t="n">
        <v>2.1</v>
      </c>
      <c r="H93" s="331" t="n">
        <v>3</v>
      </c>
      <c r="I93" s="331" t="n">
        <v>6</v>
      </c>
      <c r="J93" s="348" t="n">
        <v>25.13</v>
      </c>
      <c r="K93" s="348" t="n">
        <f aca="false">J93*0.85</f>
        <v>21.3605</v>
      </c>
      <c r="L93" s="349" t="n">
        <f aca="false">K93*$B$2</f>
        <v>1815.6425</v>
      </c>
      <c r="M93" s="349" t="n">
        <f aca="false">L93*$M$2</f>
        <v>2723.46375</v>
      </c>
      <c r="O93" s="452" t="s">
        <v>471</v>
      </c>
      <c r="P93" s="452"/>
      <c r="Q93" s="452"/>
      <c r="R93" s="452"/>
      <c r="S93" s="452"/>
      <c r="T93" s="452"/>
      <c r="U93" s="452"/>
    </row>
    <row r="94" customFormat="false" ht="15" hidden="false" customHeight="false" outlineLevel="0" collapsed="false">
      <c r="A94" s="331" t="s">
        <v>394</v>
      </c>
      <c r="B94" s="455" t="s">
        <v>367</v>
      </c>
      <c r="C94" s="456" t="n">
        <v>3144</v>
      </c>
      <c r="D94" s="331" t="str">
        <f aca="false">A94&amp;" "&amp;B94&amp;" "&amp;C94</f>
        <v>16 мм ваниль 3144</v>
      </c>
      <c r="E94" s="331" t="str">
        <f aca="false">"Жалюзи алюмин. горизонтальные "&amp;D94</f>
        <v>Жалюзи алюмин. горизонтальные 16 мм ваниль 3144</v>
      </c>
      <c r="F94" s="331" t="n">
        <v>0.46</v>
      </c>
      <c r="G94" s="331" t="n">
        <v>2.1</v>
      </c>
      <c r="H94" s="331" t="n">
        <v>3</v>
      </c>
      <c r="I94" s="331" t="n">
        <v>6</v>
      </c>
      <c r="J94" s="348" t="n">
        <v>25.13</v>
      </c>
      <c r="K94" s="348" t="n">
        <f aca="false">J94*0.85</f>
        <v>21.3605</v>
      </c>
      <c r="L94" s="349" t="n">
        <f aca="false">K94*$B$2</f>
        <v>1815.6425</v>
      </c>
      <c r="M94" s="349" t="n">
        <f aca="false">L94*$M$2</f>
        <v>2723.46375</v>
      </c>
      <c r="O94" s="452" t="s">
        <v>472</v>
      </c>
      <c r="P94" s="452"/>
      <c r="Q94" s="452"/>
      <c r="R94" s="452"/>
      <c r="S94" s="452"/>
      <c r="T94" s="452"/>
      <c r="U94" s="452"/>
    </row>
    <row r="95" customFormat="false" ht="15" hidden="false" customHeight="false" outlineLevel="0" collapsed="false">
      <c r="A95" s="331" t="s">
        <v>394</v>
      </c>
      <c r="B95" s="455" t="s">
        <v>374</v>
      </c>
      <c r="C95" s="456" t="n">
        <v>4063</v>
      </c>
      <c r="D95" s="331" t="str">
        <f aca="false">A95&amp;" "&amp;B95&amp;" "&amp;C95</f>
        <v>16 мм персиковый 4063</v>
      </c>
      <c r="E95" s="331" t="str">
        <f aca="false">"Жалюзи алюмин. горизонтальные "&amp;D95</f>
        <v>Жалюзи алюмин. горизонтальные 16 мм персиковый 4063</v>
      </c>
      <c r="F95" s="331" t="n">
        <v>0.46</v>
      </c>
      <c r="G95" s="331" t="n">
        <v>2.1</v>
      </c>
      <c r="H95" s="331" t="n">
        <v>3</v>
      </c>
      <c r="I95" s="331" t="n">
        <v>6</v>
      </c>
      <c r="J95" s="348" t="n">
        <v>25.13</v>
      </c>
      <c r="K95" s="348" t="n">
        <f aca="false">J95*0.85</f>
        <v>21.3605</v>
      </c>
      <c r="L95" s="349" t="n">
        <f aca="false">K95*$B$2</f>
        <v>1815.6425</v>
      </c>
      <c r="M95" s="349" t="n">
        <f aca="false">L95*$M$2</f>
        <v>2723.46375</v>
      </c>
      <c r="O95" s="458" t="s">
        <v>473</v>
      </c>
      <c r="P95" s="458"/>
      <c r="Q95" s="458"/>
      <c r="R95" s="458"/>
      <c r="S95" s="458"/>
      <c r="T95" s="458"/>
      <c r="U95" s="458"/>
    </row>
    <row r="96" customFormat="false" ht="12.8" hidden="false" customHeight="false" outlineLevel="0" collapsed="false">
      <c r="A96" s="331" t="s">
        <v>394</v>
      </c>
      <c r="B96" s="455" t="s">
        <v>400</v>
      </c>
      <c r="C96" s="456" t="n">
        <v>7005</v>
      </c>
      <c r="D96" s="331" t="str">
        <f aca="false">A96&amp;" "&amp;B96&amp;" "&amp;C96</f>
        <v>16 мм металлик 7005</v>
      </c>
      <c r="E96" s="331" t="str">
        <f aca="false">"Жалюзи алюмин. горизонтальные "&amp;D96</f>
        <v>Жалюзи алюмин. горизонтальные 16 мм металлик 7005</v>
      </c>
      <c r="F96" s="331" t="n">
        <v>0.46</v>
      </c>
      <c r="G96" s="331" t="n">
        <v>2.1</v>
      </c>
      <c r="H96" s="331" t="n">
        <v>3</v>
      </c>
      <c r="I96" s="331" t="n">
        <v>6</v>
      </c>
      <c r="J96" s="348" t="n">
        <v>25.13</v>
      </c>
      <c r="K96" s="348" t="n">
        <f aca="false">J96*0.85</f>
        <v>21.3605</v>
      </c>
      <c r="L96" s="349" t="n">
        <f aca="false">K96*$B$2</f>
        <v>1815.6425</v>
      </c>
      <c r="M96" s="349" t="n">
        <f aca="false">L96*$M$2</f>
        <v>2723.46375</v>
      </c>
    </row>
    <row r="97" customFormat="false" ht="12.8" hidden="false" customHeight="false" outlineLevel="0" collapsed="false">
      <c r="A97" s="331" t="s">
        <v>394</v>
      </c>
      <c r="B97" s="455" t="s">
        <v>384</v>
      </c>
      <c r="C97" s="456" t="n">
        <v>7013</v>
      </c>
      <c r="D97" s="331" t="str">
        <f aca="false">A97&amp;" "&amp;B97&amp;" "&amp;C97</f>
        <v>16 мм серебро 7013</v>
      </c>
      <c r="E97" s="331" t="str">
        <f aca="false">"Жалюзи алюмин. горизонтальные "&amp;D97</f>
        <v>Жалюзи алюмин. горизонтальные 16 мм серебро 7013</v>
      </c>
      <c r="F97" s="331" t="n">
        <v>0.46</v>
      </c>
      <c r="G97" s="331" t="n">
        <v>2.1</v>
      </c>
      <c r="H97" s="331" t="n">
        <v>3</v>
      </c>
      <c r="I97" s="331" t="n">
        <v>6</v>
      </c>
      <c r="J97" s="348" t="n">
        <v>25.13</v>
      </c>
      <c r="K97" s="348" t="n">
        <f aca="false">J97*0.85</f>
        <v>21.3605</v>
      </c>
      <c r="L97" s="349" t="n">
        <f aca="false">K97*$B$2</f>
        <v>1815.6425</v>
      </c>
      <c r="M97" s="349" t="n">
        <f aca="false">L97*$M$2</f>
        <v>2723.46375</v>
      </c>
    </row>
    <row r="98" customFormat="false" ht="12.8" hidden="false" customHeight="false" outlineLevel="0" collapsed="false">
      <c r="A98" s="331" t="s">
        <v>394</v>
      </c>
      <c r="B98" s="457" t="s">
        <v>401</v>
      </c>
      <c r="C98" s="456" t="n">
        <v>7122</v>
      </c>
      <c r="D98" s="331" t="str">
        <f aca="false">A98&amp;" "&amp;B98&amp;" "&amp;C98</f>
        <v>16 мм золото 7122</v>
      </c>
      <c r="E98" s="331" t="str">
        <f aca="false">"Жалюзи алюмин. горизонтальные "&amp;D98</f>
        <v>Жалюзи алюмин. горизонтальные 16 мм золото 7122</v>
      </c>
      <c r="F98" s="331" t="n">
        <v>0.46</v>
      </c>
      <c r="G98" s="331" t="n">
        <v>2.1</v>
      </c>
      <c r="H98" s="331" t="n">
        <v>3</v>
      </c>
      <c r="I98" s="331" t="n">
        <v>6</v>
      </c>
      <c r="J98" s="348" t="n">
        <v>25.13</v>
      </c>
      <c r="K98" s="348" t="n">
        <f aca="false">J98*0.85</f>
        <v>21.3605</v>
      </c>
      <c r="L98" s="349" t="n">
        <f aca="false">K98*$B$2</f>
        <v>1815.6425</v>
      </c>
      <c r="M98" s="349" t="n">
        <f aca="false">L98*$M$2</f>
        <v>2723.46375</v>
      </c>
    </row>
    <row r="99" customFormat="false" ht="12.8" hidden="false" customHeight="false" outlineLevel="0" collapsed="false">
      <c r="A99" s="331" t="s">
        <v>394</v>
      </c>
      <c r="B99" s="455" t="s">
        <v>403</v>
      </c>
      <c r="C99" s="456" t="n">
        <v>7128</v>
      </c>
      <c r="D99" s="331" t="str">
        <f aca="false">A99&amp;" "&amp;B99&amp;" "&amp;C99</f>
        <v>16 мм красное золото 7128</v>
      </c>
      <c r="E99" s="331" t="str">
        <f aca="false">"Жалюзи алюмин. горизонтальные "&amp;D99</f>
        <v>Жалюзи алюмин. горизонтальные 16 мм красное золото 7128</v>
      </c>
      <c r="F99" s="331" t="n">
        <v>0.46</v>
      </c>
      <c r="G99" s="331" t="n">
        <v>2.1</v>
      </c>
      <c r="H99" s="331" t="n">
        <v>3</v>
      </c>
      <c r="I99" s="331" t="n">
        <v>6</v>
      </c>
      <c r="J99" s="348" t="n">
        <v>25.13</v>
      </c>
      <c r="K99" s="348" t="n">
        <f aca="false">J99*0.85</f>
        <v>21.3605</v>
      </c>
      <c r="L99" s="349" t="n">
        <f aca="false">K99*$B$2</f>
        <v>1815.6425</v>
      </c>
      <c r="M99" s="349" t="n">
        <f aca="false">L99*$M$2</f>
        <v>2723.46375</v>
      </c>
    </row>
    <row r="100" customFormat="false" ht="12.8" hidden="false" customHeight="false" outlineLevel="0" collapsed="false">
      <c r="A100" s="331" t="s">
        <v>394</v>
      </c>
      <c r="B100" s="455" t="s">
        <v>404</v>
      </c>
      <c r="C100" s="456" t="n">
        <v>6012</v>
      </c>
      <c r="D100" s="331" t="str">
        <f aca="false">A100&amp;" "&amp;B100&amp;" "&amp;C100</f>
        <v>16 мм под дерево бук 6012</v>
      </c>
      <c r="E100" s="331" t="str">
        <f aca="false">"Жалюзи алюмин. горизонтальные "&amp;D100</f>
        <v>Жалюзи алюмин. горизонтальные 16 мм под дерево бук 6012</v>
      </c>
      <c r="F100" s="331" t="n">
        <v>0.46</v>
      </c>
      <c r="G100" s="331" t="n">
        <v>2.1</v>
      </c>
      <c r="H100" s="331" t="n">
        <v>3</v>
      </c>
      <c r="I100" s="331" t="n">
        <v>6</v>
      </c>
      <c r="J100" s="348" t="n">
        <v>47.57</v>
      </c>
      <c r="K100" s="348" t="n">
        <f aca="false">J100*0.85</f>
        <v>40.4345</v>
      </c>
      <c r="L100" s="349" t="n">
        <f aca="false">K100*$B$2</f>
        <v>3436.9325</v>
      </c>
      <c r="M100" s="349" t="n">
        <f aca="false">L100*$M$2</f>
        <v>5155.39875</v>
      </c>
    </row>
    <row r="101" customFormat="false" ht="12.8" hidden="false" customHeight="false" outlineLevel="0" collapsed="false">
      <c r="A101" s="331" t="s">
        <v>394</v>
      </c>
      <c r="B101" s="455" t="s">
        <v>406</v>
      </c>
      <c r="C101" s="456" t="n">
        <v>6013</v>
      </c>
      <c r="D101" s="331" t="str">
        <f aca="false">A101&amp;" "&amp;B101&amp;" "&amp;C101</f>
        <v>16 мм под дерево дуб 6013</v>
      </c>
      <c r="E101" s="331" t="str">
        <f aca="false">"Жалюзи алюмин. горизонтальные "&amp;D101</f>
        <v>Жалюзи алюмин. горизонтальные 16 мм под дерево дуб 6013</v>
      </c>
      <c r="F101" s="331" t="n">
        <v>0.46</v>
      </c>
      <c r="G101" s="331" t="n">
        <v>2.1</v>
      </c>
      <c r="H101" s="331" t="n">
        <v>3</v>
      </c>
      <c r="I101" s="331" t="n">
        <v>6</v>
      </c>
      <c r="J101" s="348" t="n">
        <v>47.57</v>
      </c>
      <c r="K101" s="348" t="n">
        <f aca="false">J101*0.85</f>
        <v>40.4345</v>
      </c>
      <c r="L101" s="349" t="n">
        <f aca="false">K101*$B$2</f>
        <v>3436.9325</v>
      </c>
      <c r="M101" s="349" t="n">
        <f aca="false">L101*$M$2</f>
        <v>5155.39875</v>
      </c>
    </row>
    <row r="107" customFormat="false" ht="12.8" hidden="false" customHeight="false" outlineLevel="0" collapsed="false">
      <c r="D107" s="459" t="s">
        <v>166</v>
      </c>
    </row>
    <row r="108" customFormat="false" ht="12.8" hidden="false" customHeight="false" outlineLevel="0" collapsed="false">
      <c r="A108" s="307"/>
      <c r="B108" s="307"/>
      <c r="C108" s="0"/>
      <c r="D108" s="334" t="s">
        <v>474</v>
      </c>
      <c r="E108" s="307" t="s">
        <v>475</v>
      </c>
      <c r="J108" s="331" t="n">
        <v>0</v>
      </c>
      <c r="K108" s="348" t="n">
        <f aca="false">J108*0.85</f>
        <v>0</v>
      </c>
      <c r="L108" s="349" t="n">
        <f aca="false">ROUNDUP(K108*$B$2,0)</f>
        <v>0</v>
      </c>
      <c r="M108" s="349" t="n">
        <f aca="false">ROUNDUP(L108*$M$2,-1)</f>
        <v>0</v>
      </c>
    </row>
    <row r="109" customFormat="false" ht="12.8" hidden="false" customHeight="false" outlineLevel="0" collapsed="false">
      <c r="A109" s="460" t="s">
        <v>476</v>
      </c>
      <c r="B109" s="322" t="s">
        <v>477</v>
      </c>
      <c r="C109" s="0"/>
      <c r="D109" s="334" t="s">
        <v>478</v>
      </c>
      <c r="E109" s="325" t="s">
        <v>479</v>
      </c>
      <c r="J109" s="461" t="n">
        <f aca="false">'данные ГЖ дерево_пластик'!J61</f>
        <v>191.53</v>
      </c>
      <c r="K109" s="348" t="n">
        <f aca="false">J109*0.85</f>
        <v>162.8005</v>
      </c>
      <c r="L109" s="349" t="n">
        <f aca="false">ROUNDUP(K109*$B$2,0)</f>
        <v>13839</v>
      </c>
      <c r="M109" s="349" t="n">
        <f aca="false">ROUNDUP(L109*$M$2,-1)</f>
        <v>20760</v>
      </c>
    </row>
    <row r="110" customFormat="false" ht="12.8" hidden="false" customHeight="false" outlineLevel="0" collapsed="false">
      <c r="A110" s="460" t="s">
        <v>480</v>
      </c>
      <c r="B110" s="322" t="s">
        <v>477</v>
      </c>
      <c r="C110" s="0"/>
      <c r="D110" s="334" t="s">
        <v>481</v>
      </c>
      <c r="E110" s="325" t="s">
        <v>482</v>
      </c>
      <c r="J110" s="461" t="n">
        <f aca="false">'данные ГЖ дерево_пластик'!J62</f>
        <v>154.77</v>
      </c>
      <c r="K110" s="348" t="n">
        <f aca="false">J110*0.85</f>
        <v>131.5545</v>
      </c>
      <c r="L110" s="349" t="n">
        <f aca="false">ROUNDUP(K110*$B$2,0)</f>
        <v>11183</v>
      </c>
      <c r="M110" s="349" t="n">
        <f aca="false">ROUNDUP(L110*$M$2,-1)</f>
        <v>16780</v>
      </c>
    </row>
    <row r="111" customFormat="false" ht="12.8" hidden="false" customHeight="false" outlineLevel="0" collapsed="false">
      <c r="A111" s="460" t="s">
        <v>483</v>
      </c>
      <c r="B111" s="322" t="s">
        <v>484</v>
      </c>
      <c r="C111" s="0"/>
      <c r="D111" s="334" t="s">
        <v>485</v>
      </c>
      <c r="E111" s="325" t="s">
        <v>486</v>
      </c>
      <c r="J111" s="461" t="n">
        <f aca="false">'данные ГЖ дерево_пластик'!J63</f>
        <v>221.1</v>
      </c>
      <c r="K111" s="348" t="n">
        <f aca="false">J111*0.85</f>
        <v>187.935</v>
      </c>
      <c r="L111" s="349" t="n">
        <f aca="false">ROUNDUP(K111*$B$2,0)</f>
        <v>15975</v>
      </c>
      <c r="M111" s="349" t="n">
        <f aca="false">ROUNDUP(L111*$M$2,-1)</f>
        <v>23970</v>
      </c>
    </row>
    <row r="112" customFormat="false" ht="12.8" hidden="false" customHeight="false" outlineLevel="0" collapsed="false">
      <c r="A112" s="460" t="s">
        <v>487</v>
      </c>
      <c r="B112" s="322" t="s">
        <v>484</v>
      </c>
      <c r="C112" s="0"/>
      <c r="D112" s="334" t="s">
        <v>488</v>
      </c>
      <c r="E112" s="325" t="s">
        <v>489</v>
      </c>
      <c r="J112" s="461" t="n">
        <f aca="false">'данные ГЖ дерево_пластик'!J64</f>
        <v>216.17</v>
      </c>
      <c r="K112" s="348" t="n">
        <f aca="false">J112*0.85</f>
        <v>183.7445</v>
      </c>
      <c r="L112" s="349" t="n">
        <f aca="false">ROUNDUP(K112*$B$2,0)</f>
        <v>15619</v>
      </c>
      <c r="M112" s="349" t="n">
        <f aca="false">ROUNDUP(L112*$M$2,-1)</f>
        <v>23430</v>
      </c>
    </row>
    <row r="113" customFormat="false" ht="12.8" hidden="false" customHeight="false" outlineLevel="0" collapsed="false">
      <c r="A113" s="460" t="s">
        <v>490</v>
      </c>
      <c r="B113" s="322" t="s">
        <v>491</v>
      </c>
      <c r="C113" s="0"/>
      <c r="D113" s="334" t="s">
        <v>492</v>
      </c>
      <c r="E113" s="325" t="s">
        <v>493</v>
      </c>
      <c r="J113" s="461" t="n">
        <f aca="false">'данные ГЖ дерево_пластик'!J65</f>
        <v>269.45</v>
      </c>
      <c r="K113" s="348" t="n">
        <f aca="false">J113*0.85</f>
        <v>229.0325</v>
      </c>
      <c r="L113" s="349" t="n">
        <f aca="false">ROUNDUP(K113*$B$2,0)</f>
        <v>19468</v>
      </c>
      <c r="M113" s="349" t="n">
        <f aca="false">ROUNDUP(L113*$M$2,-1)</f>
        <v>29210</v>
      </c>
    </row>
    <row r="114" customFormat="false" ht="12.8" hidden="false" customHeight="false" outlineLevel="0" collapsed="false">
      <c r="A114" s="460" t="s">
        <v>494</v>
      </c>
      <c r="B114" s="322" t="s">
        <v>491</v>
      </c>
      <c r="C114" s="0"/>
      <c r="D114" s="334" t="s">
        <v>495</v>
      </c>
      <c r="E114" s="325" t="s">
        <v>496</v>
      </c>
      <c r="J114" s="461" t="n">
        <f aca="false">'данные ГЖ дерево_пластик'!J66</f>
        <v>312.15</v>
      </c>
      <c r="K114" s="348" t="n">
        <f aca="false">J114*0.85</f>
        <v>265.3275</v>
      </c>
      <c r="L114" s="349" t="n">
        <f aca="false">ROUNDUP(K114*$B$2,0)</f>
        <v>22553</v>
      </c>
      <c r="M114" s="349" t="n">
        <f aca="false">ROUNDUP(L114*$M$2,-1)</f>
        <v>33830</v>
      </c>
    </row>
    <row r="115" customFormat="false" ht="19.25" hidden="false" customHeight="false" outlineLevel="0" collapsed="false">
      <c r="A115" s="462" t="s">
        <v>497</v>
      </c>
      <c r="B115" s="463"/>
      <c r="C115" s="464"/>
      <c r="D115" s="334" t="s">
        <v>498</v>
      </c>
      <c r="E115" s="465" t="s">
        <v>499</v>
      </c>
      <c r="J115" s="461" t="n">
        <f aca="false">'данные ГЖ дерево_пластик'!J67</f>
        <v>372.18</v>
      </c>
      <c r="K115" s="348" t="n">
        <f aca="false">J115*0.85</f>
        <v>316.353</v>
      </c>
      <c r="L115" s="349" t="n">
        <f aca="false">ROUNDUP(K115*$B$2,0)</f>
        <v>26891</v>
      </c>
      <c r="M115" s="349" t="n">
        <f aca="false">ROUNDUP(L115*$M$2,-1)</f>
        <v>40340</v>
      </c>
    </row>
    <row r="116" customFormat="false" ht="12.8" hidden="false" customHeight="false" outlineLevel="0" collapsed="false">
      <c r="A116" s="462" t="s">
        <v>500</v>
      </c>
      <c r="B116" s="466"/>
      <c r="C116" s="464"/>
      <c r="D116" s="334" t="s">
        <v>501</v>
      </c>
      <c r="E116" s="465" t="s">
        <v>502</v>
      </c>
      <c r="J116" s="461" t="n">
        <f aca="false">'данные ГЖ дерево_пластик'!J68</f>
        <v>284.94</v>
      </c>
      <c r="K116" s="348" t="n">
        <f aca="false">J116*0.85</f>
        <v>242.199</v>
      </c>
      <c r="L116" s="349" t="n">
        <f aca="false">ROUNDUP(K116*$B$2,0)</f>
        <v>20587</v>
      </c>
      <c r="M116" s="349" t="n">
        <f aca="false">ROUNDUP(L116*$M$2,-1)</f>
        <v>30890</v>
      </c>
    </row>
    <row r="117" customFormat="false" ht="12.8" hidden="false" customHeight="false" outlineLevel="0" collapsed="false">
      <c r="A117" s="460" t="s">
        <v>503</v>
      </c>
      <c r="B117" s="467"/>
      <c r="C117" s="464"/>
      <c r="D117" s="334" t="s">
        <v>504</v>
      </c>
      <c r="E117" s="466" t="s">
        <v>505</v>
      </c>
      <c r="J117" s="461" t="n">
        <f aca="false">'данные ГЖ дерево_пластик'!J69</f>
        <v>429.78</v>
      </c>
      <c r="K117" s="348" t="n">
        <f aca="false">J117*0.85</f>
        <v>365.313</v>
      </c>
      <c r="L117" s="349" t="n">
        <f aca="false">ROUNDUP(K117*$B$2,0)</f>
        <v>31052</v>
      </c>
      <c r="M117" s="349" t="n">
        <f aca="false">ROUNDUP(L117*$M$2,-1)</f>
        <v>46580</v>
      </c>
    </row>
    <row r="118" customFormat="false" ht="12.8" hidden="false" customHeight="false" outlineLevel="0" collapsed="false">
      <c r="A118" s="460" t="s">
        <v>506</v>
      </c>
      <c r="B118" s="467"/>
      <c r="C118" s="464"/>
      <c r="D118" s="334" t="s">
        <v>507</v>
      </c>
      <c r="E118" s="466" t="s">
        <v>508</v>
      </c>
      <c r="J118" s="461" t="n">
        <f aca="false">'данные ГЖ дерево_пластик'!J70</f>
        <v>253.69</v>
      </c>
      <c r="K118" s="348" t="n">
        <f aca="false">J118*0.85</f>
        <v>215.6365</v>
      </c>
      <c r="L118" s="349" t="n">
        <f aca="false">ROUNDUP(K118*$B$2,0)</f>
        <v>18330</v>
      </c>
      <c r="M118" s="349" t="n">
        <f aca="false">ROUNDUP(L118*$M$2,-1)</f>
        <v>27500</v>
      </c>
    </row>
    <row r="119" customFormat="false" ht="12.8" hidden="false" customHeight="false" outlineLevel="0" collapsed="false">
      <c r="A119" s="460" t="s">
        <v>509</v>
      </c>
      <c r="B119" s="468"/>
      <c r="C119" s="464"/>
      <c r="D119" s="334" t="s">
        <v>510</v>
      </c>
      <c r="E119" s="466" t="s">
        <v>511</v>
      </c>
      <c r="J119" s="461" t="n">
        <f aca="false">'данные ГЖ дерево_пластик'!J71</f>
        <v>399.78</v>
      </c>
      <c r="K119" s="348" t="n">
        <f aca="false">J119*0.85</f>
        <v>339.813</v>
      </c>
      <c r="L119" s="349" t="n">
        <f aca="false">ROUNDUP(K119*$B$2,0)</f>
        <v>28885</v>
      </c>
      <c r="M119" s="349" t="n">
        <f aca="false">ROUNDUP(L119*$M$2,-1)</f>
        <v>43330</v>
      </c>
    </row>
    <row r="122" customFormat="false" ht="12.8" hidden="false" customHeight="false" outlineLevel="0" collapsed="false">
      <c r="E122" s="307" t="s">
        <v>512</v>
      </c>
    </row>
    <row r="123" customFormat="false" ht="12.8" hidden="false" customHeight="false" outlineLevel="0" collapsed="false">
      <c r="D123" s="469" t="s">
        <v>195</v>
      </c>
      <c r="E123" s="470" t="s">
        <v>513</v>
      </c>
      <c r="F123" s="469"/>
      <c r="G123" s="469"/>
      <c r="H123" s="469"/>
      <c r="I123" s="469"/>
      <c r="J123" s="471" t="n">
        <v>3</v>
      </c>
      <c r="K123" s="348" t="n">
        <f aca="false">J123*0.85</f>
        <v>2.55</v>
      </c>
      <c r="L123" s="469"/>
      <c r="M123" s="472" t="n">
        <f aca="false">K123*$B$2*$M$2</f>
        <v>325.125</v>
      </c>
    </row>
    <row r="124" customFormat="false" ht="12.8" hidden="false" customHeight="false" outlineLevel="0" collapsed="false">
      <c r="D124" s="469" t="s">
        <v>162</v>
      </c>
      <c r="E124" s="470" t="s">
        <v>514</v>
      </c>
      <c r="F124" s="469"/>
      <c r="G124" s="469"/>
      <c r="H124" s="469"/>
      <c r="I124" s="469"/>
      <c r="J124" s="471" t="n">
        <v>10</v>
      </c>
      <c r="K124" s="348" t="n">
        <f aca="false">J124*0.85</f>
        <v>8.5</v>
      </c>
      <c r="L124" s="469"/>
      <c r="M124" s="472" t="n">
        <f aca="false">K124*$B$2*$M$2</f>
        <v>1083.75</v>
      </c>
      <c r="N124" s="473"/>
    </row>
    <row r="125" customFormat="false" ht="12.8" hidden="false" customHeight="false" outlineLevel="0" collapsed="false">
      <c r="D125" s="469" t="s">
        <v>515</v>
      </c>
      <c r="E125" s="474" t="s">
        <v>516</v>
      </c>
      <c r="F125" s="469"/>
      <c r="G125" s="469"/>
      <c r="H125" s="469"/>
      <c r="I125" s="469"/>
      <c r="J125" s="471" t="n">
        <v>18</v>
      </c>
      <c r="K125" s="348" t="n">
        <f aca="false">J125*0.85</f>
        <v>15.3</v>
      </c>
      <c r="L125" s="469"/>
      <c r="M125" s="472" t="n">
        <f aca="false">K125*$B$2*$M$2</f>
        <v>1950.75</v>
      </c>
    </row>
    <row r="126" customFormat="false" ht="12.8" hidden="false" customHeight="false" outlineLevel="0" collapsed="false">
      <c r="E126" s="307" t="s">
        <v>517</v>
      </c>
      <c r="J126" s="471" t="n">
        <v>2</v>
      </c>
      <c r="K126" s="348" t="n">
        <f aca="false">J126*0.85</f>
        <v>1.7</v>
      </c>
      <c r="M126" s="472" t="n">
        <f aca="false">K126*$B$2*$M$2</f>
        <v>216.75</v>
      </c>
    </row>
  </sheetData>
  <mergeCells count="45">
    <mergeCell ref="T5:T6"/>
    <mergeCell ref="U5:U6"/>
    <mergeCell ref="Q6:Q38"/>
    <mergeCell ref="T7:T8"/>
    <mergeCell ref="U7:U10"/>
    <mergeCell ref="T9:T10"/>
    <mergeCell ref="T11:T14"/>
    <mergeCell ref="U11:U14"/>
    <mergeCell ref="T15:T17"/>
    <mergeCell ref="U15:U17"/>
    <mergeCell ref="T18:T20"/>
    <mergeCell ref="U18:U20"/>
    <mergeCell ref="S22:U22"/>
    <mergeCell ref="U23:U27"/>
    <mergeCell ref="S28:U28"/>
    <mergeCell ref="S31:U31"/>
    <mergeCell ref="U33:U43"/>
    <mergeCell ref="Q39:Q53"/>
    <mergeCell ref="U44:U45"/>
    <mergeCell ref="S46:U46"/>
    <mergeCell ref="S47:U47"/>
    <mergeCell ref="U48:U52"/>
    <mergeCell ref="S53:U53"/>
    <mergeCell ref="U54:U61"/>
    <mergeCell ref="Q56:Q60"/>
    <mergeCell ref="Q61:Q69"/>
    <mergeCell ref="O70:U70"/>
    <mergeCell ref="S74:U74"/>
    <mergeCell ref="O79:U79"/>
    <mergeCell ref="O80:U80"/>
    <mergeCell ref="O81:U81"/>
    <mergeCell ref="O82:U82"/>
    <mergeCell ref="O83:U83"/>
    <mergeCell ref="O84:U84"/>
    <mergeCell ref="O85:U85"/>
    <mergeCell ref="O86:U86"/>
    <mergeCell ref="O87:U87"/>
    <mergeCell ref="O88:U88"/>
    <mergeCell ref="O89:U89"/>
    <mergeCell ref="O90:U90"/>
    <mergeCell ref="O91:U91"/>
    <mergeCell ref="O92:U92"/>
    <mergeCell ref="O93:U93"/>
    <mergeCell ref="O94:U94"/>
    <mergeCell ref="O95:U9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L45" activeCellId="0" sqref="L4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5.68"/>
    <col collapsed="false" customWidth="true" hidden="false" outlineLevel="0" max="4" min="4" style="0" width="51.91"/>
    <col collapsed="false" customWidth="true" hidden="false" outlineLevel="0" max="5" min="5" style="0" width="3.64"/>
    <col collapsed="false" customWidth="true" hidden="false" outlineLevel="0" max="6" min="6" style="0" width="57.72"/>
    <col collapsed="false" customWidth="true" hidden="false" outlineLevel="0" max="10" min="9" style="0" width="11.11"/>
    <col collapsed="false" customWidth="true" hidden="false" outlineLevel="0" max="11" min="11" style="0" width="12.87"/>
    <col collapsed="false" customWidth="true" hidden="false" outlineLevel="0" max="12" min="12" style="0" width="9.65"/>
  </cols>
  <sheetData>
    <row r="1" customFormat="false" ht="12.8" hidden="false" customHeight="false" outlineLevel="0" collapsed="false">
      <c r="J1" s="4" t="s">
        <v>0</v>
      </c>
      <c r="K1" s="5" t="s">
        <v>1</v>
      </c>
      <c r="L1" s="6" t="s">
        <v>2</v>
      </c>
      <c r="N1" s="475" t="s">
        <v>336</v>
      </c>
    </row>
    <row r="2" customFormat="false" ht="12.8" hidden="false" customHeight="false" outlineLevel="0" collapsed="false">
      <c r="J2" s="0" t="n">
        <f aca="false">'ШАБЛОН РАСЧЁТА'!$B$2</f>
        <v>85</v>
      </c>
      <c r="K2" s="0" t="n">
        <f aca="false">'ШАБЛОН РАСЧЁТА'!C2</f>
        <v>120</v>
      </c>
      <c r="L2" s="0" t="n">
        <f aca="false">'ШАБЛОН РАСЧЁТА'!D2</f>
        <v>12.54</v>
      </c>
      <c r="N2" s="476" t="n">
        <v>2</v>
      </c>
    </row>
    <row r="3" customFormat="false" ht="12.8" hidden="false" customHeight="false" outlineLevel="0" collapsed="false">
      <c r="F3" s="477" t="s">
        <v>518</v>
      </c>
      <c r="G3" s="477"/>
      <c r="H3" s="477"/>
      <c r="I3" s="477"/>
      <c r="J3" s="477"/>
    </row>
    <row r="4" s="478" customFormat="true" ht="58.4" hidden="false" customHeight="false" outlineLevel="0" collapsed="false">
      <c r="A4" s="0"/>
      <c r="B4" s="478" t="s">
        <v>519</v>
      </c>
      <c r="C4" s="479"/>
      <c r="D4" s="478" t="s">
        <v>520</v>
      </c>
      <c r="I4" s="478" t="s">
        <v>521</v>
      </c>
      <c r="J4" s="478" t="s">
        <v>522</v>
      </c>
      <c r="K4" s="478" t="s">
        <v>523</v>
      </c>
      <c r="L4" s="478" t="s">
        <v>524</v>
      </c>
      <c r="M4" s="478" t="s">
        <v>525</v>
      </c>
      <c r="N4" s="480" t="s">
        <v>526</v>
      </c>
      <c r="O4" s="481" t="s">
        <v>527</v>
      </c>
      <c r="P4" s="478" t="s">
        <v>528</v>
      </c>
      <c r="Q4" s="478" t="s">
        <v>529</v>
      </c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s">
        <v>530</v>
      </c>
      <c r="B5" s="0" t="s">
        <v>531</v>
      </c>
      <c r="D5" s="0" t="s">
        <v>532</v>
      </c>
      <c r="F5" s="482" t="s">
        <v>533</v>
      </c>
      <c r="M5" s="483" t="n">
        <f aca="false">SUM(L6:L10)</f>
        <v>1359.36295159367</v>
      </c>
      <c r="N5" s="484" t="n">
        <f aca="false">SUM(L11:L16)</f>
        <v>6868.45333333333</v>
      </c>
      <c r="O5" s="485" t="n">
        <f aca="false">L17</f>
        <v>3.74</v>
      </c>
    </row>
    <row r="6" customFormat="false" ht="12.8" hidden="false" customHeight="false" outlineLevel="0" collapsed="false">
      <c r="F6" s="331" t="s">
        <v>534</v>
      </c>
      <c r="G6" s="0" t="n">
        <v>1</v>
      </c>
      <c r="I6" s="486"/>
      <c r="J6" s="483" t="n">
        <f aca="false">VLOOKUP(F6,'Рулонки компл. Амиго '!$B$7:$D$1031,3,0)</f>
        <v>74.7491275</v>
      </c>
      <c r="K6" s="483" t="n">
        <f aca="false">J6*G6</f>
        <v>74.7491275</v>
      </c>
      <c r="L6" s="483" t="n">
        <f aca="false">K6*$N$2</f>
        <v>149.498255</v>
      </c>
    </row>
    <row r="7" customFormat="false" ht="12.8" hidden="false" customHeight="false" outlineLevel="0" collapsed="false">
      <c r="F7" s="331" t="s">
        <v>535</v>
      </c>
      <c r="G7" s="0" t="n">
        <v>1</v>
      </c>
      <c r="I7" s="486"/>
      <c r="J7" s="483" t="n">
        <f aca="false">VLOOKUP(F7,'Рулонки компл. Амиго '!$B$7:$D$1031,3,0)</f>
        <v>71.1890149635</v>
      </c>
      <c r="K7" s="483" t="n">
        <f aca="false">J7*G7</f>
        <v>71.1890149635</v>
      </c>
      <c r="L7" s="483" t="n">
        <f aca="false">K7*$N$2</f>
        <v>142.378029927</v>
      </c>
    </row>
    <row r="8" customFormat="false" ht="12.8" hidden="false" customHeight="false" outlineLevel="0" collapsed="false">
      <c r="F8" s="0" t="s">
        <v>536</v>
      </c>
      <c r="G8" s="0" t="n">
        <v>1</v>
      </c>
      <c r="I8" s="486" t="n">
        <v>2.418</v>
      </c>
      <c r="J8" s="483" t="n">
        <f aca="false">I8*$J$2</f>
        <v>205.53</v>
      </c>
      <c r="K8" s="483" t="n">
        <f aca="false">J8*G8</f>
        <v>205.53</v>
      </c>
      <c r="L8" s="483" t="n">
        <f aca="false">K8*$N$2</f>
        <v>411.06</v>
      </c>
    </row>
    <row r="9" customFormat="false" ht="12.8" hidden="false" customHeight="false" outlineLevel="0" collapsed="false">
      <c r="F9" s="0" t="s">
        <v>537</v>
      </c>
      <c r="G9" s="0" t="n">
        <v>2</v>
      </c>
      <c r="I9" s="486" t="n">
        <v>1.044</v>
      </c>
      <c r="J9" s="483" t="n">
        <f aca="false">I9*$J$2</f>
        <v>88.74</v>
      </c>
      <c r="K9" s="483" t="n">
        <f aca="false">J9*G9</f>
        <v>177.48</v>
      </c>
      <c r="L9" s="483" t="n">
        <f aca="false">K9*$N$2</f>
        <v>354.96</v>
      </c>
    </row>
    <row r="10" customFormat="false" ht="12.8" hidden="false" customHeight="false" outlineLevel="0" collapsed="false">
      <c r="F10" s="0" t="s">
        <v>538</v>
      </c>
      <c r="G10" s="0" t="n">
        <v>2</v>
      </c>
      <c r="I10" s="487" t="n">
        <f aca="false">66.5/75</f>
        <v>0.886666666666667</v>
      </c>
      <c r="J10" s="488" t="n">
        <f aca="false">I10*$J$2</f>
        <v>75.3666666666667</v>
      </c>
      <c r="K10" s="483" t="n">
        <f aca="false">J10*G10</f>
        <v>150.733333333333</v>
      </c>
      <c r="L10" s="483" t="n">
        <f aca="false">K10*$N$2</f>
        <v>301.466666666667</v>
      </c>
    </row>
    <row r="11" s="489" customFormat="true" ht="12.8" hidden="false" customHeight="false" outlineLevel="0" collapsed="false">
      <c r="F11" s="489" t="s">
        <v>539</v>
      </c>
      <c r="G11" s="490" t="n">
        <v>1.2</v>
      </c>
      <c r="H11" s="491"/>
      <c r="I11" s="492" t="n">
        <f aca="false">1264/75</f>
        <v>16.8533333333333</v>
      </c>
      <c r="J11" s="484" t="n">
        <f aca="false">I11*$J$2</f>
        <v>1432.53333333333</v>
      </c>
      <c r="K11" s="484" t="n">
        <f aca="false">J11*G11</f>
        <v>1719.04</v>
      </c>
      <c r="L11" s="484" t="n">
        <f aca="false">K11*$N$2</f>
        <v>3438.08</v>
      </c>
      <c r="AMF11" s="0"/>
      <c r="AMG11" s="0"/>
      <c r="AMH11" s="0"/>
      <c r="AMI11" s="0"/>
      <c r="AMJ11" s="0"/>
    </row>
    <row r="12" s="489" customFormat="true" ht="12.8" hidden="false" customHeight="false" outlineLevel="0" collapsed="false">
      <c r="F12" s="489" t="s">
        <v>540</v>
      </c>
      <c r="G12" s="489" t="n">
        <v>1.2</v>
      </c>
      <c r="I12" s="492" t="n">
        <f aca="false">486/75</f>
        <v>6.48</v>
      </c>
      <c r="J12" s="484" t="n">
        <f aca="false">I12*$J$2</f>
        <v>550.8</v>
      </c>
      <c r="K12" s="484" t="n">
        <f aca="false">J12*G12</f>
        <v>660.96</v>
      </c>
      <c r="L12" s="484" t="n">
        <f aca="false">K12*$N$2</f>
        <v>1321.92</v>
      </c>
      <c r="AMF12" s="0"/>
      <c r="AMG12" s="0"/>
      <c r="AMH12" s="0"/>
      <c r="AMI12" s="0"/>
      <c r="AMJ12" s="0"/>
    </row>
    <row r="13" s="489" customFormat="true" ht="12.8" hidden="false" customHeight="false" outlineLevel="0" collapsed="false">
      <c r="F13" s="489" t="s">
        <v>541</v>
      </c>
      <c r="G13" s="489" t="n">
        <v>1.2</v>
      </c>
      <c r="I13" s="493" t="n">
        <f aca="false">110/75</f>
        <v>1.46666666666667</v>
      </c>
      <c r="J13" s="484" t="n">
        <f aca="false">I13*$J$2</f>
        <v>124.666666666667</v>
      </c>
      <c r="K13" s="484" t="n">
        <f aca="false">J13*G13</f>
        <v>149.6</v>
      </c>
      <c r="L13" s="484" t="n">
        <f aca="false">K13*$N$2</f>
        <v>299.2</v>
      </c>
      <c r="AMF13" s="0"/>
      <c r="AMG13" s="0"/>
      <c r="AMH13" s="0"/>
      <c r="AMI13" s="0"/>
      <c r="AMJ13" s="0"/>
    </row>
    <row r="14" s="489" customFormat="true" ht="12.8" hidden="false" customHeight="false" outlineLevel="0" collapsed="false">
      <c r="F14" s="489" t="s">
        <v>542</v>
      </c>
      <c r="G14" s="489" t="n">
        <v>1.2</v>
      </c>
      <c r="I14" s="493" t="n">
        <f aca="false">6/75</f>
        <v>0.08</v>
      </c>
      <c r="J14" s="484" t="n">
        <f aca="false">I14*$J$2</f>
        <v>6.8</v>
      </c>
      <c r="K14" s="484" t="n">
        <f aca="false">J14*G14</f>
        <v>8.16</v>
      </c>
      <c r="L14" s="484" t="n">
        <f aca="false">K14*$N$2</f>
        <v>16.32</v>
      </c>
      <c r="AMF14" s="0"/>
      <c r="AMG14" s="0"/>
      <c r="AMH14" s="0"/>
      <c r="AMI14" s="0"/>
      <c r="AMJ14" s="0"/>
    </row>
    <row r="15" s="489" customFormat="true" ht="12.8" hidden="false" customHeight="false" outlineLevel="0" collapsed="false">
      <c r="F15" s="489" t="s">
        <v>543</v>
      </c>
      <c r="G15" s="489" t="n">
        <v>2</v>
      </c>
      <c r="I15" s="493" t="n">
        <f aca="false">133/75</f>
        <v>1.77333333333333</v>
      </c>
      <c r="J15" s="484" t="n">
        <f aca="false">I15*$J$2</f>
        <v>150.733333333333</v>
      </c>
      <c r="K15" s="484" t="n">
        <f aca="false">J15*G15</f>
        <v>301.466666666667</v>
      </c>
      <c r="L15" s="484" t="n">
        <f aca="false">K15*$N$2</f>
        <v>602.933333333333</v>
      </c>
      <c r="AMF15" s="0"/>
      <c r="AMG15" s="0"/>
      <c r="AMH15" s="0"/>
      <c r="AMI15" s="0"/>
      <c r="AMJ15" s="0"/>
    </row>
    <row r="16" s="489" customFormat="true" ht="12.8" hidden="false" customHeight="false" outlineLevel="0" collapsed="false">
      <c r="F16" s="489" t="s">
        <v>544</v>
      </c>
      <c r="G16" s="489" t="n">
        <v>3</v>
      </c>
      <c r="I16" s="492" t="n">
        <f aca="false">175/75</f>
        <v>2.33333333333333</v>
      </c>
      <c r="J16" s="484" t="n">
        <f aca="false">I16*$J$2</f>
        <v>198.333333333333</v>
      </c>
      <c r="K16" s="484" t="n">
        <f aca="false">J16*G16</f>
        <v>595</v>
      </c>
      <c r="L16" s="484" t="n">
        <f aca="false">K16*$N$2</f>
        <v>1190</v>
      </c>
      <c r="AMF16" s="0"/>
      <c r="AMG16" s="0"/>
      <c r="AMH16" s="0"/>
      <c r="AMI16" s="0"/>
      <c r="AMJ16" s="0"/>
    </row>
    <row r="17" s="494" customFormat="true" ht="12.8" hidden="false" customHeight="false" outlineLevel="0" collapsed="false">
      <c r="F17" s="494" t="s">
        <v>545</v>
      </c>
      <c r="G17" s="494" t="n">
        <v>1.1</v>
      </c>
      <c r="I17" s="495" t="n">
        <v>0.02</v>
      </c>
      <c r="J17" s="485" t="n">
        <f aca="false">I17*$J$2</f>
        <v>1.7</v>
      </c>
      <c r="K17" s="485" t="n">
        <f aca="false">J17*G17</f>
        <v>1.87</v>
      </c>
      <c r="L17" s="485" t="n">
        <f aca="false">K17*$N$2</f>
        <v>3.74</v>
      </c>
      <c r="AMF17" s="0"/>
      <c r="AMG17" s="0"/>
      <c r="AMH17" s="0"/>
      <c r="AMI17" s="0"/>
      <c r="AMJ17" s="0"/>
    </row>
    <row r="18" customFormat="false" ht="12.8" hidden="false" customHeight="false" outlineLevel="0" collapsed="false">
      <c r="F18" s="0" t="s">
        <v>546</v>
      </c>
      <c r="L18" s="0" t="n">
        <v>3000</v>
      </c>
    </row>
    <row r="20" customFormat="false" ht="12.8" hidden="false" customHeight="false" outlineLevel="0" collapsed="false">
      <c r="A20" s="0" t="s">
        <v>547</v>
      </c>
      <c r="B20" s="0" t="s">
        <v>548</v>
      </c>
      <c r="D20" s="0" t="s">
        <v>549</v>
      </c>
      <c r="F20" s="482" t="s">
        <v>550</v>
      </c>
      <c r="M20" s="483" t="n">
        <f aca="false">SUM(L21:L24)</f>
        <v>1956.92066666667</v>
      </c>
      <c r="N20" s="484" t="n">
        <f aca="false">SUM(L25:L30)</f>
        <v>6868.45333333333</v>
      </c>
      <c r="O20" s="485" t="n">
        <f aca="false">L31</f>
        <v>3.74</v>
      </c>
    </row>
    <row r="21" customFormat="false" ht="12.8" hidden="false" customHeight="false" outlineLevel="0" collapsed="false">
      <c r="F21" s="0" t="s">
        <v>551</v>
      </c>
      <c r="G21" s="0" t="n">
        <v>1</v>
      </c>
      <c r="K21" s="483" t="n">
        <f aca="false">'_Рулонки компл. Somfy'!E47</f>
        <v>889.434</v>
      </c>
      <c r="L21" s="483" t="n">
        <f aca="false">K21</f>
        <v>889.434</v>
      </c>
    </row>
    <row r="22" customFormat="false" ht="12.8" hidden="false" customHeight="false" outlineLevel="0" collapsed="false">
      <c r="F22" s="0" t="s">
        <v>536</v>
      </c>
      <c r="G22" s="0" t="n">
        <v>1</v>
      </c>
      <c r="I22" s="486" t="n">
        <v>2.418</v>
      </c>
      <c r="J22" s="483" t="n">
        <f aca="false">I22*$J$2</f>
        <v>205.53</v>
      </c>
      <c r="K22" s="483" t="n">
        <f aca="false">J22*G22</f>
        <v>205.53</v>
      </c>
      <c r="L22" s="483" t="n">
        <f aca="false">K22*$N$2</f>
        <v>411.06</v>
      </c>
    </row>
    <row r="23" customFormat="false" ht="12.8" hidden="false" customHeight="false" outlineLevel="0" collapsed="false">
      <c r="F23" s="0" t="s">
        <v>537</v>
      </c>
      <c r="G23" s="0" t="n">
        <v>2</v>
      </c>
      <c r="I23" s="486" t="n">
        <v>1.044</v>
      </c>
      <c r="J23" s="483" t="n">
        <f aca="false">I23*$J$2</f>
        <v>88.74</v>
      </c>
      <c r="K23" s="483" t="n">
        <f aca="false">J23*G23</f>
        <v>177.48</v>
      </c>
      <c r="L23" s="483" t="n">
        <f aca="false">K23*$N$2</f>
        <v>354.96</v>
      </c>
    </row>
    <row r="24" customFormat="false" ht="12.8" hidden="false" customHeight="false" outlineLevel="0" collapsed="false">
      <c r="F24" s="0" t="s">
        <v>538</v>
      </c>
      <c r="G24" s="0" t="n">
        <v>2</v>
      </c>
      <c r="I24" s="487" t="n">
        <f aca="false">66.5/75</f>
        <v>0.886666666666667</v>
      </c>
      <c r="J24" s="488" t="n">
        <f aca="false">I24*$J$2</f>
        <v>75.3666666666667</v>
      </c>
      <c r="K24" s="483" t="n">
        <f aca="false">J24*G24</f>
        <v>150.733333333333</v>
      </c>
      <c r="L24" s="483" t="n">
        <f aca="false">K24*$N$2</f>
        <v>301.466666666667</v>
      </c>
    </row>
    <row r="25" customFormat="false" ht="12.8" hidden="false" customHeight="false" outlineLevel="0" collapsed="false">
      <c r="F25" s="489" t="s">
        <v>539</v>
      </c>
      <c r="G25" s="490" t="n">
        <v>1.2</v>
      </c>
      <c r="I25" s="492" t="n">
        <f aca="false">1264/75</f>
        <v>16.8533333333333</v>
      </c>
      <c r="J25" s="484" t="n">
        <f aca="false">I25*$J$2</f>
        <v>1432.53333333333</v>
      </c>
      <c r="K25" s="484" t="n">
        <f aca="false">J25*G25</f>
        <v>1719.04</v>
      </c>
      <c r="L25" s="484" t="n">
        <f aca="false">K25*$N$2</f>
        <v>3438.08</v>
      </c>
    </row>
    <row r="26" customFormat="false" ht="12.8" hidden="false" customHeight="false" outlineLevel="0" collapsed="false">
      <c r="F26" s="489" t="s">
        <v>540</v>
      </c>
      <c r="G26" s="489" t="n">
        <v>1.2</v>
      </c>
      <c r="I26" s="492" t="n">
        <f aca="false">486/75</f>
        <v>6.48</v>
      </c>
      <c r="J26" s="484" t="n">
        <f aca="false">I26*$J$2</f>
        <v>550.8</v>
      </c>
      <c r="K26" s="484" t="n">
        <f aca="false">J26*G26</f>
        <v>660.96</v>
      </c>
      <c r="L26" s="484" t="n">
        <f aca="false">K26*$N$2</f>
        <v>1321.92</v>
      </c>
    </row>
    <row r="27" customFormat="false" ht="12.8" hidden="false" customHeight="false" outlineLevel="0" collapsed="false">
      <c r="F27" s="489" t="s">
        <v>541</v>
      </c>
      <c r="G27" s="489" t="n">
        <v>1.2</v>
      </c>
      <c r="I27" s="493" t="n">
        <f aca="false">110/75</f>
        <v>1.46666666666667</v>
      </c>
      <c r="J27" s="484" t="n">
        <f aca="false">I27*$J$2</f>
        <v>124.666666666667</v>
      </c>
      <c r="K27" s="484" t="n">
        <f aca="false">J27*G27</f>
        <v>149.6</v>
      </c>
      <c r="L27" s="484" t="n">
        <f aca="false">K27*$N$2</f>
        <v>299.2</v>
      </c>
    </row>
    <row r="28" customFormat="false" ht="12.8" hidden="false" customHeight="false" outlineLevel="0" collapsed="false">
      <c r="F28" s="489" t="s">
        <v>542</v>
      </c>
      <c r="G28" s="489" t="n">
        <v>1.2</v>
      </c>
      <c r="I28" s="493" t="n">
        <f aca="false">6/75</f>
        <v>0.08</v>
      </c>
      <c r="J28" s="484" t="n">
        <f aca="false">I28*$J$2</f>
        <v>6.8</v>
      </c>
      <c r="K28" s="484" t="n">
        <f aca="false">J28*G28</f>
        <v>8.16</v>
      </c>
      <c r="L28" s="484" t="n">
        <f aca="false">K28*$N$2</f>
        <v>16.32</v>
      </c>
    </row>
    <row r="29" customFormat="false" ht="12.8" hidden="false" customHeight="false" outlineLevel="0" collapsed="false">
      <c r="F29" s="489" t="s">
        <v>543</v>
      </c>
      <c r="G29" s="489" t="n">
        <v>2</v>
      </c>
      <c r="I29" s="493" t="n">
        <f aca="false">133/75</f>
        <v>1.77333333333333</v>
      </c>
      <c r="J29" s="484" t="n">
        <f aca="false">I29*$J$2</f>
        <v>150.733333333333</v>
      </c>
      <c r="K29" s="484" t="n">
        <f aca="false">J29*G29</f>
        <v>301.466666666667</v>
      </c>
      <c r="L29" s="484" t="n">
        <f aca="false">K29*$N$2</f>
        <v>602.933333333333</v>
      </c>
    </row>
    <row r="30" customFormat="false" ht="12.8" hidden="false" customHeight="false" outlineLevel="0" collapsed="false">
      <c r="F30" s="489" t="s">
        <v>544</v>
      </c>
      <c r="G30" s="489" t="n">
        <v>3</v>
      </c>
      <c r="I30" s="492" t="n">
        <f aca="false">175/75</f>
        <v>2.33333333333333</v>
      </c>
      <c r="J30" s="484" t="n">
        <f aca="false">I30*$J$2</f>
        <v>198.333333333333</v>
      </c>
      <c r="K30" s="484" t="n">
        <f aca="false">J30*G30</f>
        <v>595</v>
      </c>
      <c r="L30" s="484" t="n">
        <f aca="false">K30*$N$2</f>
        <v>1190</v>
      </c>
    </row>
    <row r="31" customFormat="false" ht="12.8" hidden="false" customHeight="false" outlineLevel="0" collapsed="false">
      <c r="F31" s="494" t="s">
        <v>545</v>
      </c>
      <c r="G31" s="494" t="n">
        <v>1.1</v>
      </c>
      <c r="I31" s="495" t="n">
        <v>0.02</v>
      </c>
      <c r="J31" s="485" t="n">
        <f aca="false">I31*$J$2</f>
        <v>1.7</v>
      </c>
      <c r="K31" s="485" t="n">
        <f aca="false">J31*G31</f>
        <v>1.87</v>
      </c>
      <c r="L31" s="485" t="n">
        <f aca="false">K31*$N$2</f>
        <v>3.74</v>
      </c>
    </row>
    <row r="32" customFormat="false" ht="12.8" hidden="false" customHeight="false" outlineLevel="0" collapsed="false">
      <c r="F32" s="0" t="s">
        <v>546</v>
      </c>
      <c r="L32" s="0" t="n">
        <v>3000</v>
      </c>
    </row>
    <row r="35" customFormat="false" ht="12.8" hidden="false" customHeight="false" outlineLevel="0" collapsed="false">
      <c r="J35" s="496"/>
      <c r="K35" s="496"/>
      <c r="L35" s="496"/>
      <c r="M35" s="496"/>
    </row>
    <row r="36" customFormat="false" ht="12.8" hidden="false" customHeight="false" outlineLevel="0" collapsed="false">
      <c r="J36" s="496"/>
      <c r="K36" s="496"/>
      <c r="L36" s="496"/>
      <c r="M36" s="496"/>
    </row>
    <row r="37" customFormat="false" ht="12.8" hidden="false" customHeight="false" outlineLevel="0" collapsed="false">
      <c r="F37" s="497" t="s">
        <v>552</v>
      </c>
      <c r="G37" s="0" t="n">
        <v>300</v>
      </c>
      <c r="H37" s="0" t="s">
        <v>553</v>
      </c>
      <c r="I37" s="496"/>
      <c r="J37" s="496"/>
      <c r="K37" s="496"/>
      <c r="L37" s="496"/>
      <c r="M37" s="496"/>
    </row>
    <row r="38" customFormat="false" ht="12.8" hidden="false" customHeight="false" outlineLevel="0" collapsed="false">
      <c r="F38" s="498"/>
      <c r="G38" s="499"/>
      <c r="H38" s="496"/>
      <c r="I38" s="496"/>
      <c r="J38" s="496"/>
      <c r="K38" s="496"/>
      <c r="L38" s="496"/>
      <c r="M38" s="496"/>
    </row>
    <row r="39" customFormat="false" ht="12.8" hidden="false" customHeight="false" outlineLevel="0" collapsed="false">
      <c r="I39" s="496"/>
      <c r="J39" s="500"/>
    </row>
    <row r="40" customFormat="false" ht="12.8" hidden="false" customHeight="false" outlineLevel="0" collapsed="false">
      <c r="F40" s="489" t="s">
        <v>554</v>
      </c>
      <c r="G40" s="489" t="n">
        <v>1.2</v>
      </c>
      <c r="H40" s="489"/>
      <c r="I40" s="501" t="n">
        <v>0.26758</v>
      </c>
      <c r="J40" s="484" t="n">
        <f aca="false">I40*$J$2</f>
        <v>22.7443</v>
      </c>
      <c r="K40" s="484" t="n">
        <f aca="false">J40*G40</f>
        <v>27.29316</v>
      </c>
      <c r="L40" s="484" t="n">
        <f aca="false">K40*$N$2</f>
        <v>54.58632</v>
      </c>
    </row>
    <row r="41" customFormat="false" ht="12.8" hidden="false" customHeight="false" outlineLevel="0" collapsed="false">
      <c r="F41" s="502" t="s">
        <v>555</v>
      </c>
      <c r="G41" s="489" t="n">
        <v>1.2</v>
      </c>
      <c r="H41" s="503"/>
      <c r="I41" s="503" t="n">
        <v>1.97166</v>
      </c>
      <c r="J41" s="484" t="n">
        <f aca="false">I41*$J$2</f>
        <v>167.5911</v>
      </c>
      <c r="K41" s="484" t="n">
        <f aca="false">J41*G41</f>
        <v>201.10932</v>
      </c>
      <c r="L41" s="484" t="n">
        <f aca="false">K41*$N$2</f>
        <v>402.21864</v>
      </c>
      <c r="M41" s="0" t="s">
        <v>556</v>
      </c>
    </row>
    <row r="42" customFormat="false" ht="12.8" hidden="false" customHeight="false" outlineLevel="0" collapsed="false">
      <c r="F42" s="502" t="s">
        <v>557</v>
      </c>
      <c r="G42" s="489" t="n">
        <v>1.2</v>
      </c>
      <c r="H42" s="503"/>
      <c r="I42" s="503" t="n">
        <v>0.878135</v>
      </c>
      <c r="J42" s="484" t="n">
        <f aca="false">I42*$J$2</f>
        <v>74.641475</v>
      </c>
      <c r="K42" s="484" t="n">
        <f aca="false">J42*G42</f>
        <v>89.56977</v>
      </c>
      <c r="L42" s="484" t="n">
        <f aca="false">K42*$N$2</f>
        <v>179.13954</v>
      </c>
      <c r="M42" s="0" t="s">
        <v>558</v>
      </c>
    </row>
    <row r="48" customFormat="false" ht="12.8" hidden="false" customHeight="false" outlineLevel="0" collapsed="false">
      <c r="G48" s="0" t="s">
        <v>559</v>
      </c>
    </row>
    <row r="49" customFormat="false" ht="12.8" hidden="false" customHeight="false" outlineLevel="0" collapsed="false">
      <c r="F49" s="0" t="s">
        <v>560</v>
      </c>
    </row>
    <row r="50" customFormat="false" ht="12.8" hidden="false" customHeight="false" outlineLevel="0" collapsed="false">
      <c r="F50" s="0" t="s">
        <v>561</v>
      </c>
      <c r="G50" s="504" t="n">
        <f aca="false">VLOOKUP(F50,'данные по моторизации'!$A$6:$B$29,2,0)</f>
        <v>10148.15</v>
      </c>
      <c r="I50" s="307" t="s">
        <v>562</v>
      </c>
    </row>
    <row r="51" customFormat="false" ht="12.8" hidden="false" customHeight="false" outlineLevel="0" collapsed="false">
      <c r="F51" s="0" t="s">
        <v>563</v>
      </c>
      <c r="G51" s="504" t="n">
        <f aca="false">VLOOKUP(F51,'данные по моторизации'!$A$6:$B$29,2,0)</f>
        <v>6137</v>
      </c>
      <c r="I51" s="307" t="s">
        <v>564</v>
      </c>
    </row>
    <row r="52" customFormat="false" ht="12.8" hidden="false" customHeight="false" outlineLevel="0" collapsed="false">
      <c r="F52" s="0" t="s">
        <v>565</v>
      </c>
      <c r="G52" s="504" t="n">
        <f aca="false">VLOOKUP(F52,'данные по моторизации'!$A$6:$B$29,2,0)</f>
        <v>8677.65</v>
      </c>
      <c r="I52" s="307" t="s">
        <v>566</v>
      </c>
    </row>
    <row r="53" customFormat="false" ht="12.8" hidden="false" customHeight="false" outlineLevel="0" collapsed="false">
      <c r="F53" s="0" t="s">
        <v>567</v>
      </c>
      <c r="G53" s="504" t="n">
        <f aca="false">VLOOKUP(F53,'данные по моторизации'!$A$6:$B$29,2,0)</f>
        <v>15801.5</v>
      </c>
      <c r="I53" s="307" t="s">
        <v>568</v>
      </c>
    </row>
    <row r="54" customFormat="false" ht="12.8" hidden="false" customHeight="false" outlineLevel="0" collapsed="false">
      <c r="F54" s="0" t="s">
        <v>569</v>
      </c>
      <c r="G54" s="504" t="n">
        <f aca="false">VLOOKUP(F54,'данные по моторизации'!$A$6:$B$29,2,0)</f>
        <v>15843.15</v>
      </c>
      <c r="I54" s="307" t="s">
        <v>570</v>
      </c>
    </row>
    <row r="55" customFormat="false" ht="12.8" hidden="false" customHeight="false" outlineLevel="0" collapsed="false">
      <c r="F55" s="0" t="s">
        <v>571</v>
      </c>
      <c r="G55" s="504" t="n">
        <f aca="false">VLOOKUP(F55,'данные по моторизации'!$A$6:$B$29,2,0)</f>
        <v>42974.9936</v>
      </c>
      <c r="I55" s="307" t="s">
        <v>572</v>
      </c>
    </row>
    <row r="56" customFormat="false" ht="12.8" hidden="false" customHeight="false" outlineLevel="0" collapsed="false">
      <c r="F56" s="0" t="s">
        <v>573</v>
      </c>
      <c r="G56" s="504" t="n">
        <f aca="false">VLOOKUP(F56,'данные по моторизации'!$A$6:$B$29,2,0)</f>
        <v>44154.698825</v>
      </c>
      <c r="I56" s="307" t="s">
        <v>574</v>
      </c>
    </row>
    <row r="57" customFormat="false" ht="12.8" hidden="false" customHeight="false" outlineLevel="0" collapsed="false">
      <c r="F57" s="0" t="s">
        <v>575</v>
      </c>
      <c r="G57" s="504" t="n">
        <f aca="false">VLOOKUP(F57,'данные по моторизации'!$A$6:$B$29,2,0)</f>
        <v>63619.842985</v>
      </c>
      <c r="I57" s="307" t="s">
        <v>576</v>
      </c>
    </row>
    <row r="58" customFormat="false" ht="12.8" hidden="false" customHeight="false" outlineLevel="0" collapsed="false">
      <c r="F58" s="0" t="s">
        <v>577</v>
      </c>
      <c r="G58" s="504" t="n">
        <f aca="false">VLOOKUP(F58,'данные по моторизации'!$A$6:$B$29,2,0)</f>
        <v>67467.93145</v>
      </c>
      <c r="I58" s="307" t="s">
        <v>578</v>
      </c>
    </row>
    <row r="59" customFormat="false" ht="12.8" hidden="false" customHeight="false" outlineLevel="0" collapsed="false">
      <c r="F59" s="0" t="s">
        <v>579</v>
      </c>
      <c r="G59" s="504" t="n">
        <f aca="false">VLOOKUP(F59,'данные по моторизации'!$A$6:$B$29,2,0)</f>
        <v>15261.6</v>
      </c>
      <c r="I59" s="307" t="s">
        <v>580</v>
      </c>
    </row>
    <row r="60" customFormat="false" ht="12.8" hidden="false" customHeight="false" outlineLevel="0" collapsed="false">
      <c r="I60" s="307"/>
    </row>
    <row r="61" customFormat="false" ht="12.8" hidden="false" customHeight="false" outlineLevel="0" collapsed="false">
      <c r="I61" s="307"/>
    </row>
    <row r="63" customFormat="false" ht="12.8" hidden="false" customHeight="false" outlineLevel="0" collapsed="false">
      <c r="I63" s="307"/>
    </row>
    <row r="64" customFormat="false" ht="12.8" hidden="false" customHeight="false" outlineLevel="0" collapsed="false">
      <c r="I64" s="307"/>
    </row>
  </sheetData>
  <mergeCells count="1">
    <mergeCell ref="F3:J3"/>
  </mergeCells>
  <conditionalFormatting sqref="G11 G2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71"/>
  <sheetViews>
    <sheetView showFormulas="false" showGridLines="true" showRowColHeaders="true" showZeros="true" rightToLeft="false" tabSelected="false" showOutlineSymbols="true" defaultGridColor="true" view="normal" topLeftCell="C43" colorId="64" zoomScale="110" zoomScaleNormal="110" zoomScalePageLayoutView="100" workbookViewId="0">
      <selection pane="topLeft" activeCell="J66" activeCellId="0" sqref="J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7" width="13.09"/>
    <col collapsed="false" customWidth="true" hidden="false" outlineLevel="0" max="2" min="2" style="307" width="15.74"/>
    <col collapsed="false" customWidth="true" hidden="false" outlineLevel="0" max="3" min="3" style="311" width="15.74"/>
    <col collapsed="false" customWidth="true" hidden="false" outlineLevel="0" max="4" min="4" style="307" width="23.5"/>
    <col collapsed="false" customWidth="true" hidden="false" outlineLevel="0" max="5" min="5" style="307" width="48.05"/>
    <col collapsed="false" customWidth="true" hidden="false" outlineLevel="0" max="6" min="6" style="334" width="7.53"/>
    <col collapsed="false" customWidth="true" hidden="false" outlineLevel="0" max="7" min="7" style="334" width="12.71"/>
    <col collapsed="false" customWidth="true" hidden="false" outlineLevel="0" max="8" min="8" style="334" width="10.31"/>
    <col collapsed="false" customWidth="true" hidden="false" outlineLevel="0" max="9" min="9" style="334" width="7.87"/>
    <col collapsed="false" customWidth="true" hidden="false" outlineLevel="0" max="10" min="10" style="334" width="7.76"/>
    <col collapsed="false" customWidth="true" hidden="false" outlineLevel="0" max="11" min="11" style="334" width="9.38"/>
    <col collapsed="false" customWidth="true" hidden="false" outlineLevel="0" max="12" min="12" style="334" width="10.41"/>
    <col collapsed="false" customWidth="true" hidden="false" outlineLevel="0" max="13" min="13" style="334" width="9.03"/>
    <col collapsed="false" customWidth="true" hidden="true" outlineLevel="0" max="14" min="14" style="334" width="15.53"/>
    <col collapsed="false" customWidth="true" hidden="true" outlineLevel="0" max="15" min="15" style="334" width="17.02"/>
    <col collapsed="false" customWidth="true" hidden="true" outlineLevel="0" max="16" min="16" style="334" width="23.5"/>
    <col collapsed="false" customWidth="true" hidden="false" outlineLevel="0" max="17" min="17" style="307" width="23.5"/>
    <col collapsed="false" customWidth="true" hidden="false" outlineLevel="0" max="18" min="18" style="307" width="18.29"/>
    <col collapsed="false" customWidth="false" hidden="false" outlineLevel="0" max="20" min="19" style="307" width="11.52"/>
    <col collapsed="false" customWidth="true" hidden="false" outlineLevel="0" max="21" min="21" style="307" width="19.91"/>
    <col collapsed="false" customWidth="false" hidden="false" outlineLevel="0" max="64" min="22" style="307" width="11.52"/>
  </cols>
  <sheetData>
    <row r="1" customFormat="false" ht="12.8" hidden="false" customHeight="false" outlineLevel="0" collapsed="false">
      <c r="A1" s="334"/>
      <c r="B1" s="4" t="s">
        <v>0</v>
      </c>
      <c r="C1" s="5" t="s">
        <v>1</v>
      </c>
      <c r="D1" s="6" t="s">
        <v>2</v>
      </c>
      <c r="E1" s="0"/>
      <c r="F1" s="0"/>
      <c r="G1" s="0"/>
      <c r="H1" s="0"/>
      <c r="I1" s="0"/>
      <c r="J1" s="0"/>
      <c r="L1" s="331"/>
      <c r="M1" s="331"/>
    </row>
    <row r="2" customFormat="false" ht="12.8" hidden="false" customHeight="false" outlineLevel="0" collapsed="false">
      <c r="A2" s="334" t="s">
        <v>224</v>
      </c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  <c r="E2" s="0"/>
      <c r="F2" s="0"/>
      <c r="G2" s="0"/>
      <c r="H2" s="0"/>
      <c r="I2" s="0"/>
      <c r="J2" s="0"/>
      <c r="L2" s="331" t="s">
        <v>336</v>
      </c>
      <c r="M2" s="331" t="n">
        <v>1.5</v>
      </c>
    </row>
    <row r="4" customFormat="false" ht="28.3" hidden="false" customHeight="false" outlineLevel="0" collapsed="false">
      <c r="A4" s="505"/>
      <c r="B4" s="505"/>
      <c r="C4" s="506"/>
      <c r="D4" s="505"/>
      <c r="E4" s="324" t="s">
        <v>330</v>
      </c>
      <c r="F4" s="324" t="s">
        <v>337</v>
      </c>
      <c r="G4" s="324" t="s">
        <v>338</v>
      </c>
      <c r="H4" s="324" t="s">
        <v>339</v>
      </c>
      <c r="I4" s="324" t="s">
        <v>340</v>
      </c>
      <c r="J4" s="324" t="s">
        <v>341</v>
      </c>
      <c r="K4" s="324" t="s">
        <v>342</v>
      </c>
      <c r="L4" s="324" t="s">
        <v>343</v>
      </c>
      <c r="M4" s="324" t="s">
        <v>332</v>
      </c>
      <c r="N4" s="324"/>
      <c r="O4" s="324"/>
      <c r="P4" s="324"/>
      <c r="Q4" s="505"/>
      <c r="R4" s="505"/>
      <c r="S4" s="505"/>
      <c r="T4" s="505"/>
      <c r="U4" s="505"/>
      <c r="V4" s="505"/>
      <c r="W4" s="505"/>
      <c r="X4" s="505"/>
      <c r="Y4" s="505"/>
      <c r="Z4" s="505"/>
      <c r="AA4" s="505"/>
      <c r="AB4" s="505"/>
      <c r="AC4" s="505"/>
      <c r="AD4" s="505"/>
      <c r="AE4" s="505"/>
      <c r="AF4" s="505"/>
      <c r="AG4" s="505"/>
      <c r="AH4" s="505"/>
      <c r="AI4" s="505"/>
      <c r="AJ4" s="505"/>
      <c r="AK4" s="505"/>
      <c r="AL4" s="505"/>
      <c r="AM4" s="505"/>
      <c r="AN4" s="505"/>
      <c r="AO4" s="505"/>
      <c r="AP4" s="505"/>
      <c r="AQ4" s="505"/>
      <c r="AR4" s="505"/>
      <c r="AS4" s="505"/>
      <c r="AT4" s="505"/>
      <c r="AU4" s="505"/>
      <c r="AV4" s="505"/>
      <c r="AW4" s="505"/>
      <c r="AX4" s="505"/>
      <c r="AY4" s="505"/>
      <c r="AZ4" s="505"/>
      <c r="BA4" s="505"/>
      <c r="BB4" s="505"/>
      <c r="BC4" s="505"/>
      <c r="BD4" s="505"/>
      <c r="BE4" s="505"/>
      <c r="BF4" s="505"/>
      <c r="BG4" s="505"/>
      <c r="BH4" s="505"/>
      <c r="BI4" s="505"/>
      <c r="BJ4" s="505"/>
      <c r="BK4" s="505"/>
      <c r="BL4" s="505"/>
    </row>
    <row r="5" customFormat="false" ht="16.85" hidden="false" customHeight="true" outlineLevel="0" collapsed="false">
      <c r="A5" s="507" t="s">
        <v>581</v>
      </c>
      <c r="B5" s="507"/>
      <c r="D5" s="307" t="str">
        <f aca="false">A5&amp;" "&amp;C5</f>
        <v>Бамбук 25мм </v>
      </c>
      <c r="E5" s="307" t="str">
        <f aca="false">"Жалюзи горизонтальные "&amp;A5&amp;B5</f>
        <v>Жалюзи горизонтальные Бамбук 25мм</v>
      </c>
      <c r="F5" s="334" t="n">
        <v>0.33</v>
      </c>
      <c r="G5" s="334" t="n">
        <v>1.8</v>
      </c>
      <c r="H5" s="334" t="n">
        <v>3</v>
      </c>
      <c r="I5" s="334" t="n">
        <v>5.4</v>
      </c>
      <c r="J5" s="508" t="n">
        <f aca="false">$V$6</f>
        <v>95.31</v>
      </c>
      <c r="K5" s="509" t="n">
        <f aca="false">J5*0.85</f>
        <v>81.0135</v>
      </c>
      <c r="L5" s="328" t="n">
        <f aca="false">ROUNDUP(K5*$B$2,0)</f>
        <v>6887</v>
      </c>
      <c r="M5" s="328" t="n">
        <f aca="false">L5*$M$2</f>
        <v>10330.5</v>
      </c>
      <c r="N5" s="328"/>
      <c r="O5" s="328"/>
      <c r="P5" s="328"/>
      <c r="Q5" s="510" t="s">
        <v>100</v>
      </c>
      <c r="R5" s="511" t="s">
        <v>582</v>
      </c>
      <c r="S5" s="512" t="s">
        <v>583</v>
      </c>
      <c r="T5" s="512" t="s">
        <v>584</v>
      </c>
      <c r="U5" s="512" t="s">
        <v>585</v>
      </c>
      <c r="V5" s="513" t="s">
        <v>586</v>
      </c>
    </row>
    <row r="6" customFormat="false" ht="12.8" hidden="false" customHeight="false" outlineLevel="0" collapsed="false">
      <c r="A6" s="507" t="s">
        <v>581</v>
      </c>
      <c r="B6" s="507" t="str">
        <f aca="false">", цвет - "&amp;C6</f>
        <v>, цвет - кофе</v>
      </c>
      <c r="C6" s="507" t="s">
        <v>587</v>
      </c>
      <c r="D6" s="307" t="str">
        <f aca="false">A6&amp;" "&amp;C6</f>
        <v>Бамбук 25мм кофе</v>
      </c>
      <c r="E6" s="307" t="str">
        <f aca="false">"Жалюзи горизонтальные "&amp;A6&amp;B6</f>
        <v>Жалюзи горизонтальные Бамбук 25мм, цвет - кофе</v>
      </c>
      <c r="F6" s="334" t="n">
        <v>0.33</v>
      </c>
      <c r="G6" s="334" t="n">
        <v>1.8</v>
      </c>
      <c r="H6" s="334" t="n">
        <v>3</v>
      </c>
      <c r="I6" s="334" t="n">
        <v>5.4</v>
      </c>
      <c r="J6" s="508" t="n">
        <f aca="false">$V$6</f>
        <v>95.31</v>
      </c>
      <c r="K6" s="509" t="n">
        <f aca="false">J6*0.85</f>
        <v>81.0135</v>
      </c>
      <c r="L6" s="328" t="n">
        <f aca="false">ROUNDUP(K6*$B$2,0)</f>
        <v>6887</v>
      </c>
      <c r="M6" s="328" t="n">
        <f aca="false">L6*$M$2</f>
        <v>10330.5</v>
      </c>
      <c r="N6" s="328"/>
      <c r="O6" s="328"/>
      <c r="P6" s="328"/>
      <c r="Q6" s="514" t="s">
        <v>581</v>
      </c>
      <c r="R6" s="515" t="s">
        <v>587</v>
      </c>
      <c r="S6" s="516" t="s">
        <v>588</v>
      </c>
      <c r="T6" s="517" t="s">
        <v>589</v>
      </c>
      <c r="U6" s="518" t="s">
        <v>590</v>
      </c>
      <c r="V6" s="519" t="n">
        <v>95.31</v>
      </c>
    </row>
    <row r="7" customFormat="false" ht="12.8" hidden="false" customHeight="false" outlineLevel="0" collapsed="false">
      <c r="A7" s="507" t="s">
        <v>581</v>
      </c>
      <c r="B7" s="507" t="str">
        <f aca="false">", цвет - "&amp;C7</f>
        <v>, цвет - махагони</v>
      </c>
      <c r="C7" s="507" t="s">
        <v>591</v>
      </c>
      <c r="D7" s="307" t="str">
        <f aca="false">A7&amp;" "&amp;C7</f>
        <v>Бамбук 25мм махагони</v>
      </c>
      <c r="E7" s="307" t="str">
        <f aca="false">"Жалюзи горизонтальные "&amp;A7&amp;B7</f>
        <v>Жалюзи горизонтальные Бамбук 25мм, цвет - махагони</v>
      </c>
      <c r="F7" s="334" t="n">
        <v>0.33</v>
      </c>
      <c r="G7" s="334" t="n">
        <v>1.8</v>
      </c>
      <c r="H7" s="334" t="n">
        <v>3</v>
      </c>
      <c r="I7" s="334" t="n">
        <v>5.4</v>
      </c>
      <c r="J7" s="508" t="n">
        <f aca="false">$V$6</f>
        <v>95.31</v>
      </c>
      <c r="K7" s="509" t="n">
        <f aca="false">J7*0.85</f>
        <v>81.0135</v>
      </c>
      <c r="L7" s="328" t="n">
        <f aca="false">ROUNDUP(K7*$B$2,0)</f>
        <v>6887</v>
      </c>
      <c r="M7" s="328" t="n">
        <f aca="false">L7*$M$2</f>
        <v>10330.5</v>
      </c>
      <c r="N7" s="328"/>
      <c r="O7" s="328"/>
      <c r="P7" s="328"/>
      <c r="Q7" s="520"/>
      <c r="R7" s="521" t="s">
        <v>591</v>
      </c>
      <c r="S7" s="516"/>
      <c r="T7" s="517"/>
      <c r="U7" s="518"/>
      <c r="V7" s="519"/>
    </row>
    <row r="8" customFormat="false" ht="12.8" hidden="false" customHeight="false" outlineLevel="0" collapsed="false">
      <c r="A8" s="507" t="s">
        <v>581</v>
      </c>
      <c r="B8" s="507" t="str">
        <f aca="false">", цвет - "&amp;C8</f>
        <v>, цвет - натуральный</v>
      </c>
      <c r="C8" s="507" t="s">
        <v>592</v>
      </c>
      <c r="D8" s="307" t="str">
        <f aca="false">A8&amp;" "&amp;C8</f>
        <v>Бамбук 25мм натуральный</v>
      </c>
      <c r="E8" s="307" t="str">
        <f aca="false">"Жалюзи горизонтальные "&amp;A8&amp;B8</f>
        <v>Жалюзи горизонтальные Бамбук 25мм, цвет - натуральный</v>
      </c>
      <c r="F8" s="334" t="n">
        <v>0.33</v>
      </c>
      <c r="G8" s="334" t="n">
        <v>1.8</v>
      </c>
      <c r="H8" s="334" t="n">
        <v>3</v>
      </c>
      <c r="I8" s="334" t="n">
        <v>5.4</v>
      </c>
      <c r="J8" s="508" t="n">
        <f aca="false">$V$6</f>
        <v>95.31</v>
      </c>
      <c r="K8" s="509" t="n">
        <f aca="false">J8*0.85</f>
        <v>81.0135</v>
      </c>
      <c r="L8" s="328" t="n">
        <f aca="false">ROUNDUP(K8*$B$2,0)</f>
        <v>6887</v>
      </c>
      <c r="M8" s="328" t="n">
        <f aca="false">L8*$M$2</f>
        <v>10330.5</v>
      </c>
      <c r="N8" s="328"/>
      <c r="O8" s="328"/>
      <c r="P8" s="328"/>
      <c r="Q8" s="520"/>
      <c r="R8" s="521" t="s">
        <v>592</v>
      </c>
      <c r="S8" s="516"/>
      <c r="T8" s="517"/>
      <c r="U8" s="518"/>
      <c r="V8" s="519"/>
    </row>
    <row r="9" customFormat="false" ht="12.8" hidden="false" customHeight="false" outlineLevel="0" collapsed="false">
      <c r="A9" s="507" t="s">
        <v>581</v>
      </c>
      <c r="B9" s="507" t="str">
        <f aca="false">", цвет - "&amp;C9</f>
        <v>, цвет - отбеленный</v>
      </c>
      <c r="C9" s="507" t="s">
        <v>593</v>
      </c>
      <c r="D9" s="307" t="str">
        <f aca="false">A9&amp;" "&amp;C9</f>
        <v>Бамбук 25мм отбеленный</v>
      </c>
      <c r="E9" s="307" t="str">
        <f aca="false">"Жалюзи горизонтальные "&amp;A9&amp;B9</f>
        <v>Жалюзи горизонтальные Бамбук 25мм, цвет - отбеленный</v>
      </c>
      <c r="F9" s="334" t="n">
        <v>0.33</v>
      </c>
      <c r="G9" s="334" t="n">
        <v>1.8</v>
      </c>
      <c r="H9" s="334" t="n">
        <v>3</v>
      </c>
      <c r="I9" s="334" t="n">
        <v>5.4</v>
      </c>
      <c r="J9" s="508" t="n">
        <f aca="false">$V$6</f>
        <v>95.31</v>
      </c>
      <c r="K9" s="509" t="n">
        <f aca="false">J9*0.85</f>
        <v>81.0135</v>
      </c>
      <c r="L9" s="328" t="n">
        <f aca="false">ROUNDUP(K9*$B$2,0)</f>
        <v>6887</v>
      </c>
      <c r="M9" s="328" t="n">
        <f aca="false">L9*$M$2</f>
        <v>10330.5</v>
      </c>
      <c r="N9" s="328"/>
      <c r="O9" s="328"/>
      <c r="P9" s="328"/>
      <c r="Q9" s="520"/>
      <c r="R9" s="521" t="s">
        <v>593</v>
      </c>
      <c r="S9" s="516"/>
      <c r="T9" s="517"/>
      <c r="U9" s="518"/>
      <c r="V9" s="519"/>
    </row>
    <row r="10" customFormat="false" ht="12.8" hidden="false" customHeight="false" outlineLevel="0" collapsed="false">
      <c r="A10" s="507" t="s">
        <v>581</v>
      </c>
      <c r="B10" s="507" t="str">
        <f aca="false">", цвет - "&amp;C10</f>
        <v>, цвет - тигровый глаз</v>
      </c>
      <c r="C10" s="507" t="s">
        <v>594</v>
      </c>
      <c r="D10" s="307" t="str">
        <f aca="false">A10&amp;" "&amp;C10</f>
        <v>Бамбук 25мм тигровый глаз</v>
      </c>
      <c r="E10" s="307" t="str">
        <f aca="false">"Жалюзи горизонтальные "&amp;A10&amp;B10</f>
        <v>Жалюзи горизонтальные Бамбук 25мм, цвет - тигровый глаз</v>
      </c>
      <c r="F10" s="334" t="n">
        <v>0.33</v>
      </c>
      <c r="G10" s="334" t="n">
        <v>1.8</v>
      </c>
      <c r="H10" s="334" t="n">
        <v>3</v>
      </c>
      <c r="I10" s="334" t="n">
        <v>5.4</v>
      </c>
      <c r="J10" s="508" t="n">
        <f aca="false">$V$6</f>
        <v>95.31</v>
      </c>
      <c r="K10" s="509" t="n">
        <f aca="false">J10*0.85</f>
        <v>81.0135</v>
      </c>
      <c r="L10" s="328" t="n">
        <f aca="false">ROUNDUP(K10*$B$2,0)</f>
        <v>6887</v>
      </c>
      <c r="M10" s="328" t="n">
        <f aca="false">L10*$M$2</f>
        <v>10330.5</v>
      </c>
      <c r="N10" s="328"/>
      <c r="O10" s="328"/>
      <c r="P10" s="328"/>
      <c r="Q10" s="520"/>
      <c r="R10" s="521" t="s">
        <v>594</v>
      </c>
      <c r="S10" s="516"/>
      <c r="T10" s="517"/>
      <c r="U10" s="518"/>
      <c r="V10" s="519"/>
    </row>
    <row r="11" customFormat="false" ht="12.8" hidden="false" customHeight="false" outlineLevel="0" collapsed="false">
      <c r="A11" s="507" t="s">
        <v>581</v>
      </c>
      <c r="B11" s="507" t="str">
        <f aca="false">", цвет - "&amp;C11</f>
        <v>, цвет - черешня</v>
      </c>
      <c r="C11" s="507" t="s">
        <v>595</v>
      </c>
      <c r="D11" s="307" t="str">
        <f aca="false">A11&amp;" "&amp;C11</f>
        <v>Бамбук 25мм черешня</v>
      </c>
      <c r="E11" s="307" t="str">
        <f aca="false">"Жалюзи горизонтальные "&amp;A11&amp;B11</f>
        <v>Жалюзи горизонтальные Бамбук 25мм, цвет - черешня</v>
      </c>
      <c r="F11" s="334" t="n">
        <v>0.33</v>
      </c>
      <c r="G11" s="334" t="n">
        <v>1.8</v>
      </c>
      <c r="H11" s="334" t="n">
        <v>3</v>
      </c>
      <c r="I11" s="334" t="n">
        <v>5.4</v>
      </c>
      <c r="J11" s="508" t="n">
        <f aca="false">$V$6</f>
        <v>95.31</v>
      </c>
      <c r="K11" s="509" t="n">
        <f aca="false">J11*0.85</f>
        <v>81.0135</v>
      </c>
      <c r="L11" s="328" t="n">
        <f aca="false">ROUNDUP(K11*$B$2,0)</f>
        <v>6887</v>
      </c>
      <c r="M11" s="328" t="n">
        <f aca="false">L11*$M$2</f>
        <v>10330.5</v>
      </c>
      <c r="N11" s="328"/>
      <c r="O11" s="328"/>
      <c r="P11" s="328"/>
      <c r="Q11" s="522"/>
      <c r="R11" s="523" t="s">
        <v>595</v>
      </c>
      <c r="S11" s="516"/>
      <c r="T11" s="517"/>
      <c r="U11" s="518"/>
      <c r="V11" s="519"/>
    </row>
    <row r="12" customFormat="false" ht="12.8" hidden="false" customHeight="false" outlineLevel="0" collapsed="false">
      <c r="A12" s="507" t="s">
        <v>596</v>
      </c>
      <c r="B12" s="507"/>
      <c r="D12" s="307" t="str">
        <f aca="false">A12&amp;" "&amp;C12</f>
        <v>Бамбук 50мм </v>
      </c>
      <c r="E12" s="307" t="str">
        <f aca="false">"Жалюзи горизонтальные "&amp;A12&amp;B12</f>
        <v>Жалюзи горизонтальные Бамбук 50мм</v>
      </c>
      <c r="F12" s="334" t="n">
        <v>0.42</v>
      </c>
      <c r="G12" s="334" t="n">
        <v>1.8</v>
      </c>
      <c r="H12" s="334" t="n">
        <v>3</v>
      </c>
      <c r="I12" s="334" t="n">
        <v>5.4</v>
      </c>
      <c r="J12" s="508" t="n">
        <f aca="false">$V$12</f>
        <v>105.19</v>
      </c>
      <c r="K12" s="509" t="n">
        <f aca="false">J12*0.85</f>
        <v>89.4115</v>
      </c>
      <c r="L12" s="328" t="n">
        <f aca="false">ROUNDUP(K12*$B$2,0)</f>
        <v>7600</v>
      </c>
      <c r="M12" s="328" t="n">
        <f aca="false">L12*$M$2</f>
        <v>11400</v>
      </c>
      <c r="N12" s="328"/>
      <c r="O12" s="328"/>
      <c r="P12" s="328"/>
      <c r="Q12" s="524" t="s">
        <v>596</v>
      </c>
      <c r="R12" s="515" t="s">
        <v>587</v>
      </c>
      <c r="S12" s="525" t="s">
        <v>597</v>
      </c>
      <c r="T12" s="526" t="s">
        <v>598</v>
      </c>
      <c r="U12" s="527" t="s">
        <v>599</v>
      </c>
      <c r="V12" s="528" t="n">
        <v>105.19</v>
      </c>
    </row>
    <row r="13" customFormat="false" ht="12.8" hidden="false" customHeight="false" outlineLevel="0" collapsed="false">
      <c r="A13" s="507" t="s">
        <v>596</v>
      </c>
      <c r="B13" s="507" t="str">
        <f aca="false">", цвет - "&amp;C13</f>
        <v>, цвет - кофе</v>
      </c>
      <c r="C13" s="507" t="s">
        <v>587</v>
      </c>
      <c r="D13" s="307" t="str">
        <f aca="false">A13&amp;" "&amp;C13</f>
        <v>Бамбук 50мм кофе</v>
      </c>
      <c r="E13" s="307" t="str">
        <f aca="false">"Жалюзи горизонтальные "&amp;A13&amp;B13</f>
        <v>Жалюзи горизонтальные Бамбук 50мм, цвет - кофе</v>
      </c>
      <c r="F13" s="334" t="n">
        <v>0.42</v>
      </c>
      <c r="G13" s="334" t="n">
        <v>1.8</v>
      </c>
      <c r="H13" s="334" t="n">
        <v>3</v>
      </c>
      <c r="I13" s="334" t="n">
        <v>5.4</v>
      </c>
      <c r="J13" s="508" t="n">
        <f aca="false">$V$12</f>
        <v>105.19</v>
      </c>
      <c r="K13" s="509" t="n">
        <f aca="false">J13*0.85</f>
        <v>89.4115</v>
      </c>
      <c r="L13" s="328" t="n">
        <f aca="false">ROUNDUP(K13*$B$2,0)</f>
        <v>7600</v>
      </c>
      <c r="M13" s="328" t="n">
        <f aca="false">L13*$M$2</f>
        <v>11400</v>
      </c>
      <c r="N13" s="328"/>
      <c r="O13" s="328"/>
      <c r="P13" s="328"/>
      <c r="Q13" s="529"/>
      <c r="R13" s="521" t="s">
        <v>591</v>
      </c>
      <c r="S13" s="525"/>
      <c r="T13" s="526"/>
      <c r="U13" s="527"/>
      <c r="V13" s="528"/>
    </row>
    <row r="14" customFormat="false" ht="12.8" hidden="false" customHeight="false" outlineLevel="0" collapsed="false">
      <c r="A14" s="507" t="s">
        <v>596</v>
      </c>
      <c r="B14" s="507" t="str">
        <f aca="false">", цвет - "&amp;C14</f>
        <v>, цвет - махагони</v>
      </c>
      <c r="C14" s="507" t="s">
        <v>591</v>
      </c>
      <c r="D14" s="307" t="str">
        <f aca="false">A14&amp;" "&amp;C14</f>
        <v>Бамбук 50мм махагони</v>
      </c>
      <c r="E14" s="307" t="str">
        <f aca="false">"Жалюзи горизонтальные "&amp;A14&amp;B14</f>
        <v>Жалюзи горизонтальные Бамбук 50мм, цвет - махагони</v>
      </c>
      <c r="F14" s="334" t="n">
        <v>0.42</v>
      </c>
      <c r="G14" s="334" t="n">
        <v>1.8</v>
      </c>
      <c r="H14" s="334" t="n">
        <v>3</v>
      </c>
      <c r="I14" s="334" t="n">
        <v>5.4</v>
      </c>
      <c r="J14" s="508" t="n">
        <f aca="false">$V$12</f>
        <v>105.19</v>
      </c>
      <c r="K14" s="509" t="n">
        <f aca="false">J14*0.85</f>
        <v>89.4115</v>
      </c>
      <c r="L14" s="328" t="n">
        <f aca="false">ROUNDUP(K14*$B$2,0)</f>
        <v>7600</v>
      </c>
      <c r="M14" s="328" t="n">
        <f aca="false">L14*$M$2</f>
        <v>11400</v>
      </c>
      <c r="N14" s="328"/>
      <c r="O14" s="328"/>
      <c r="P14" s="328"/>
      <c r="Q14" s="529"/>
      <c r="R14" s="521" t="s">
        <v>592</v>
      </c>
      <c r="S14" s="525"/>
      <c r="T14" s="526"/>
      <c r="U14" s="527"/>
      <c r="V14" s="528"/>
    </row>
    <row r="15" customFormat="false" ht="12.8" hidden="false" customHeight="false" outlineLevel="0" collapsed="false">
      <c r="A15" s="507" t="s">
        <v>596</v>
      </c>
      <c r="B15" s="507" t="str">
        <f aca="false">", цвет - "&amp;C15</f>
        <v>, цвет - натуральный</v>
      </c>
      <c r="C15" s="507" t="s">
        <v>592</v>
      </c>
      <c r="D15" s="307" t="str">
        <f aca="false">A15&amp;" "&amp;C15</f>
        <v>Бамбук 50мм натуральный</v>
      </c>
      <c r="E15" s="307" t="str">
        <f aca="false">"Жалюзи горизонтальные "&amp;A15&amp;B15</f>
        <v>Жалюзи горизонтальные Бамбук 50мм, цвет - натуральный</v>
      </c>
      <c r="F15" s="334" t="n">
        <v>0.42</v>
      </c>
      <c r="G15" s="334" t="n">
        <v>1.8</v>
      </c>
      <c r="H15" s="334" t="n">
        <v>3</v>
      </c>
      <c r="I15" s="334" t="n">
        <v>5.4</v>
      </c>
      <c r="J15" s="508" t="n">
        <f aca="false">$V$12</f>
        <v>105.19</v>
      </c>
      <c r="K15" s="509" t="n">
        <f aca="false">J15*0.85</f>
        <v>89.4115</v>
      </c>
      <c r="L15" s="328" t="n">
        <f aca="false">ROUNDUP(K15*$B$2,0)</f>
        <v>7600</v>
      </c>
      <c r="M15" s="328" t="n">
        <f aca="false">L15*$M$2</f>
        <v>11400</v>
      </c>
      <c r="N15" s="328"/>
      <c r="O15" s="328"/>
      <c r="P15" s="328"/>
      <c r="Q15" s="529"/>
      <c r="R15" s="521" t="s">
        <v>593</v>
      </c>
      <c r="S15" s="525"/>
      <c r="T15" s="526"/>
      <c r="U15" s="527"/>
      <c r="V15" s="528"/>
    </row>
    <row r="16" customFormat="false" ht="12.8" hidden="false" customHeight="false" outlineLevel="0" collapsed="false">
      <c r="A16" s="507" t="s">
        <v>596</v>
      </c>
      <c r="B16" s="507" t="str">
        <f aca="false">", цвет - "&amp;C16</f>
        <v>, цвет - отбеленный</v>
      </c>
      <c r="C16" s="507" t="s">
        <v>593</v>
      </c>
      <c r="D16" s="307" t="str">
        <f aca="false">A16&amp;" "&amp;C16</f>
        <v>Бамбук 50мм отбеленный</v>
      </c>
      <c r="E16" s="307" t="str">
        <f aca="false">"Жалюзи горизонтальные "&amp;A16&amp;B16</f>
        <v>Жалюзи горизонтальные Бамбук 50мм, цвет - отбеленный</v>
      </c>
      <c r="F16" s="334" t="n">
        <v>0.42</v>
      </c>
      <c r="G16" s="334" t="n">
        <v>1.8</v>
      </c>
      <c r="H16" s="334" t="n">
        <v>3</v>
      </c>
      <c r="I16" s="334" t="n">
        <v>5.4</v>
      </c>
      <c r="J16" s="508" t="n">
        <f aca="false">$V$12</f>
        <v>105.19</v>
      </c>
      <c r="K16" s="509" t="n">
        <f aca="false">J16*0.85</f>
        <v>89.4115</v>
      </c>
      <c r="L16" s="328" t="n">
        <f aca="false">ROUNDUP(K16*$B$2,0)</f>
        <v>7600</v>
      </c>
      <c r="M16" s="328" t="n">
        <f aca="false">L16*$M$2</f>
        <v>11400</v>
      </c>
      <c r="N16" s="328"/>
      <c r="O16" s="328"/>
      <c r="P16" s="328"/>
      <c r="Q16" s="529"/>
      <c r="R16" s="521" t="s">
        <v>594</v>
      </c>
      <c r="S16" s="525"/>
      <c r="T16" s="526"/>
      <c r="U16" s="527"/>
      <c r="V16" s="528"/>
    </row>
    <row r="17" customFormat="false" ht="12.8" hidden="false" customHeight="false" outlineLevel="0" collapsed="false">
      <c r="A17" s="507" t="s">
        <v>596</v>
      </c>
      <c r="B17" s="507" t="str">
        <f aca="false">", цвет - "&amp;C17</f>
        <v>, цвет - тигровый глаз</v>
      </c>
      <c r="C17" s="507" t="s">
        <v>594</v>
      </c>
      <c r="D17" s="307" t="str">
        <f aca="false">A17&amp;" "&amp;C17</f>
        <v>Бамбук 50мм тигровый глаз</v>
      </c>
      <c r="E17" s="307" t="str">
        <f aca="false">"Жалюзи горизонтальные "&amp;A17&amp;B17</f>
        <v>Жалюзи горизонтальные Бамбук 50мм, цвет - тигровый глаз</v>
      </c>
      <c r="F17" s="334" t="n">
        <v>0.42</v>
      </c>
      <c r="G17" s="334" t="n">
        <v>1.8</v>
      </c>
      <c r="H17" s="334" t="n">
        <v>3</v>
      </c>
      <c r="I17" s="334" t="n">
        <v>5.4</v>
      </c>
      <c r="J17" s="508" t="n">
        <f aca="false">$V$12</f>
        <v>105.19</v>
      </c>
      <c r="K17" s="509" t="n">
        <f aca="false">J17*0.85</f>
        <v>89.4115</v>
      </c>
      <c r="L17" s="328" t="n">
        <f aca="false">ROUNDUP(K17*$B$2,0)</f>
        <v>7600</v>
      </c>
      <c r="M17" s="328" t="n">
        <f aca="false">L17*$M$2</f>
        <v>11400</v>
      </c>
      <c r="N17" s="328"/>
      <c r="O17" s="328"/>
      <c r="P17" s="328"/>
      <c r="Q17" s="529"/>
      <c r="R17" s="530" t="s">
        <v>595</v>
      </c>
      <c r="S17" s="525"/>
      <c r="T17" s="526"/>
      <c r="U17" s="527"/>
      <c r="V17" s="528"/>
    </row>
    <row r="18" customFormat="false" ht="12.8" hidden="false" customHeight="false" outlineLevel="0" collapsed="false">
      <c r="A18" s="507" t="s">
        <v>596</v>
      </c>
      <c r="B18" s="507" t="str">
        <f aca="false">", цвет - "&amp;C18</f>
        <v>, цвет - черешня</v>
      </c>
      <c r="C18" s="507" t="s">
        <v>595</v>
      </c>
      <c r="D18" s="307" t="str">
        <f aca="false">A18&amp;" "&amp;C18</f>
        <v>Бамбук 50мм черешня</v>
      </c>
      <c r="E18" s="307" t="str">
        <f aca="false">"Жалюзи горизонтальные "&amp;A18&amp;B18</f>
        <v>Жалюзи горизонтальные Бамбук 50мм, цвет - черешня</v>
      </c>
      <c r="F18" s="334" t="n">
        <v>0.42</v>
      </c>
      <c r="G18" s="334" t="n">
        <v>1.8</v>
      </c>
      <c r="H18" s="334" t="n">
        <v>3</v>
      </c>
      <c r="I18" s="334" t="n">
        <v>5.4</v>
      </c>
      <c r="J18" s="508" t="n">
        <f aca="false">$V$12</f>
        <v>105.19</v>
      </c>
      <c r="K18" s="509" t="n">
        <f aca="false">J18*0.85</f>
        <v>89.4115</v>
      </c>
      <c r="L18" s="328" t="n">
        <f aca="false">ROUNDUP(K18*$B$2,0)</f>
        <v>7600</v>
      </c>
      <c r="M18" s="328" t="n">
        <f aca="false">L18*$M$2</f>
        <v>11400</v>
      </c>
      <c r="N18" s="328"/>
      <c r="O18" s="328"/>
      <c r="P18" s="328"/>
      <c r="Q18" s="514" t="s">
        <v>600</v>
      </c>
      <c r="R18" s="515" t="s">
        <v>601</v>
      </c>
      <c r="S18" s="516" t="s">
        <v>588</v>
      </c>
      <c r="T18" s="517" t="s">
        <v>602</v>
      </c>
      <c r="U18" s="518" t="s">
        <v>603</v>
      </c>
      <c r="V18" s="531" t="n">
        <v>86.74</v>
      </c>
    </row>
    <row r="19" customFormat="false" ht="12.8" hidden="false" customHeight="false" outlineLevel="0" collapsed="false">
      <c r="A19" s="507" t="s">
        <v>600</v>
      </c>
      <c r="B19" s="507"/>
      <c r="D19" s="307" t="str">
        <f aca="false">A19&amp;" "&amp;C19</f>
        <v>Дерево 25мм </v>
      </c>
      <c r="E19" s="307" t="str">
        <f aca="false">"Жалюзи горизонтальные "&amp;A19&amp;B19</f>
        <v>Жалюзи горизонтальные Дерево 25мм</v>
      </c>
      <c r="F19" s="334" t="n">
        <v>0.33</v>
      </c>
      <c r="G19" s="334" t="n">
        <v>2.1</v>
      </c>
      <c r="H19" s="334" t="n">
        <v>3</v>
      </c>
      <c r="I19" s="334" t="n">
        <v>6.3</v>
      </c>
      <c r="J19" s="508" t="n">
        <f aca="false">$V$18</f>
        <v>86.74</v>
      </c>
      <c r="K19" s="509" t="n">
        <f aca="false">J19*0.85</f>
        <v>73.729</v>
      </c>
      <c r="L19" s="328" t="n">
        <f aca="false">ROUNDUP(K19*$B$2,0)</f>
        <v>6267</v>
      </c>
      <c r="M19" s="328" t="n">
        <f aca="false">L19*$M$2</f>
        <v>9400.5</v>
      </c>
      <c r="N19" s="328"/>
      <c r="O19" s="328"/>
      <c r="P19" s="328"/>
      <c r="Q19" s="520"/>
      <c r="R19" s="521" t="s">
        <v>604</v>
      </c>
      <c r="S19" s="516"/>
      <c r="T19" s="517"/>
      <c r="U19" s="518"/>
      <c r="V19" s="531"/>
    </row>
    <row r="20" customFormat="false" ht="12.8" hidden="false" customHeight="false" outlineLevel="0" collapsed="false">
      <c r="A20" s="507" t="s">
        <v>600</v>
      </c>
      <c r="B20" s="507" t="str">
        <f aca="false">", цвет - "&amp;C20</f>
        <v>, цвет - венге</v>
      </c>
      <c r="C20" s="507" t="s">
        <v>601</v>
      </c>
      <c r="D20" s="307" t="str">
        <f aca="false">A20&amp;" "&amp;C20</f>
        <v>Дерево 25мм венге</v>
      </c>
      <c r="E20" s="307" t="str">
        <f aca="false">"Жалюзи горизонтальные "&amp;A20&amp;B20</f>
        <v>Жалюзи горизонтальные Дерево 25мм, цвет - венге</v>
      </c>
      <c r="F20" s="334" t="n">
        <v>0.33</v>
      </c>
      <c r="G20" s="334" t="n">
        <v>2.1</v>
      </c>
      <c r="H20" s="334" t="n">
        <v>3</v>
      </c>
      <c r="I20" s="334" t="n">
        <v>6.3</v>
      </c>
      <c r="J20" s="508" t="n">
        <f aca="false">$V$18</f>
        <v>86.74</v>
      </c>
      <c r="K20" s="509" t="n">
        <f aca="false">J20*0.85</f>
        <v>73.729</v>
      </c>
      <c r="L20" s="328" t="n">
        <f aca="false">ROUNDUP(K20*$B$2,0)</f>
        <v>6267</v>
      </c>
      <c r="M20" s="328" t="n">
        <f aca="false">L20*$M$2</f>
        <v>9400.5</v>
      </c>
      <c r="N20" s="328"/>
      <c r="O20" s="328"/>
      <c r="P20" s="328"/>
      <c r="Q20" s="520"/>
      <c r="R20" s="521" t="s">
        <v>605</v>
      </c>
      <c r="S20" s="516"/>
      <c r="T20" s="517"/>
      <c r="U20" s="518"/>
      <c r="V20" s="531"/>
    </row>
    <row r="21" customFormat="false" ht="12.8" hidden="false" customHeight="false" outlineLevel="0" collapsed="false">
      <c r="A21" s="507" t="s">
        <v>600</v>
      </c>
      <c r="B21" s="507" t="str">
        <f aca="false">", цвет - "&amp;C21</f>
        <v>, цвет -  красное дерево</v>
      </c>
      <c r="C21" s="507" t="s">
        <v>604</v>
      </c>
      <c r="D21" s="307" t="str">
        <f aca="false">A21&amp;" "&amp;C21</f>
        <v>Дерево 25мм  красное дерево</v>
      </c>
      <c r="E21" s="307" t="str">
        <f aca="false">"Жалюзи горизонтальные "&amp;A21&amp;B21</f>
        <v>Жалюзи горизонтальные Дерево 25мм, цвет -  красное дерево</v>
      </c>
      <c r="F21" s="334" t="n">
        <v>0.33</v>
      </c>
      <c r="G21" s="334" t="n">
        <v>2.1</v>
      </c>
      <c r="H21" s="334" t="n">
        <v>3</v>
      </c>
      <c r="I21" s="334" t="n">
        <v>6.3</v>
      </c>
      <c r="J21" s="508" t="n">
        <f aca="false">$V$18</f>
        <v>86.74</v>
      </c>
      <c r="K21" s="509" t="n">
        <f aca="false">J21*0.85</f>
        <v>73.729</v>
      </c>
      <c r="L21" s="328" t="n">
        <f aca="false">ROUNDUP(K21*$B$2,0)</f>
        <v>6267</v>
      </c>
      <c r="M21" s="328" t="n">
        <f aca="false">L21*$M$2</f>
        <v>9400.5</v>
      </c>
      <c r="N21" s="328"/>
      <c r="O21" s="328"/>
      <c r="P21" s="328"/>
      <c r="Q21" s="520"/>
      <c r="R21" s="521" t="s">
        <v>606</v>
      </c>
      <c r="S21" s="516"/>
      <c r="T21" s="517"/>
      <c r="U21" s="518"/>
      <c r="V21" s="531"/>
    </row>
    <row r="22" customFormat="false" ht="12.8" hidden="false" customHeight="false" outlineLevel="0" collapsed="false">
      <c r="A22" s="507" t="s">
        <v>600</v>
      </c>
      <c r="B22" s="507" t="str">
        <f aca="false">", цвет - "&amp;C22</f>
        <v>, цвет - кремона</v>
      </c>
      <c r="C22" s="507" t="s">
        <v>605</v>
      </c>
      <c r="D22" s="307" t="str">
        <f aca="false">A22&amp;" "&amp;C22</f>
        <v>Дерево 25мм кремона</v>
      </c>
      <c r="E22" s="307" t="str">
        <f aca="false">"Жалюзи горизонтальные "&amp;A22&amp;B22</f>
        <v>Жалюзи горизонтальные Дерево 25мм, цвет - кремона</v>
      </c>
      <c r="F22" s="334" t="n">
        <v>0.33</v>
      </c>
      <c r="G22" s="334" t="n">
        <v>2.1</v>
      </c>
      <c r="H22" s="334" t="n">
        <v>3</v>
      </c>
      <c r="I22" s="334" t="n">
        <v>6.3</v>
      </c>
      <c r="J22" s="508" t="n">
        <f aca="false">$V$18</f>
        <v>86.74</v>
      </c>
      <c r="K22" s="509" t="n">
        <f aca="false">J22*0.85</f>
        <v>73.729</v>
      </c>
      <c r="L22" s="328" t="n">
        <f aca="false">ROUNDUP(K22*$B$2,0)</f>
        <v>6267</v>
      </c>
      <c r="M22" s="328" t="n">
        <f aca="false">L22*$M$2</f>
        <v>9400.5</v>
      </c>
      <c r="N22" s="328"/>
      <c r="O22" s="328"/>
      <c r="P22" s="328"/>
      <c r="Q22" s="520"/>
      <c r="R22" s="521" t="s">
        <v>607</v>
      </c>
      <c r="S22" s="516"/>
      <c r="T22" s="517"/>
      <c r="U22" s="518"/>
      <c r="V22" s="531"/>
    </row>
    <row r="23" customFormat="false" ht="12.8" hidden="false" customHeight="false" outlineLevel="0" collapsed="false">
      <c r="A23" s="507" t="s">
        <v>600</v>
      </c>
      <c r="B23" s="507" t="str">
        <f aca="false">", цвет - "&amp;C23</f>
        <v>, цвет - пиано </v>
      </c>
      <c r="C23" s="507" t="s">
        <v>606</v>
      </c>
      <c r="D23" s="307" t="str">
        <f aca="false">A23&amp;" "&amp;C23</f>
        <v>Дерево 25мм пиано </v>
      </c>
      <c r="E23" s="307" t="str">
        <f aca="false">"Жалюзи горизонтальные "&amp;A23&amp;B23</f>
        <v>Жалюзи горизонтальные Дерево 25мм, цвет - пиано </v>
      </c>
      <c r="F23" s="334" t="n">
        <v>0.33</v>
      </c>
      <c r="G23" s="334" t="n">
        <v>2.1</v>
      </c>
      <c r="H23" s="334" t="n">
        <v>3</v>
      </c>
      <c r="I23" s="334" t="n">
        <v>6.3</v>
      </c>
      <c r="J23" s="508" t="n">
        <f aca="false">$V$18</f>
        <v>86.74</v>
      </c>
      <c r="K23" s="509" t="n">
        <f aca="false">J23*0.85</f>
        <v>73.729</v>
      </c>
      <c r="L23" s="328" t="n">
        <f aca="false">ROUNDUP(K23*$B$2,0)</f>
        <v>6267</v>
      </c>
      <c r="M23" s="328" t="n">
        <f aca="false">L23*$M$2</f>
        <v>9400.5</v>
      </c>
      <c r="N23" s="328"/>
      <c r="O23" s="328"/>
      <c r="P23" s="328"/>
      <c r="Q23" s="520"/>
      <c r="R23" s="521" t="s">
        <v>608</v>
      </c>
      <c r="S23" s="516"/>
      <c r="T23" s="517"/>
      <c r="U23" s="518"/>
      <c r="V23" s="531"/>
    </row>
    <row r="24" customFormat="false" ht="12.8" hidden="false" customHeight="false" outlineLevel="0" collapsed="false">
      <c r="A24" s="507" t="s">
        <v>600</v>
      </c>
      <c r="B24" s="507" t="str">
        <f aca="false">", цвет - "&amp;C24</f>
        <v>, цвет - розовое дерево</v>
      </c>
      <c r="C24" s="507" t="s">
        <v>607</v>
      </c>
      <c r="D24" s="307" t="str">
        <f aca="false">A24&amp;" "&amp;C24</f>
        <v>Дерево 25мм розовое дерево</v>
      </c>
      <c r="E24" s="307" t="str">
        <f aca="false">"Жалюзи горизонтальные "&amp;A24&amp;B24</f>
        <v>Жалюзи горизонтальные Дерево 25мм, цвет - розовое дерево</v>
      </c>
      <c r="F24" s="334" t="n">
        <v>0.33</v>
      </c>
      <c r="G24" s="334" t="n">
        <v>2.1</v>
      </c>
      <c r="H24" s="334" t="n">
        <v>3</v>
      </c>
      <c r="I24" s="334" t="n">
        <v>6.3</v>
      </c>
      <c r="J24" s="508" t="n">
        <f aca="false">$V$18</f>
        <v>86.74</v>
      </c>
      <c r="K24" s="509" t="n">
        <f aca="false">J24*0.85</f>
        <v>73.729</v>
      </c>
      <c r="L24" s="328" t="n">
        <f aca="false">ROUNDUP(K24*$B$2,0)</f>
        <v>6267</v>
      </c>
      <c r="M24" s="328" t="n">
        <f aca="false">L24*$M$2</f>
        <v>9400.5</v>
      </c>
      <c r="N24" s="328"/>
      <c r="O24" s="328"/>
      <c r="P24" s="328"/>
      <c r="Q24" s="522"/>
      <c r="R24" s="523" t="s">
        <v>609</v>
      </c>
      <c r="S24" s="516"/>
      <c r="T24" s="517"/>
      <c r="U24" s="518"/>
      <c r="V24" s="531"/>
    </row>
    <row r="25" customFormat="false" ht="12.8" hidden="false" customHeight="false" outlineLevel="0" collapsed="false">
      <c r="A25" s="507" t="s">
        <v>600</v>
      </c>
      <c r="B25" s="507" t="str">
        <f aca="false">", цвет - "&amp;C25</f>
        <v>, цвет - снежное дерево</v>
      </c>
      <c r="C25" s="507" t="s">
        <v>608</v>
      </c>
      <c r="D25" s="307" t="str">
        <f aca="false">A25&amp;" "&amp;C25</f>
        <v>Дерево 25мм снежное дерево</v>
      </c>
      <c r="E25" s="307" t="str">
        <f aca="false">"Жалюзи горизонтальные "&amp;A25&amp;B25</f>
        <v>Жалюзи горизонтальные Дерево 25мм, цвет - снежное дерево</v>
      </c>
      <c r="F25" s="334" t="n">
        <v>0.33</v>
      </c>
      <c r="G25" s="334" t="n">
        <v>2.1</v>
      </c>
      <c r="H25" s="334" t="n">
        <v>3</v>
      </c>
      <c r="I25" s="334" t="n">
        <v>6.3</v>
      </c>
      <c r="J25" s="508" t="n">
        <f aca="false">$V$18</f>
        <v>86.74</v>
      </c>
      <c r="K25" s="509" t="n">
        <f aca="false">J25*0.85</f>
        <v>73.729</v>
      </c>
      <c r="L25" s="328" t="n">
        <f aca="false">ROUNDUP(K25*$B$2,0)</f>
        <v>6267</v>
      </c>
      <c r="M25" s="328" t="n">
        <f aca="false">L25*$M$2</f>
        <v>9400.5</v>
      </c>
      <c r="N25" s="328"/>
      <c r="O25" s="328"/>
      <c r="P25" s="328"/>
      <c r="Q25" s="529" t="s">
        <v>610</v>
      </c>
      <c r="R25" s="532" t="s">
        <v>611</v>
      </c>
      <c r="S25" s="533" t="s">
        <v>597</v>
      </c>
      <c r="T25" s="534" t="s">
        <v>612</v>
      </c>
      <c r="U25" s="535" t="s">
        <v>613</v>
      </c>
      <c r="V25" s="536" t="n">
        <v>95.6</v>
      </c>
    </row>
    <row r="26" customFormat="false" ht="12.8" hidden="false" customHeight="false" outlineLevel="0" collapsed="false">
      <c r="A26" s="507" t="s">
        <v>600</v>
      </c>
      <c r="B26" s="507" t="str">
        <f aca="false">", цвет - "&amp;C26</f>
        <v>, цвет - форте</v>
      </c>
      <c r="C26" s="507" t="s">
        <v>609</v>
      </c>
      <c r="D26" s="307" t="str">
        <f aca="false">A26&amp;" "&amp;C26</f>
        <v>Дерево 25мм форте</v>
      </c>
      <c r="E26" s="307" t="str">
        <f aca="false">"Жалюзи горизонтальные "&amp;A26&amp;B26</f>
        <v>Жалюзи горизонтальные Дерево 25мм, цвет - форте</v>
      </c>
      <c r="F26" s="334" t="n">
        <v>0.33</v>
      </c>
      <c r="G26" s="334" t="n">
        <v>2.1</v>
      </c>
      <c r="H26" s="334" t="n">
        <v>3</v>
      </c>
      <c r="I26" s="334" t="n">
        <v>6.3</v>
      </c>
      <c r="J26" s="508" t="n">
        <f aca="false">$V$18</f>
        <v>86.74</v>
      </c>
      <c r="K26" s="509" t="n">
        <f aca="false">J26*0.85</f>
        <v>73.729</v>
      </c>
      <c r="L26" s="328" t="n">
        <f aca="false">ROUNDUP(K26*$B$2,0)</f>
        <v>6267</v>
      </c>
      <c r="M26" s="328" t="n">
        <f aca="false">L26*$M$2</f>
        <v>9400.5</v>
      </c>
      <c r="N26" s="328"/>
      <c r="O26" s="328"/>
      <c r="P26" s="328"/>
      <c r="Q26" s="537"/>
      <c r="R26" s="532" t="s">
        <v>614</v>
      </c>
      <c r="S26" s="533"/>
      <c r="T26" s="534"/>
      <c r="U26" s="535"/>
      <c r="V26" s="536"/>
    </row>
    <row r="27" customFormat="false" ht="12.8" hidden="false" customHeight="false" outlineLevel="0" collapsed="false">
      <c r="A27" s="507" t="s">
        <v>610</v>
      </c>
      <c r="B27" s="507"/>
      <c r="D27" s="307" t="str">
        <f aca="false">A27&amp;" "&amp;C27</f>
        <v>Дерево 50мм </v>
      </c>
      <c r="E27" s="307" t="str">
        <f aca="false">"Жалюзи горизонтальные "&amp;A27&amp;B27</f>
        <v>Жалюзи горизонтальные Дерево 50мм</v>
      </c>
      <c r="F27" s="334" t="n">
        <v>0.42</v>
      </c>
      <c r="G27" s="334" t="n">
        <v>2.1</v>
      </c>
      <c r="H27" s="334" t="n">
        <v>3</v>
      </c>
      <c r="I27" s="334" t="n">
        <v>6.3</v>
      </c>
      <c r="J27" s="508" t="n">
        <f aca="false">$V$25</f>
        <v>95.6</v>
      </c>
      <c r="K27" s="509" t="n">
        <f aca="false">J27*0.85</f>
        <v>81.26</v>
      </c>
      <c r="L27" s="328" t="n">
        <f aca="false">ROUNDUP(K27*$B$2,0)</f>
        <v>6908</v>
      </c>
      <c r="M27" s="328" t="n">
        <f aca="false">L27*$M$2</f>
        <v>10362</v>
      </c>
      <c r="N27" s="328"/>
      <c r="O27" s="328"/>
      <c r="P27" s="328"/>
      <c r="Q27" s="520"/>
      <c r="R27" s="521" t="s">
        <v>605</v>
      </c>
      <c r="S27" s="533"/>
      <c r="T27" s="534"/>
      <c r="U27" s="535"/>
      <c r="V27" s="536"/>
    </row>
    <row r="28" customFormat="false" ht="12.8" hidden="false" customHeight="false" outlineLevel="0" collapsed="false">
      <c r="A28" s="507" t="s">
        <v>610</v>
      </c>
      <c r="B28" s="507" t="str">
        <f aca="false">", цвет - "&amp;C28</f>
        <v>, цвет -  венге</v>
      </c>
      <c r="C28" s="507" t="s">
        <v>611</v>
      </c>
      <c r="D28" s="307" t="str">
        <f aca="false">A28&amp;" "&amp;C28</f>
        <v>Дерево 50мм  венге</v>
      </c>
      <c r="E28" s="307" t="str">
        <f aca="false">"Жалюзи горизонтальные "&amp;A28&amp;B28</f>
        <v>Жалюзи горизонтальные Дерево 50мм, цвет -  венге</v>
      </c>
      <c r="F28" s="334" t="n">
        <v>0.42</v>
      </c>
      <c r="G28" s="334" t="n">
        <v>2.1</v>
      </c>
      <c r="H28" s="334" t="n">
        <v>3</v>
      </c>
      <c r="I28" s="334" t="n">
        <v>6.3</v>
      </c>
      <c r="J28" s="508" t="n">
        <f aca="false">$V$25</f>
        <v>95.6</v>
      </c>
      <c r="K28" s="509" t="n">
        <f aca="false">J28*0.85</f>
        <v>81.26</v>
      </c>
      <c r="L28" s="328" t="n">
        <f aca="false">ROUNDUP(K28*$B$2,0)</f>
        <v>6908</v>
      </c>
      <c r="M28" s="328" t="n">
        <f aca="false">L28*$M$2</f>
        <v>10362</v>
      </c>
      <c r="N28" s="328"/>
      <c r="O28" s="328"/>
      <c r="P28" s="328"/>
      <c r="Q28" s="520"/>
      <c r="R28" s="521" t="s">
        <v>606</v>
      </c>
      <c r="S28" s="533"/>
      <c r="T28" s="534"/>
      <c r="U28" s="535"/>
      <c r="V28" s="536"/>
    </row>
    <row r="29" customFormat="false" ht="12.8" hidden="false" customHeight="false" outlineLevel="0" collapsed="false">
      <c r="A29" s="507" t="s">
        <v>610</v>
      </c>
      <c r="B29" s="507" t="str">
        <f aca="false">", цвет - "&amp;C29</f>
        <v>, цвет - красное дерево</v>
      </c>
      <c r="C29" s="507" t="s">
        <v>614</v>
      </c>
      <c r="D29" s="307" t="str">
        <f aca="false">A29&amp;" "&amp;C29</f>
        <v>Дерево 50мм красное дерево</v>
      </c>
      <c r="E29" s="307" t="str">
        <f aca="false">"Жалюзи горизонтальные "&amp;A29&amp;B29</f>
        <v>Жалюзи горизонтальные Дерево 50мм, цвет - красное дерево</v>
      </c>
      <c r="F29" s="334" t="n">
        <v>0.42</v>
      </c>
      <c r="G29" s="334" t="n">
        <v>2.1</v>
      </c>
      <c r="H29" s="334" t="n">
        <v>3</v>
      </c>
      <c r="I29" s="334" t="n">
        <v>6.3</v>
      </c>
      <c r="J29" s="508" t="n">
        <f aca="false">$V$25</f>
        <v>95.6</v>
      </c>
      <c r="K29" s="509" t="n">
        <f aca="false">J29*0.85</f>
        <v>81.26</v>
      </c>
      <c r="L29" s="328" t="n">
        <f aca="false">ROUNDUP(K29*$B$2,0)</f>
        <v>6908</v>
      </c>
      <c r="M29" s="328" t="n">
        <f aca="false">L29*$M$2</f>
        <v>10362</v>
      </c>
      <c r="N29" s="328"/>
      <c r="O29" s="328"/>
      <c r="P29" s="328"/>
      <c r="Q29" s="520"/>
      <c r="R29" s="521" t="s">
        <v>607</v>
      </c>
      <c r="S29" s="533"/>
      <c r="T29" s="534"/>
      <c r="U29" s="535"/>
      <c r="V29" s="536"/>
    </row>
    <row r="30" customFormat="false" ht="12.8" hidden="false" customHeight="false" outlineLevel="0" collapsed="false">
      <c r="A30" s="507" t="s">
        <v>610</v>
      </c>
      <c r="B30" s="507" t="str">
        <f aca="false">", цвет - "&amp;C30</f>
        <v>, цвет - кремона</v>
      </c>
      <c r="C30" s="507" t="s">
        <v>605</v>
      </c>
      <c r="D30" s="307" t="str">
        <f aca="false">A30&amp;" "&amp;C30</f>
        <v>Дерево 50мм кремона</v>
      </c>
      <c r="E30" s="307" t="str">
        <f aca="false">"Жалюзи горизонтальные "&amp;A30&amp;B30</f>
        <v>Жалюзи горизонтальные Дерево 50мм, цвет - кремона</v>
      </c>
      <c r="F30" s="334" t="n">
        <v>0.42</v>
      </c>
      <c r="G30" s="334" t="n">
        <v>2.1</v>
      </c>
      <c r="H30" s="334" t="n">
        <v>3</v>
      </c>
      <c r="I30" s="334" t="n">
        <v>6.3</v>
      </c>
      <c r="J30" s="508" t="n">
        <f aca="false">$V$25</f>
        <v>95.6</v>
      </c>
      <c r="K30" s="509" t="n">
        <f aca="false">J30*0.85</f>
        <v>81.26</v>
      </c>
      <c r="L30" s="328" t="n">
        <f aca="false">ROUNDUP(K30*$B$2,0)</f>
        <v>6908</v>
      </c>
      <c r="M30" s="328" t="n">
        <f aca="false">L30*$M$2</f>
        <v>10362</v>
      </c>
      <c r="N30" s="328"/>
      <c r="O30" s="328"/>
      <c r="P30" s="328"/>
      <c r="Q30" s="538"/>
      <c r="R30" s="530" t="s">
        <v>608</v>
      </c>
      <c r="S30" s="533"/>
      <c r="T30" s="534"/>
      <c r="U30" s="535"/>
      <c r="V30" s="536"/>
    </row>
    <row r="31" customFormat="false" ht="12.8" hidden="false" customHeight="false" outlineLevel="0" collapsed="false">
      <c r="A31" s="507" t="s">
        <v>610</v>
      </c>
      <c r="B31" s="507" t="str">
        <f aca="false">", цвет - "&amp;C31</f>
        <v>, цвет - пиано </v>
      </c>
      <c r="C31" s="507" t="s">
        <v>606</v>
      </c>
      <c r="D31" s="307" t="str">
        <f aca="false">A31&amp;" "&amp;C31</f>
        <v>Дерево 50мм пиано </v>
      </c>
      <c r="E31" s="307" t="str">
        <f aca="false">"Жалюзи горизонтальные "&amp;A31&amp;B31</f>
        <v>Жалюзи горизонтальные Дерево 50мм, цвет - пиано </v>
      </c>
      <c r="F31" s="334" t="n">
        <v>0.42</v>
      </c>
      <c r="G31" s="334" t="n">
        <v>2.1</v>
      </c>
      <c r="H31" s="334" t="n">
        <v>3</v>
      </c>
      <c r="I31" s="334" t="n">
        <v>6.3</v>
      </c>
      <c r="J31" s="508" t="n">
        <f aca="false">$V$25</f>
        <v>95.6</v>
      </c>
      <c r="K31" s="509" t="n">
        <f aca="false">J31*0.85</f>
        <v>81.26</v>
      </c>
      <c r="L31" s="328" t="n">
        <f aca="false">ROUNDUP(K31*$B$2,0)</f>
        <v>6908</v>
      </c>
      <c r="M31" s="328" t="n">
        <f aca="false">L31*$M$2</f>
        <v>10362</v>
      </c>
      <c r="N31" s="328"/>
      <c r="O31" s="328"/>
      <c r="P31" s="328"/>
      <c r="Q31" s="538"/>
      <c r="R31" s="530" t="s">
        <v>609</v>
      </c>
      <c r="S31" s="533"/>
      <c r="T31" s="534"/>
      <c r="U31" s="535"/>
      <c r="V31" s="536"/>
    </row>
    <row r="32" customFormat="false" ht="12.8" hidden="false" customHeight="false" outlineLevel="0" collapsed="false">
      <c r="A32" s="507" t="s">
        <v>610</v>
      </c>
      <c r="B32" s="507" t="str">
        <f aca="false">", цвет - "&amp;C32</f>
        <v>, цвет - розовое дерево</v>
      </c>
      <c r="C32" s="507" t="s">
        <v>607</v>
      </c>
      <c r="D32" s="307" t="str">
        <f aca="false">A32&amp;" "&amp;C32</f>
        <v>Дерево 50мм розовое дерево</v>
      </c>
      <c r="E32" s="307" t="str">
        <f aca="false">"Жалюзи горизонтальные "&amp;A32&amp;B32</f>
        <v>Жалюзи горизонтальные Дерево 50мм, цвет - розовое дерево</v>
      </c>
      <c r="F32" s="334" t="n">
        <v>0.42</v>
      </c>
      <c r="G32" s="334" t="n">
        <v>2.1</v>
      </c>
      <c r="H32" s="334" t="n">
        <v>3</v>
      </c>
      <c r="I32" s="334" t="n">
        <v>6.3</v>
      </c>
      <c r="J32" s="508" t="n">
        <f aca="false">$V$25</f>
        <v>95.6</v>
      </c>
      <c r="K32" s="509" t="n">
        <f aca="false">J32*0.85</f>
        <v>81.26</v>
      </c>
      <c r="L32" s="328" t="n">
        <f aca="false">ROUNDUP(K32*$B$2,0)</f>
        <v>6908</v>
      </c>
      <c r="M32" s="328" t="n">
        <f aca="false">L32*$M$2</f>
        <v>10362</v>
      </c>
      <c r="N32" s="328"/>
      <c r="O32" s="328"/>
      <c r="P32" s="328"/>
      <c r="Q32" s="539" t="s">
        <v>615</v>
      </c>
      <c r="R32" s="540" t="s">
        <v>380</v>
      </c>
      <c r="S32" s="516" t="s">
        <v>597</v>
      </c>
      <c r="T32" s="517" t="s">
        <v>616</v>
      </c>
      <c r="U32" s="518" t="s">
        <v>617</v>
      </c>
      <c r="V32" s="519" t="n">
        <v>95.6</v>
      </c>
    </row>
    <row r="33" customFormat="false" ht="12.8" hidden="false" customHeight="false" outlineLevel="0" collapsed="false">
      <c r="A33" s="507" t="s">
        <v>610</v>
      </c>
      <c r="B33" s="507" t="str">
        <f aca="false">", цвет - "&amp;C33</f>
        <v>, цвет - снежное дерево</v>
      </c>
      <c r="C33" s="507" t="s">
        <v>608</v>
      </c>
      <c r="D33" s="307" t="str">
        <f aca="false">A33&amp;" "&amp;C33</f>
        <v>Дерево 50мм снежное дерево</v>
      </c>
      <c r="E33" s="307" t="str">
        <f aca="false">"Жалюзи горизонтальные "&amp;A33&amp;B33</f>
        <v>Жалюзи горизонтальные Дерево 50мм, цвет - снежное дерево</v>
      </c>
      <c r="F33" s="334" t="n">
        <v>0.42</v>
      </c>
      <c r="G33" s="334" t="n">
        <v>2.1</v>
      </c>
      <c r="H33" s="334" t="n">
        <v>3</v>
      </c>
      <c r="I33" s="334" t="n">
        <v>6.3</v>
      </c>
      <c r="J33" s="508" t="n">
        <f aca="false">$V$25</f>
        <v>95.6</v>
      </c>
      <c r="K33" s="509" t="n">
        <f aca="false">J33*0.85</f>
        <v>81.26</v>
      </c>
      <c r="L33" s="328" t="n">
        <f aca="false">ROUNDUP(K33*$B$2,0)</f>
        <v>6908</v>
      </c>
      <c r="M33" s="328" t="n">
        <f aca="false">L33*$M$2</f>
        <v>10362</v>
      </c>
      <c r="N33" s="328"/>
      <c r="O33" s="328"/>
      <c r="P33" s="328"/>
      <c r="Q33" s="541"/>
      <c r="R33" s="542" t="s">
        <v>618</v>
      </c>
      <c r="S33" s="516"/>
      <c r="T33" s="517"/>
      <c r="U33" s="518"/>
      <c r="V33" s="519"/>
    </row>
    <row r="34" customFormat="false" ht="12.8" hidden="false" customHeight="false" outlineLevel="0" collapsed="false">
      <c r="A34" s="507" t="s">
        <v>610</v>
      </c>
      <c r="B34" s="507" t="str">
        <f aca="false">", цвет - "&amp;C34</f>
        <v>, цвет - форте</v>
      </c>
      <c r="C34" s="507" t="s">
        <v>609</v>
      </c>
      <c r="D34" s="307" t="str">
        <f aca="false">A34&amp;" "&amp;C34</f>
        <v>Дерево 50мм форте</v>
      </c>
      <c r="E34" s="307" t="str">
        <f aca="false">"Жалюзи горизонтальные "&amp;A34&amp;B34</f>
        <v>Жалюзи горизонтальные Дерево 50мм, цвет - форте</v>
      </c>
      <c r="F34" s="334" t="n">
        <v>0.42</v>
      </c>
      <c r="G34" s="334" t="n">
        <v>2.1</v>
      </c>
      <c r="H34" s="334" t="n">
        <v>3</v>
      </c>
      <c r="I34" s="334" t="n">
        <v>6.3</v>
      </c>
      <c r="J34" s="508" t="n">
        <f aca="false">$V$25</f>
        <v>95.6</v>
      </c>
      <c r="K34" s="509" t="n">
        <f aca="false">J34*0.85</f>
        <v>81.26</v>
      </c>
      <c r="L34" s="328" t="n">
        <f aca="false">ROUNDUP(K34*$B$2,0)</f>
        <v>6908</v>
      </c>
      <c r="M34" s="328" t="n">
        <f aca="false">L34*$M$2</f>
        <v>10362</v>
      </c>
      <c r="N34" s="328"/>
      <c r="O34" s="328"/>
      <c r="P34" s="328"/>
      <c r="Q34" s="541"/>
      <c r="R34" s="542" t="s">
        <v>361</v>
      </c>
      <c r="S34" s="516"/>
      <c r="T34" s="517"/>
      <c r="U34" s="518"/>
      <c r="V34" s="519"/>
    </row>
    <row r="35" customFormat="false" ht="12.8" hidden="false" customHeight="false" outlineLevel="0" collapsed="false">
      <c r="A35" s="507" t="s">
        <v>619</v>
      </c>
      <c r="B35" s="507" t="str">
        <f aca="false">", цвет - "&amp;C35</f>
        <v>, цвет - белый</v>
      </c>
      <c r="C35" s="507" t="s">
        <v>380</v>
      </c>
      <c r="D35" s="307" t="str">
        <f aca="false">A35&amp;" "&amp;C35</f>
        <v>Павлония 50мм белый</v>
      </c>
      <c r="E35" s="307" t="str">
        <f aca="false">"Жалюзи горизонтальные "&amp;A35&amp;B35</f>
        <v>Жалюзи горизонтальные Павлония 50мм, цвет - белый</v>
      </c>
      <c r="F35" s="334" t="n">
        <v>0.42</v>
      </c>
      <c r="G35" s="334" t="n">
        <v>2.3</v>
      </c>
      <c r="H35" s="334" t="n">
        <v>3</v>
      </c>
      <c r="I35" s="334" t="n">
        <v>6.9</v>
      </c>
      <c r="J35" s="508" t="n">
        <f aca="false">$V$32</f>
        <v>95.6</v>
      </c>
      <c r="K35" s="509" t="n">
        <f aca="false">J35*0.85</f>
        <v>81.26</v>
      </c>
      <c r="L35" s="328" t="n">
        <f aca="false">ROUNDUP(K35*$B$2,0)</f>
        <v>6908</v>
      </c>
      <c r="M35" s="328" t="n">
        <f aca="false">L35*$M$2</f>
        <v>10362</v>
      </c>
      <c r="N35" s="328"/>
      <c r="O35" s="328"/>
      <c r="P35" s="328"/>
      <c r="Q35" s="541"/>
      <c r="R35" s="542" t="s">
        <v>620</v>
      </c>
      <c r="S35" s="516"/>
      <c r="T35" s="517"/>
      <c r="U35" s="518"/>
      <c r="V35" s="519"/>
    </row>
    <row r="36" customFormat="false" ht="12.8" hidden="false" customHeight="false" outlineLevel="0" collapsed="false">
      <c r="A36" s="507" t="s">
        <v>619</v>
      </c>
      <c r="B36" s="507" t="str">
        <f aca="false">", цвет - "&amp;C36</f>
        <v>, цвет - лиственница</v>
      </c>
      <c r="C36" s="507" t="s">
        <v>618</v>
      </c>
      <c r="D36" s="307" t="str">
        <f aca="false">A36&amp;" "&amp;C36</f>
        <v>Павлония 50мм лиственница</v>
      </c>
      <c r="E36" s="307" t="str">
        <f aca="false">"Жалюзи горизонтальные "&amp;A36&amp;B36</f>
        <v>Жалюзи горизонтальные Павлония 50мм, цвет - лиственница</v>
      </c>
      <c r="F36" s="334" t="n">
        <v>0.42</v>
      </c>
      <c r="G36" s="334" t="n">
        <v>2.3</v>
      </c>
      <c r="H36" s="334" t="n">
        <v>3</v>
      </c>
      <c r="I36" s="334" t="n">
        <v>6.9</v>
      </c>
      <c r="J36" s="508" t="n">
        <f aca="false">$V$32</f>
        <v>95.6</v>
      </c>
      <c r="K36" s="509" t="n">
        <f aca="false">J36*0.85</f>
        <v>81.26</v>
      </c>
      <c r="L36" s="328" t="n">
        <f aca="false">ROUNDUP(K36*$B$2,0)</f>
        <v>6908</v>
      </c>
      <c r="M36" s="328" t="n">
        <f aca="false">L36*$M$2</f>
        <v>10362</v>
      </c>
      <c r="N36" s="328"/>
      <c r="O36" s="328"/>
      <c r="P36" s="328"/>
      <c r="Q36" s="541"/>
      <c r="R36" s="542" t="s">
        <v>354</v>
      </c>
      <c r="S36" s="516"/>
      <c r="T36" s="517"/>
      <c r="U36" s="518"/>
      <c r="V36" s="519"/>
    </row>
    <row r="37" customFormat="false" ht="12.8" hidden="false" customHeight="false" outlineLevel="0" collapsed="false">
      <c r="A37" s="507" t="s">
        <v>619</v>
      </c>
      <c r="B37" s="507" t="str">
        <f aca="false">", цвет - "&amp;C37</f>
        <v>, цвет - магнолия</v>
      </c>
      <c r="C37" s="507" t="s">
        <v>361</v>
      </c>
      <c r="D37" s="307" t="str">
        <f aca="false">A37&amp;" "&amp;C37</f>
        <v>Павлония 50мм магнолия</v>
      </c>
      <c r="E37" s="307" t="str">
        <f aca="false">"Жалюзи горизонтальные "&amp;A37&amp;B37</f>
        <v>Жалюзи горизонтальные Павлония 50мм, цвет - магнолия</v>
      </c>
      <c r="F37" s="334" t="n">
        <v>0.42</v>
      </c>
      <c r="G37" s="334" t="n">
        <v>2.3</v>
      </c>
      <c r="H37" s="334" t="n">
        <v>3</v>
      </c>
      <c r="I37" s="334" t="n">
        <v>6.9</v>
      </c>
      <c r="J37" s="508" t="n">
        <f aca="false">$V$32</f>
        <v>95.6</v>
      </c>
      <c r="K37" s="509" t="n">
        <f aca="false">J37*0.85</f>
        <v>81.26</v>
      </c>
      <c r="L37" s="328" t="n">
        <f aca="false">ROUNDUP(K37*$B$2,0)</f>
        <v>6908</v>
      </c>
      <c r="M37" s="328" t="n">
        <f aca="false">L37*$M$2</f>
        <v>10362</v>
      </c>
      <c r="N37" s="328"/>
      <c r="O37" s="328"/>
      <c r="P37" s="328"/>
      <c r="Q37" s="541"/>
      <c r="R37" s="542" t="s">
        <v>621</v>
      </c>
      <c r="S37" s="516"/>
      <c r="T37" s="517"/>
      <c r="U37" s="518"/>
      <c r="V37" s="519"/>
    </row>
    <row r="38" customFormat="false" ht="12.8" hidden="false" customHeight="false" outlineLevel="0" collapsed="false">
      <c r="A38" s="507" t="s">
        <v>619</v>
      </c>
      <c r="B38" s="507" t="str">
        <f aca="false">", цвет - "&amp;C38</f>
        <v>, цвет - палисандр</v>
      </c>
      <c r="C38" s="507" t="s">
        <v>620</v>
      </c>
      <c r="D38" s="307" t="str">
        <f aca="false">A38&amp;" "&amp;C38</f>
        <v>Павлония 50мм палисандр</v>
      </c>
      <c r="E38" s="307" t="str">
        <f aca="false">"Жалюзи горизонтальные "&amp;A38&amp;B38</f>
        <v>Жалюзи горизонтальные Павлония 50мм, цвет - палисандр</v>
      </c>
      <c r="F38" s="334" t="n">
        <v>0.42</v>
      </c>
      <c r="G38" s="334" t="n">
        <v>2.3</v>
      </c>
      <c r="H38" s="334" t="n">
        <v>3</v>
      </c>
      <c r="I38" s="334" t="n">
        <v>6.9</v>
      </c>
      <c r="J38" s="508" t="n">
        <f aca="false">$V$32</f>
        <v>95.6</v>
      </c>
      <c r="K38" s="509" t="n">
        <f aca="false">J38*0.85</f>
        <v>81.26</v>
      </c>
      <c r="L38" s="328" t="n">
        <f aca="false">ROUNDUP(K38*$B$2,0)</f>
        <v>6908</v>
      </c>
      <c r="M38" s="328" t="n">
        <f aca="false">L38*$M$2</f>
        <v>10362</v>
      </c>
      <c r="N38" s="328"/>
      <c r="O38" s="328"/>
      <c r="P38" s="328"/>
      <c r="Q38" s="541"/>
      <c r="R38" s="542" t="s">
        <v>622</v>
      </c>
      <c r="S38" s="516"/>
      <c r="T38" s="517"/>
      <c r="U38" s="518"/>
      <c r="V38" s="519"/>
    </row>
    <row r="39" customFormat="false" ht="12.8" hidden="false" customHeight="false" outlineLevel="0" collapsed="false">
      <c r="A39" s="507" t="s">
        <v>619</v>
      </c>
      <c r="B39" s="507" t="str">
        <f aca="false">", цвет - "&amp;C39</f>
        <v>, цвет - светло-серый</v>
      </c>
      <c r="C39" s="507" t="s">
        <v>354</v>
      </c>
      <c r="D39" s="307" t="str">
        <f aca="false">A39&amp;" "&amp;C39</f>
        <v>Павлония 50мм светло-серый</v>
      </c>
      <c r="E39" s="307" t="str">
        <f aca="false">"Жалюзи горизонтальные "&amp;A39&amp;B39</f>
        <v>Жалюзи горизонтальные Павлония 50мм, цвет - светло-серый</v>
      </c>
      <c r="F39" s="334" t="n">
        <v>0.42</v>
      </c>
      <c r="G39" s="334" t="n">
        <v>2.3</v>
      </c>
      <c r="H39" s="334" t="n">
        <v>3</v>
      </c>
      <c r="I39" s="334" t="n">
        <v>6.9</v>
      </c>
      <c r="J39" s="508" t="n">
        <f aca="false">$V$32</f>
        <v>95.6</v>
      </c>
      <c r="K39" s="509" t="n">
        <f aca="false">J39*0.85</f>
        <v>81.26</v>
      </c>
      <c r="L39" s="328" t="n">
        <f aca="false">ROUNDUP(K39*$B$2,0)</f>
        <v>6908</v>
      </c>
      <c r="M39" s="328" t="n">
        <f aca="false">L39*$M$2</f>
        <v>10362</v>
      </c>
      <c r="N39" s="328"/>
      <c r="O39" s="328"/>
      <c r="P39" s="328"/>
      <c r="Q39" s="541"/>
      <c r="R39" s="542" t="s">
        <v>444</v>
      </c>
      <c r="S39" s="516"/>
      <c r="T39" s="517"/>
      <c r="U39" s="518"/>
      <c r="V39" s="519"/>
    </row>
    <row r="40" customFormat="false" ht="12.8" hidden="false" customHeight="false" outlineLevel="0" collapsed="false">
      <c r="A40" s="507" t="s">
        <v>619</v>
      </c>
      <c r="B40" s="507" t="str">
        <f aca="false">", цвет - "&amp;C40</f>
        <v>, цвет - серый</v>
      </c>
      <c r="C40" s="507" t="s">
        <v>621</v>
      </c>
      <c r="D40" s="307" t="str">
        <f aca="false">A40&amp;" "&amp;C40</f>
        <v>Павлония 50мм серый</v>
      </c>
      <c r="E40" s="307" t="str">
        <f aca="false">"Жалюзи горизонтальные "&amp;A40&amp;B40</f>
        <v>Жалюзи горизонтальные Павлония 50мм, цвет - серый</v>
      </c>
      <c r="F40" s="334" t="n">
        <v>0.42</v>
      </c>
      <c r="G40" s="334" t="n">
        <v>2.3</v>
      </c>
      <c r="H40" s="334" t="n">
        <v>3</v>
      </c>
      <c r="I40" s="334" t="n">
        <v>6.9</v>
      </c>
      <c r="J40" s="508" t="n">
        <f aca="false">$V$32</f>
        <v>95.6</v>
      </c>
      <c r="K40" s="509" t="n">
        <f aca="false">J40*0.85</f>
        <v>81.26</v>
      </c>
      <c r="L40" s="328" t="n">
        <f aca="false">ROUNDUP(K40*$B$2,0)</f>
        <v>6908</v>
      </c>
      <c r="M40" s="328" t="n">
        <f aca="false">L40*$M$2</f>
        <v>10362</v>
      </c>
      <c r="N40" s="328"/>
      <c r="O40" s="328"/>
      <c r="P40" s="328"/>
      <c r="Q40" s="543"/>
      <c r="R40" s="544" t="s">
        <v>623</v>
      </c>
      <c r="S40" s="516"/>
      <c r="T40" s="517"/>
      <c r="U40" s="518"/>
      <c r="V40" s="519"/>
    </row>
    <row r="41" customFormat="false" ht="12.8" hidden="false" customHeight="false" outlineLevel="0" collapsed="false">
      <c r="A41" s="507" t="s">
        <v>619</v>
      </c>
      <c r="B41" s="507" t="str">
        <f aca="false">", цвет - "&amp;C41</f>
        <v>, цвет - темно-серый</v>
      </c>
      <c r="C41" s="507" t="s">
        <v>622</v>
      </c>
      <c r="D41" s="307" t="str">
        <f aca="false">A41&amp;" "&amp;C41</f>
        <v>Павлония 50мм темно-серый</v>
      </c>
      <c r="E41" s="307" t="str">
        <f aca="false">"Жалюзи горизонтальные "&amp;A41&amp;B41</f>
        <v>Жалюзи горизонтальные Павлония 50мм, цвет - темно-серый</v>
      </c>
      <c r="F41" s="334" t="n">
        <v>0.42</v>
      </c>
      <c r="G41" s="334" t="n">
        <v>2.3</v>
      </c>
      <c r="H41" s="334" t="n">
        <v>3</v>
      </c>
      <c r="I41" s="334" t="n">
        <v>6.9</v>
      </c>
      <c r="J41" s="508" t="n">
        <f aca="false">$V$32</f>
        <v>95.6</v>
      </c>
      <c r="K41" s="509" t="n">
        <f aca="false">J41*0.85</f>
        <v>81.26</v>
      </c>
      <c r="L41" s="328" t="n">
        <f aca="false">ROUNDUP(K41*$B$2,0)</f>
        <v>6908</v>
      </c>
      <c r="M41" s="328" t="n">
        <f aca="false">L41*$M$2</f>
        <v>10362</v>
      </c>
      <c r="N41" s="328"/>
      <c r="O41" s="328"/>
      <c r="P41" s="328"/>
      <c r="Q41" s="539" t="s">
        <v>615</v>
      </c>
      <c r="R41" s="540" t="s">
        <v>441</v>
      </c>
      <c r="S41" s="516" t="s">
        <v>597</v>
      </c>
      <c r="T41" s="517" t="s">
        <v>616</v>
      </c>
      <c r="U41" s="518" t="s">
        <v>617</v>
      </c>
      <c r="V41" s="519" t="n">
        <v>100.37</v>
      </c>
    </row>
    <row r="42" customFormat="false" ht="12.8" hidden="false" customHeight="false" outlineLevel="0" collapsed="false">
      <c r="A42" s="507" t="s">
        <v>619</v>
      </c>
      <c r="B42" s="507" t="str">
        <f aca="false">", цвет - "&amp;C42</f>
        <v>, цвет - тик</v>
      </c>
      <c r="C42" s="507" t="s">
        <v>444</v>
      </c>
      <c r="D42" s="307" t="str">
        <f aca="false">A42&amp;" "&amp;C42</f>
        <v>Павлония 50мм тик</v>
      </c>
      <c r="E42" s="307" t="str">
        <f aca="false">"Жалюзи горизонтальные "&amp;A42&amp;B42</f>
        <v>Жалюзи горизонтальные Павлония 50мм, цвет - тик</v>
      </c>
      <c r="F42" s="334" t="n">
        <v>0.42</v>
      </c>
      <c r="G42" s="334" t="n">
        <v>2.3</v>
      </c>
      <c r="H42" s="334" t="n">
        <v>3</v>
      </c>
      <c r="I42" s="334" t="n">
        <v>6.9</v>
      </c>
      <c r="J42" s="508" t="n">
        <f aca="false">$V$32</f>
        <v>95.6</v>
      </c>
      <c r="K42" s="509" t="n">
        <f aca="false">J42*0.85</f>
        <v>81.26</v>
      </c>
      <c r="L42" s="328" t="n">
        <f aca="false">ROUNDUP(K42*$B$2,0)</f>
        <v>6908</v>
      </c>
      <c r="M42" s="328" t="n">
        <f aca="false">L42*$M$2</f>
        <v>10362</v>
      </c>
      <c r="N42" s="328"/>
      <c r="O42" s="328"/>
      <c r="P42" s="328"/>
      <c r="Q42" s="545"/>
      <c r="R42" s="542" t="s">
        <v>624</v>
      </c>
      <c r="S42" s="516"/>
      <c r="T42" s="517"/>
      <c r="U42" s="518"/>
      <c r="V42" s="519"/>
    </row>
    <row r="43" customFormat="false" ht="12.8" hidden="false" customHeight="false" outlineLevel="0" collapsed="false">
      <c r="A43" s="507" t="s">
        <v>619</v>
      </c>
      <c r="B43" s="507" t="str">
        <f aca="false">", цвет - "&amp;C43</f>
        <v>, цвет - черный</v>
      </c>
      <c r="C43" s="507" t="s">
        <v>623</v>
      </c>
      <c r="D43" s="307" t="str">
        <f aca="false">A43&amp;" "&amp;C43</f>
        <v>Павлония 50мм черный</v>
      </c>
      <c r="E43" s="307" t="str">
        <f aca="false">"Жалюзи горизонтальные "&amp;A43&amp;B43</f>
        <v>Жалюзи горизонтальные Павлония 50мм, цвет - черный</v>
      </c>
      <c r="F43" s="334" t="n">
        <v>0.42</v>
      </c>
      <c r="G43" s="334" t="n">
        <v>2.3</v>
      </c>
      <c r="H43" s="334" t="n">
        <v>3</v>
      </c>
      <c r="I43" s="334" t="n">
        <v>6.9</v>
      </c>
      <c r="J43" s="508" t="n">
        <f aca="false">$V$32</f>
        <v>95.6</v>
      </c>
      <c r="K43" s="509" t="n">
        <f aca="false">J43*0.85</f>
        <v>81.26</v>
      </c>
      <c r="L43" s="328" t="n">
        <f aca="false">ROUNDUP(K43*$B$2,0)</f>
        <v>6908</v>
      </c>
      <c r="M43" s="328" t="n">
        <f aca="false">L43*$M$2</f>
        <v>10362</v>
      </c>
      <c r="N43" s="328"/>
      <c r="O43" s="328"/>
      <c r="P43" s="328"/>
      <c r="Q43" s="546"/>
      <c r="R43" s="547" t="s">
        <v>625</v>
      </c>
      <c r="S43" s="516"/>
      <c r="T43" s="517"/>
      <c r="U43" s="518"/>
      <c r="V43" s="519"/>
    </row>
    <row r="44" customFormat="false" ht="12.8" hidden="false" customHeight="false" outlineLevel="0" collapsed="false">
      <c r="A44" s="507" t="s">
        <v>619</v>
      </c>
      <c r="B44" s="507" t="str">
        <f aca="false">", цвет - "&amp;C44</f>
        <v>, цвет - дуб</v>
      </c>
      <c r="C44" s="507" t="s">
        <v>441</v>
      </c>
      <c r="D44" s="307" t="str">
        <f aca="false">A44&amp;" "&amp;C44</f>
        <v>Павлония 50мм дуб</v>
      </c>
      <c r="E44" s="307" t="str">
        <f aca="false">"Жалюзи горизонтальные "&amp;A44&amp;B44</f>
        <v>Жалюзи горизонтальные Павлония 50мм, цвет - дуб</v>
      </c>
      <c r="F44" s="334" t="n">
        <v>0.42</v>
      </c>
      <c r="G44" s="334" t="n">
        <v>2.3</v>
      </c>
      <c r="H44" s="334" t="n">
        <v>3</v>
      </c>
      <c r="I44" s="334" t="n">
        <v>6.9</v>
      </c>
      <c r="J44" s="508" t="n">
        <f aca="false">$V$41</f>
        <v>100.37</v>
      </c>
      <c r="K44" s="509" t="n">
        <f aca="false">J44*0.85</f>
        <v>85.3145</v>
      </c>
      <c r="L44" s="328" t="n">
        <f aca="false">ROUNDUP(K44*$B$2,0)</f>
        <v>7252</v>
      </c>
      <c r="M44" s="328" t="n">
        <f aca="false">L44*$M$2</f>
        <v>10878</v>
      </c>
      <c r="N44" s="328"/>
      <c r="O44" s="328"/>
      <c r="P44" s="328"/>
      <c r="Q44" s="548"/>
      <c r="R44" s="549"/>
      <c r="S44" s="550"/>
      <c r="T44" s="551"/>
      <c r="U44" s="552"/>
      <c r="V44" s="553"/>
    </row>
    <row r="45" customFormat="false" ht="12.8" hidden="false" customHeight="false" outlineLevel="0" collapsed="false">
      <c r="A45" s="507" t="s">
        <v>619</v>
      </c>
      <c r="B45" s="507" t="str">
        <f aca="false">", цвет - "&amp;C45</f>
        <v>, цвет - эвкалипт</v>
      </c>
      <c r="C45" s="507" t="s">
        <v>624</v>
      </c>
      <c r="D45" s="307" t="str">
        <f aca="false">A45&amp;" "&amp;C45</f>
        <v>Павлония 50мм эвкалипт</v>
      </c>
      <c r="E45" s="307" t="str">
        <f aca="false">"Жалюзи горизонтальные "&amp;A45&amp;B45</f>
        <v>Жалюзи горизонтальные Павлония 50мм, цвет - эвкалипт</v>
      </c>
      <c r="F45" s="334" t="n">
        <v>0.42</v>
      </c>
      <c r="G45" s="334" t="n">
        <v>2.3</v>
      </c>
      <c r="H45" s="334" t="n">
        <v>3</v>
      </c>
      <c r="I45" s="334" t="n">
        <v>6.9</v>
      </c>
      <c r="J45" s="508" t="n">
        <f aca="false">$V$41</f>
        <v>100.37</v>
      </c>
      <c r="K45" s="509" t="n">
        <f aca="false">J45*0.85</f>
        <v>85.3145</v>
      </c>
      <c r="L45" s="328" t="n">
        <f aca="false">ROUNDUP(K45*$B$2,0)</f>
        <v>7252</v>
      </c>
      <c r="M45" s="328" t="n">
        <f aca="false">L45*$M$2</f>
        <v>10878</v>
      </c>
      <c r="N45" s="328"/>
      <c r="O45" s="328"/>
      <c r="P45" s="328"/>
      <c r="Q45" s="548"/>
      <c r="R45" s="549"/>
      <c r="S45" s="550"/>
      <c r="T45" s="551"/>
      <c r="U45" s="552"/>
      <c r="V45" s="553"/>
    </row>
    <row r="46" customFormat="false" ht="12.8" hidden="false" customHeight="false" outlineLevel="0" collapsed="false">
      <c r="A46" s="507" t="s">
        <v>619</v>
      </c>
      <c r="B46" s="507" t="str">
        <f aca="false">", цвет - "&amp;C46</f>
        <v>, цвет - ясень</v>
      </c>
      <c r="C46" s="507" t="s">
        <v>625</v>
      </c>
      <c r="D46" s="307" t="str">
        <f aca="false">A46&amp;" "&amp;C46</f>
        <v>Павлония 50мм ясень</v>
      </c>
      <c r="E46" s="307" t="str">
        <f aca="false">"Жалюзи горизонтальные "&amp;A46&amp;B46</f>
        <v>Жалюзи горизонтальные Павлония 50мм, цвет - ясень</v>
      </c>
      <c r="F46" s="334" t="n">
        <v>0.42</v>
      </c>
      <c r="G46" s="334" t="n">
        <v>2.3</v>
      </c>
      <c r="H46" s="334" t="n">
        <v>3</v>
      </c>
      <c r="I46" s="334" t="n">
        <v>6.9</v>
      </c>
      <c r="J46" s="508" t="n">
        <f aca="false">$V$41</f>
        <v>100.37</v>
      </c>
      <c r="K46" s="509" t="n">
        <f aca="false">J46*0.85</f>
        <v>85.3145</v>
      </c>
      <c r="L46" s="328" t="n">
        <f aca="false">ROUNDUP(K46*$B$2,0)</f>
        <v>7252</v>
      </c>
      <c r="M46" s="328" t="n">
        <f aca="false">L46*$M$2</f>
        <v>10878</v>
      </c>
      <c r="N46" s="328"/>
      <c r="O46" s="328"/>
      <c r="P46" s="328"/>
      <c r="Q46" s="548"/>
      <c r="R46" s="549"/>
      <c r="S46" s="550"/>
      <c r="T46" s="551"/>
      <c r="U46" s="552"/>
      <c r="V46" s="553"/>
    </row>
    <row r="47" customFormat="false" ht="12.8" hidden="false" customHeight="false" outlineLevel="0" collapsed="false">
      <c r="A47" s="507" t="s">
        <v>626</v>
      </c>
      <c r="B47" s="507"/>
      <c r="D47" s="307" t="str">
        <f aca="false">A47&amp;" "&amp;C47</f>
        <v>Пластик 50мм </v>
      </c>
      <c r="E47" s="307" t="str">
        <f aca="false">"Жалюзи горизонтальные "&amp;A47&amp;B47</f>
        <v>Жалюзи горизонтальные Пластик 50мм</v>
      </c>
      <c r="F47" s="334" t="n">
        <v>0.42</v>
      </c>
      <c r="G47" s="334" t="n">
        <v>2.7</v>
      </c>
      <c r="H47" s="334" t="n">
        <v>3</v>
      </c>
      <c r="I47" s="334" t="n">
        <v>5.4</v>
      </c>
      <c r="J47" s="508" t="n">
        <f aca="false">$V$52</f>
        <v>84.64</v>
      </c>
      <c r="K47" s="509" t="n">
        <f aca="false">J47*0.85</f>
        <v>71.944</v>
      </c>
      <c r="L47" s="328" t="n">
        <f aca="false">ROUNDUP(K47*$B$2,0)</f>
        <v>6116</v>
      </c>
      <c r="M47" s="328" t="n">
        <f aca="false">L47*$M$2</f>
        <v>9174</v>
      </c>
      <c r="N47" s="328"/>
      <c r="O47" s="328"/>
      <c r="P47" s="328"/>
      <c r="Q47" s="548"/>
      <c r="R47" s="549"/>
      <c r="S47" s="550"/>
      <c r="T47" s="551"/>
      <c r="U47" s="552"/>
      <c r="V47" s="553"/>
    </row>
    <row r="48" customFormat="false" ht="12.8" hidden="false" customHeight="false" outlineLevel="0" collapsed="false">
      <c r="A48" s="507" t="s">
        <v>626</v>
      </c>
      <c r="B48" s="507" t="str">
        <f aca="false">", цвет - "&amp;C48</f>
        <v>, цвет - стандарт</v>
      </c>
      <c r="C48" s="507" t="s">
        <v>627</v>
      </c>
      <c r="D48" s="307" t="str">
        <f aca="false">A48&amp;" "&amp;C48</f>
        <v>Пластик 50мм стандарт</v>
      </c>
      <c r="E48" s="307" t="str">
        <f aca="false">"Жалюзи горизонтальные "&amp;A48&amp;B48</f>
        <v>Жалюзи горизонтальные Пластик 50мм, цвет - стандарт</v>
      </c>
      <c r="F48" s="334" t="n">
        <v>0.42</v>
      </c>
      <c r="G48" s="334" t="n">
        <v>2.7</v>
      </c>
      <c r="H48" s="334" t="n">
        <v>3</v>
      </c>
      <c r="I48" s="334" t="n">
        <v>5.4</v>
      </c>
      <c r="J48" s="508" t="n">
        <f aca="false">$V$52</f>
        <v>84.64</v>
      </c>
      <c r="K48" s="509" t="n">
        <f aca="false">J48*0.85</f>
        <v>71.944</v>
      </c>
      <c r="L48" s="328" t="n">
        <f aca="false">ROUNDUP(K48*$B$2,0)</f>
        <v>6116</v>
      </c>
      <c r="M48" s="328" t="n">
        <f aca="false">L48*$M$2</f>
        <v>9174</v>
      </c>
      <c r="N48" s="328"/>
      <c r="O48" s="328"/>
      <c r="P48" s="328"/>
      <c r="Q48" s="554"/>
      <c r="R48" s="554"/>
      <c r="S48" s="554"/>
      <c r="T48" s="554"/>
      <c r="U48" s="555"/>
      <c r="V48" s="556"/>
    </row>
    <row r="49" customFormat="false" ht="12.8" hidden="false" customHeight="false" outlineLevel="0" collapsed="false">
      <c r="A49" s="507" t="s">
        <v>626</v>
      </c>
      <c r="B49" s="507" t="str">
        <f aca="false">", цвет - "&amp;C49</f>
        <v>, цвет - белый</v>
      </c>
      <c r="C49" s="557" t="s">
        <v>380</v>
      </c>
      <c r="D49" s="307" t="str">
        <f aca="false">A49&amp;" "&amp;C49</f>
        <v>Пластик 50мм белый</v>
      </c>
      <c r="E49" s="307" t="str">
        <f aca="false">"Жалюзи горизонтальные "&amp;A49&amp;B49</f>
        <v>Жалюзи горизонтальные Пластик 50мм, цвет - белый</v>
      </c>
      <c r="F49" s="334" t="n">
        <v>0.42</v>
      </c>
      <c r="G49" s="334" t="n">
        <v>2.7</v>
      </c>
      <c r="H49" s="334" t="n">
        <v>3</v>
      </c>
      <c r="I49" s="334" t="n">
        <v>5.4</v>
      </c>
      <c r="J49" s="508" t="n">
        <f aca="false">$V$52</f>
        <v>84.64</v>
      </c>
      <c r="K49" s="509" t="n">
        <f aca="false">J49*0.85</f>
        <v>71.944</v>
      </c>
      <c r="L49" s="328" t="n">
        <f aca="false">ROUNDUP(K49*$B$2,0)</f>
        <v>6116</v>
      </c>
      <c r="M49" s="328" t="n">
        <f aca="false">L49*$M$2</f>
        <v>9174</v>
      </c>
      <c r="N49" s="328"/>
      <c r="O49" s="328"/>
      <c r="P49" s="328"/>
      <c r="Q49" s="558"/>
      <c r="R49" s="558"/>
      <c r="S49" s="559"/>
      <c r="T49" s="559"/>
      <c r="U49" s="559"/>
      <c r="V49" s="559"/>
    </row>
    <row r="50" customFormat="false" ht="12.8" hidden="false" customHeight="false" outlineLevel="0" collapsed="false">
      <c r="A50" s="507" t="s">
        <v>626</v>
      </c>
      <c r="B50" s="507" t="str">
        <f aca="false">", цвет - "&amp;C50</f>
        <v>, цвет - берёза</v>
      </c>
      <c r="C50" s="557" t="s">
        <v>628</v>
      </c>
      <c r="D50" s="307" t="str">
        <f aca="false">A50&amp;" "&amp;C50</f>
        <v>Пластик 50мм берёза</v>
      </c>
      <c r="E50" s="307" t="str">
        <f aca="false">"Жалюзи горизонтальные "&amp;A50&amp;B50</f>
        <v>Жалюзи горизонтальные Пластик 50мм, цвет - берёза</v>
      </c>
      <c r="F50" s="334" t="n">
        <v>0.42</v>
      </c>
      <c r="G50" s="334" t="n">
        <v>2.7</v>
      </c>
      <c r="H50" s="334" t="n">
        <v>3</v>
      </c>
      <c r="I50" s="334" t="n">
        <v>5.4</v>
      </c>
      <c r="J50" s="508" t="n">
        <f aca="false">$V$52</f>
        <v>84.64</v>
      </c>
      <c r="K50" s="509" t="n">
        <f aca="false">J50*0.85</f>
        <v>71.944</v>
      </c>
      <c r="L50" s="328" t="n">
        <f aca="false">ROUNDUP(K50*$B$2,0)</f>
        <v>6116</v>
      </c>
      <c r="M50" s="328" t="n">
        <f aca="false">L50*$M$2</f>
        <v>9174</v>
      </c>
      <c r="N50" s="328"/>
      <c r="O50" s="328"/>
      <c r="P50" s="328"/>
      <c r="Q50" s="560" t="s">
        <v>629</v>
      </c>
      <c r="R50" s="560"/>
      <c r="S50" s="560"/>
      <c r="T50" s="560"/>
      <c r="U50" s="560"/>
      <c r="V50" s="560"/>
    </row>
    <row r="51" customFormat="false" ht="16.2" hidden="false" customHeight="true" outlineLevel="0" collapsed="false">
      <c r="A51" s="507" t="s">
        <v>626</v>
      </c>
      <c r="B51" s="507" t="str">
        <f aca="false">", цвет - "&amp;C51</f>
        <v>, цвет - бук</v>
      </c>
      <c r="C51" s="507" t="s">
        <v>440</v>
      </c>
      <c r="D51" s="307" t="str">
        <f aca="false">A51&amp;" "&amp;C51</f>
        <v>Пластик 50мм бук</v>
      </c>
      <c r="E51" s="307" t="str">
        <f aca="false">"Жалюзи горизонтальные "&amp;A51&amp;B51</f>
        <v>Жалюзи горизонтальные Пластик 50мм, цвет - бук</v>
      </c>
      <c r="F51" s="334" t="n">
        <v>0.42</v>
      </c>
      <c r="G51" s="334" t="n">
        <v>2.7</v>
      </c>
      <c r="H51" s="334" t="n">
        <v>3</v>
      </c>
      <c r="I51" s="334" t="n">
        <v>5.4</v>
      </c>
      <c r="J51" s="508" t="n">
        <f aca="false">$V$52</f>
        <v>84.64</v>
      </c>
      <c r="K51" s="509" t="n">
        <f aca="false">J51*0.85</f>
        <v>71.944</v>
      </c>
      <c r="L51" s="328" t="n">
        <f aca="false">ROUNDUP(K51*$B$2,0)</f>
        <v>6116</v>
      </c>
      <c r="M51" s="328" t="n">
        <f aca="false">L51*$M$2</f>
        <v>9174</v>
      </c>
      <c r="N51" s="328"/>
      <c r="O51" s="328"/>
      <c r="P51" s="328"/>
      <c r="Q51" s="510" t="s">
        <v>100</v>
      </c>
      <c r="R51" s="511" t="s">
        <v>582</v>
      </c>
      <c r="S51" s="512" t="s">
        <v>583</v>
      </c>
      <c r="T51" s="512" t="s">
        <v>584</v>
      </c>
      <c r="U51" s="512" t="s">
        <v>585</v>
      </c>
      <c r="V51" s="513" t="s">
        <v>586</v>
      </c>
    </row>
    <row r="52" customFormat="false" ht="12.8" hidden="false" customHeight="false" outlineLevel="0" collapsed="false">
      <c r="A52" s="507" t="s">
        <v>626</v>
      </c>
      <c r="B52" s="507" t="str">
        <f aca="false">", цвет - "&amp;C52</f>
        <v>, цвет - вишня</v>
      </c>
      <c r="C52" s="507" t="s">
        <v>630</v>
      </c>
      <c r="D52" s="307" t="str">
        <f aca="false">A52&amp;" "&amp;C52</f>
        <v>Пластик 50мм вишня</v>
      </c>
      <c r="E52" s="307" t="str">
        <f aca="false">"Жалюзи горизонтальные "&amp;A52&amp;B52</f>
        <v>Жалюзи горизонтальные Пластик 50мм, цвет - вишня</v>
      </c>
      <c r="F52" s="334" t="n">
        <v>0.42</v>
      </c>
      <c r="G52" s="334" t="n">
        <v>2.7</v>
      </c>
      <c r="H52" s="334" t="n">
        <v>3</v>
      </c>
      <c r="I52" s="334" t="n">
        <v>5.4</v>
      </c>
      <c r="J52" s="508" t="n">
        <f aca="false">$V$52</f>
        <v>84.64</v>
      </c>
      <c r="K52" s="509" t="n">
        <f aca="false">J52*0.85</f>
        <v>71.944</v>
      </c>
      <c r="L52" s="328" t="n">
        <f aca="false">ROUNDUP(K52*$B$2,0)</f>
        <v>6116</v>
      </c>
      <c r="M52" s="328" t="n">
        <f aca="false">L52*$M$2</f>
        <v>9174</v>
      </c>
      <c r="N52" s="328"/>
      <c r="O52" s="328"/>
      <c r="P52" s="328"/>
      <c r="Q52" s="561" t="s">
        <v>626</v>
      </c>
      <c r="R52" s="560" t="s">
        <v>627</v>
      </c>
      <c r="S52" s="562" t="s">
        <v>597</v>
      </c>
      <c r="T52" s="563" t="s">
        <v>631</v>
      </c>
      <c r="U52" s="564" t="s">
        <v>632</v>
      </c>
      <c r="V52" s="565" t="n">
        <v>84.64</v>
      </c>
    </row>
    <row r="53" customFormat="false" ht="12.8" hidden="false" customHeight="false" outlineLevel="0" collapsed="false">
      <c r="A53" s="507" t="s">
        <v>626</v>
      </c>
      <c r="B53" s="507" t="str">
        <f aca="false">", цвет - "&amp;C53</f>
        <v>, цвет - орех</v>
      </c>
      <c r="C53" s="507" t="s">
        <v>442</v>
      </c>
      <c r="D53" s="307" t="str">
        <f aca="false">A53&amp;" "&amp;C53</f>
        <v>Пластик 50мм орех</v>
      </c>
      <c r="E53" s="307" t="str">
        <f aca="false">"Жалюзи горизонтальные "&amp;A53&amp;B53</f>
        <v>Жалюзи горизонтальные Пластик 50мм, цвет - орех</v>
      </c>
      <c r="F53" s="334" t="n">
        <v>0.42</v>
      </c>
      <c r="G53" s="334" t="n">
        <v>2.7</v>
      </c>
      <c r="H53" s="334" t="n">
        <v>3</v>
      </c>
      <c r="I53" s="334" t="n">
        <v>5.4</v>
      </c>
      <c r="J53" s="508" t="n">
        <f aca="false">$V$52</f>
        <v>84.64</v>
      </c>
      <c r="K53" s="509" t="n">
        <f aca="false">J53*0.85</f>
        <v>71.944</v>
      </c>
      <c r="L53" s="328" t="n">
        <f aca="false">ROUNDUP(K53*$B$2,0)</f>
        <v>6116</v>
      </c>
      <c r="M53" s="328" t="n">
        <f aca="false">L53*$M$2</f>
        <v>9174</v>
      </c>
      <c r="N53" s="328"/>
      <c r="O53" s="328"/>
      <c r="P53" s="328"/>
      <c r="Q53" s="561" t="s">
        <v>626</v>
      </c>
      <c r="R53" s="554" t="s">
        <v>380</v>
      </c>
      <c r="S53" s="554"/>
      <c r="T53" s="554"/>
      <c r="U53" s="555"/>
      <c r="V53" s="556"/>
    </row>
    <row r="54" customFormat="false" ht="12.8" hidden="false" customHeight="false" outlineLevel="0" collapsed="false">
      <c r="J54" s="508"/>
      <c r="K54" s="509"/>
      <c r="L54" s="328"/>
      <c r="M54" s="328"/>
      <c r="N54" s="328"/>
      <c r="O54" s="328"/>
      <c r="Q54" s="561" t="s">
        <v>626</v>
      </c>
      <c r="R54" s="554" t="s">
        <v>628</v>
      </c>
      <c r="S54" s="554"/>
      <c r="T54" s="554"/>
      <c r="U54" s="555"/>
      <c r="V54" s="556"/>
    </row>
    <row r="55" customFormat="false" ht="12.8" hidden="false" customHeight="false" outlineLevel="0" collapsed="false">
      <c r="E55" s="307" t="s">
        <v>633</v>
      </c>
      <c r="J55" s="508" t="n">
        <v>5.3</v>
      </c>
      <c r="K55" s="509" t="n">
        <f aca="false">J55*0.85</f>
        <v>4.505</v>
      </c>
      <c r="L55" s="328" t="n">
        <f aca="false">ROUNDUP(K55*$B$2,0)</f>
        <v>383</v>
      </c>
      <c r="M55" s="328" t="n">
        <f aca="false">L55*$M$2</f>
        <v>574.5</v>
      </c>
      <c r="N55" s="328"/>
      <c r="O55" s="328"/>
      <c r="Q55" s="561" t="s">
        <v>626</v>
      </c>
      <c r="R55" s="566" t="s">
        <v>440</v>
      </c>
      <c r="S55" s="567"/>
      <c r="T55" s="566"/>
      <c r="U55" s="568"/>
      <c r="V55" s="569"/>
    </row>
    <row r="56" customFormat="false" ht="12.8" hidden="false" customHeight="false" outlineLevel="0" collapsed="false">
      <c r="E56" s="307" t="s">
        <v>634</v>
      </c>
      <c r="J56" s="508" t="n">
        <v>10</v>
      </c>
      <c r="K56" s="509" t="n">
        <f aca="false">J56*0.85</f>
        <v>8.5</v>
      </c>
      <c r="L56" s="328" t="n">
        <f aca="false">ROUNDUP(K56*$B$2,0)</f>
        <v>723</v>
      </c>
      <c r="M56" s="328" t="n">
        <f aca="false">L56*$M$2</f>
        <v>1084.5</v>
      </c>
      <c r="N56" s="328"/>
      <c r="O56" s="328"/>
      <c r="Q56" s="561" t="s">
        <v>626</v>
      </c>
      <c r="R56" s="566" t="s">
        <v>630</v>
      </c>
      <c r="S56" s="567"/>
      <c r="T56" s="566"/>
      <c r="U56" s="568"/>
      <c r="V56" s="569"/>
    </row>
    <row r="57" customFormat="false" ht="12.8" hidden="false" customHeight="false" outlineLevel="0" collapsed="false">
      <c r="E57" s="307" t="s">
        <v>517</v>
      </c>
      <c r="J57" s="508" t="n">
        <v>2</v>
      </c>
      <c r="K57" s="509" t="n">
        <f aca="false">J57*0.85</f>
        <v>1.7</v>
      </c>
      <c r="L57" s="328" t="n">
        <f aca="false">ROUNDUP(K57*$B$2,0)</f>
        <v>145</v>
      </c>
      <c r="M57" s="328" t="n">
        <f aca="false">L57*$M$2</f>
        <v>217.5</v>
      </c>
      <c r="N57" s="328"/>
      <c r="O57" s="328"/>
      <c r="Q57" s="561" t="s">
        <v>626</v>
      </c>
      <c r="R57" s="566" t="s">
        <v>442</v>
      </c>
      <c r="S57" s="567"/>
      <c r="T57" s="566"/>
      <c r="U57" s="568"/>
      <c r="V57" s="569"/>
    </row>
    <row r="58" customFormat="false" ht="12.8" hidden="false" customHeight="false" outlineLevel="0" collapsed="false">
      <c r="J58" s="570"/>
      <c r="L58" s="328"/>
      <c r="M58" s="328"/>
      <c r="Q58" s="566"/>
      <c r="R58" s="566"/>
      <c r="S58" s="567"/>
      <c r="T58" s="566"/>
      <c r="U58" s="568"/>
      <c r="V58" s="569"/>
    </row>
    <row r="59" customFormat="false" ht="12.8" hidden="false" customHeight="false" outlineLevel="0" collapsed="false">
      <c r="D59" s="311" t="s">
        <v>166</v>
      </c>
      <c r="J59" s="570"/>
      <c r="L59" s="328"/>
      <c r="M59" s="328"/>
      <c r="Q59" s="566"/>
      <c r="R59" s="566"/>
      <c r="S59" s="567"/>
      <c r="T59" s="566"/>
      <c r="U59" s="568"/>
      <c r="V59" s="569"/>
    </row>
    <row r="60" customFormat="false" ht="12.8" hidden="false" customHeight="false" outlineLevel="0" collapsed="false">
      <c r="C60" s="0"/>
      <c r="D60" s="334" t="s">
        <v>474</v>
      </c>
      <c r="E60" s="307" t="s">
        <v>475</v>
      </c>
      <c r="J60" s="570" t="n">
        <v>0</v>
      </c>
      <c r="K60" s="509" t="n">
        <f aca="false">J60*0.85</f>
        <v>0</v>
      </c>
      <c r="L60" s="328" t="n">
        <f aca="false">ROUNDUP(K60*$B$2,0)</f>
        <v>0</v>
      </c>
      <c r="M60" s="328" t="n">
        <f aca="false">L60*2</f>
        <v>0</v>
      </c>
      <c r="Q60" s="566"/>
      <c r="R60" s="566"/>
      <c r="S60" s="567"/>
      <c r="T60" s="566"/>
      <c r="U60" s="568"/>
      <c r="V60" s="569"/>
    </row>
    <row r="61" customFormat="false" ht="19.25" hidden="false" customHeight="false" outlineLevel="0" collapsed="false">
      <c r="A61" s="460" t="s">
        <v>476</v>
      </c>
      <c r="B61" s="322" t="s">
        <v>477</v>
      </c>
      <c r="C61" s="0"/>
      <c r="D61" s="334" t="s">
        <v>478</v>
      </c>
      <c r="E61" s="325" t="s">
        <v>479</v>
      </c>
      <c r="F61" s="322"/>
      <c r="J61" s="571" t="n">
        <v>191.53</v>
      </c>
      <c r="K61" s="509" t="n">
        <f aca="false">J61*0.85</f>
        <v>162.8005</v>
      </c>
      <c r="L61" s="328" t="n">
        <f aca="false">ROUNDUP(K61*$B$2,0)</f>
        <v>13839</v>
      </c>
      <c r="M61" s="328" t="n">
        <f aca="false">L61*$M$2</f>
        <v>20758.5</v>
      </c>
      <c r="Q61" s="572" t="s">
        <v>635</v>
      </c>
      <c r="R61" s="572"/>
      <c r="S61" s="572"/>
      <c r="T61" s="572"/>
      <c r="U61" s="572"/>
      <c r="V61" s="572"/>
    </row>
    <row r="62" customFormat="false" ht="12.8" hidden="false" customHeight="false" outlineLevel="0" collapsed="false">
      <c r="A62" s="460" t="s">
        <v>480</v>
      </c>
      <c r="B62" s="322" t="s">
        <v>477</v>
      </c>
      <c r="C62" s="0"/>
      <c r="D62" s="334" t="s">
        <v>481</v>
      </c>
      <c r="E62" s="325" t="s">
        <v>482</v>
      </c>
      <c r="F62" s="322"/>
      <c r="J62" s="571" t="n">
        <v>154.77</v>
      </c>
      <c r="K62" s="509" t="n">
        <f aca="false">J62*0.85</f>
        <v>131.5545</v>
      </c>
      <c r="L62" s="328" t="n">
        <f aca="false">ROUNDUP(K62*$B$2,0)</f>
        <v>11183</v>
      </c>
      <c r="M62" s="328" t="n">
        <f aca="false">L62*$M$2</f>
        <v>16774.5</v>
      </c>
      <c r="Q62" s="572" t="s">
        <v>636</v>
      </c>
      <c r="R62" s="572"/>
      <c r="S62" s="572"/>
      <c r="T62" s="572"/>
      <c r="U62" s="572"/>
      <c r="V62" s="572"/>
    </row>
    <row r="63" customFormat="false" ht="12.8" hidden="false" customHeight="false" outlineLevel="0" collapsed="false">
      <c r="A63" s="460" t="s">
        <v>483</v>
      </c>
      <c r="B63" s="322" t="s">
        <v>484</v>
      </c>
      <c r="C63" s="0"/>
      <c r="D63" s="334" t="s">
        <v>485</v>
      </c>
      <c r="E63" s="325" t="s">
        <v>486</v>
      </c>
      <c r="F63" s="322"/>
      <c r="J63" s="571" t="n">
        <v>221.1</v>
      </c>
      <c r="K63" s="509" t="n">
        <f aca="false">J63*0.85</f>
        <v>187.935</v>
      </c>
      <c r="L63" s="328" t="n">
        <f aca="false">ROUNDUP(K63*$B$2,0)</f>
        <v>15975</v>
      </c>
      <c r="M63" s="328" t="n">
        <f aca="false">L63*$M$2</f>
        <v>23962.5</v>
      </c>
      <c r="Q63" s="572" t="s">
        <v>637</v>
      </c>
      <c r="R63" s="572"/>
      <c r="S63" s="572"/>
      <c r="T63" s="572"/>
      <c r="U63" s="572"/>
      <c r="V63" s="572"/>
    </row>
    <row r="64" customFormat="false" ht="12.8" hidden="false" customHeight="false" outlineLevel="0" collapsed="false">
      <c r="A64" s="460" t="s">
        <v>487</v>
      </c>
      <c r="B64" s="322" t="s">
        <v>484</v>
      </c>
      <c r="C64" s="0"/>
      <c r="D64" s="334" t="s">
        <v>488</v>
      </c>
      <c r="E64" s="325" t="s">
        <v>489</v>
      </c>
      <c r="F64" s="322"/>
      <c r="J64" s="571" t="n">
        <v>216.17</v>
      </c>
      <c r="K64" s="509" t="n">
        <f aca="false">J64*0.85</f>
        <v>183.7445</v>
      </c>
      <c r="L64" s="328" t="n">
        <f aca="false">ROUNDUP(K64*$B$2,0)</f>
        <v>15619</v>
      </c>
      <c r="M64" s="328" t="n">
        <f aca="false">L64*$M$2</f>
        <v>23428.5</v>
      </c>
      <c r="Q64" s="572" t="s">
        <v>461</v>
      </c>
      <c r="R64" s="572"/>
      <c r="S64" s="572"/>
      <c r="T64" s="572"/>
      <c r="U64" s="572"/>
      <c r="V64" s="572"/>
    </row>
    <row r="65" customFormat="false" ht="12.8" hidden="false" customHeight="false" outlineLevel="0" collapsed="false">
      <c r="A65" s="460" t="s">
        <v>490</v>
      </c>
      <c r="B65" s="322" t="s">
        <v>491</v>
      </c>
      <c r="C65" s="0"/>
      <c r="D65" s="334" t="s">
        <v>492</v>
      </c>
      <c r="E65" s="325" t="s">
        <v>493</v>
      </c>
      <c r="F65" s="322"/>
      <c r="J65" s="571" t="n">
        <v>269.45</v>
      </c>
      <c r="K65" s="509" t="n">
        <f aca="false">J65*0.85</f>
        <v>229.0325</v>
      </c>
      <c r="L65" s="328" t="n">
        <f aca="false">ROUNDUP(K65*$B$2,0)</f>
        <v>19468</v>
      </c>
      <c r="M65" s="328" t="n">
        <f aca="false">L65*$M$2</f>
        <v>29202</v>
      </c>
      <c r="Q65" s="573" t="s">
        <v>638</v>
      </c>
      <c r="R65" s="573"/>
      <c r="S65" s="573"/>
      <c r="T65" s="573"/>
      <c r="U65" s="573"/>
      <c r="V65" s="573"/>
    </row>
    <row r="66" customFormat="false" ht="12.8" hidden="false" customHeight="false" outlineLevel="0" collapsed="false">
      <c r="A66" s="460" t="s">
        <v>494</v>
      </c>
      <c r="B66" s="322" t="s">
        <v>491</v>
      </c>
      <c r="C66" s="0"/>
      <c r="D66" s="334" t="s">
        <v>495</v>
      </c>
      <c r="E66" s="325" t="s">
        <v>496</v>
      </c>
      <c r="F66" s="322"/>
      <c r="J66" s="571" t="n">
        <v>312.15</v>
      </c>
      <c r="K66" s="509" t="n">
        <f aca="false">J66*0.85</f>
        <v>265.3275</v>
      </c>
      <c r="L66" s="328" t="n">
        <f aca="false">ROUNDUP(K66*$B$2,0)</f>
        <v>22553</v>
      </c>
      <c r="M66" s="328" t="n">
        <f aca="false">L66*$M$2</f>
        <v>33829.5</v>
      </c>
      <c r="Q66" s="573" t="s">
        <v>639</v>
      </c>
      <c r="R66" s="573"/>
      <c r="S66" s="573"/>
      <c r="T66" s="573"/>
      <c r="U66" s="573"/>
      <c r="V66" s="573"/>
    </row>
    <row r="67" customFormat="false" ht="28.3" hidden="false" customHeight="false" outlineLevel="0" collapsed="false">
      <c r="A67" s="462" t="s">
        <v>497</v>
      </c>
      <c r="B67" s="463"/>
      <c r="C67" s="464"/>
      <c r="D67" s="334" t="s">
        <v>498</v>
      </c>
      <c r="E67" s="465" t="s">
        <v>499</v>
      </c>
      <c r="J67" s="574" t="n">
        <v>372.18</v>
      </c>
      <c r="K67" s="509" t="n">
        <f aca="false">J67*0.85</f>
        <v>316.353</v>
      </c>
      <c r="L67" s="328" t="n">
        <f aca="false">ROUNDUP(K67*$B$2,0)</f>
        <v>26891</v>
      </c>
      <c r="M67" s="328" t="n">
        <f aca="false">L67*$M$2</f>
        <v>40336.5</v>
      </c>
    </row>
    <row r="68" customFormat="false" ht="12.8" hidden="false" customHeight="false" outlineLevel="0" collapsed="false">
      <c r="A68" s="462" t="s">
        <v>500</v>
      </c>
      <c r="B68" s="466"/>
      <c r="C68" s="464"/>
      <c r="D68" s="334" t="s">
        <v>501</v>
      </c>
      <c r="E68" s="465" t="s">
        <v>502</v>
      </c>
      <c r="J68" s="574" t="n">
        <v>284.94</v>
      </c>
      <c r="K68" s="509" t="n">
        <f aca="false">J68*0.85</f>
        <v>242.199</v>
      </c>
      <c r="L68" s="328" t="n">
        <f aca="false">ROUNDUP(K68*$B$2,0)</f>
        <v>20587</v>
      </c>
      <c r="M68" s="328" t="n">
        <f aca="false">L68*$M$2</f>
        <v>30880.5</v>
      </c>
    </row>
    <row r="69" customFormat="false" ht="19.25" hidden="false" customHeight="false" outlineLevel="0" collapsed="false">
      <c r="A69" s="460" t="s">
        <v>503</v>
      </c>
      <c r="B69" s="467"/>
      <c r="C69" s="464"/>
      <c r="D69" s="334" t="s">
        <v>504</v>
      </c>
      <c r="E69" s="466" t="s">
        <v>505</v>
      </c>
      <c r="J69" s="574" t="n">
        <v>429.78</v>
      </c>
      <c r="K69" s="509" t="n">
        <f aca="false">J69*0.85</f>
        <v>365.313</v>
      </c>
      <c r="L69" s="328" t="n">
        <f aca="false">ROUNDUP(K69*$B$2,0)</f>
        <v>31052</v>
      </c>
      <c r="M69" s="328" t="n">
        <f aca="false">L69*$M$2</f>
        <v>46578</v>
      </c>
    </row>
    <row r="70" customFormat="false" ht="19.25" hidden="false" customHeight="false" outlineLevel="0" collapsed="false">
      <c r="A70" s="460" t="s">
        <v>506</v>
      </c>
      <c r="B70" s="467"/>
      <c r="C70" s="464"/>
      <c r="D70" s="334" t="s">
        <v>507</v>
      </c>
      <c r="E70" s="466" t="s">
        <v>508</v>
      </c>
      <c r="J70" s="574" t="n">
        <v>253.69</v>
      </c>
      <c r="K70" s="509" t="n">
        <f aca="false">J70*0.85</f>
        <v>215.6365</v>
      </c>
      <c r="L70" s="328" t="n">
        <f aca="false">ROUNDUP(K70*$B$2,0)</f>
        <v>18330</v>
      </c>
      <c r="M70" s="328" t="n">
        <f aca="false">L70*$M$2</f>
        <v>27495</v>
      </c>
    </row>
    <row r="71" customFormat="false" ht="16.35" hidden="false" customHeight="true" outlineLevel="0" collapsed="false">
      <c r="A71" s="460" t="s">
        <v>509</v>
      </c>
      <c r="B71" s="468"/>
      <c r="C71" s="464"/>
      <c r="D71" s="334" t="s">
        <v>510</v>
      </c>
      <c r="E71" s="466" t="s">
        <v>511</v>
      </c>
      <c r="J71" s="574" t="n">
        <v>399.78</v>
      </c>
      <c r="K71" s="509" t="n">
        <f aca="false">J71*0.85</f>
        <v>339.813</v>
      </c>
      <c r="L71" s="328" t="n">
        <f aca="false">ROUNDUP(K71*$B$2,0)</f>
        <v>28885</v>
      </c>
      <c r="M71" s="328" t="n">
        <f aca="false">L71*$M$2</f>
        <v>43327.5</v>
      </c>
    </row>
  </sheetData>
  <mergeCells count="31">
    <mergeCell ref="S6:S11"/>
    <mergeCell ref="T6:T11"/>
    <mergeCell ref="U6:U11"/>
    <mergeCell ref="V6:V11"/>
    <mergeCell ref="S12:S17"/>
    <mergeCell ref="T12:T17"/>
    <mergeCell ref="U12:U17"/>
    <mergeCell ref="V12:V17"/>
    <mergeCell ref="S18:S24"/>
    <mergeCell ref="T18:T24"/>
    <mergeCell ref="U18:U24"/>
    <mergeCell ref="V18:V24"/>
    <mergeCell ref="S25:S31"/>
    <mergeCell ref="T25:T31"/>
    <mergeCell ref="U25:U31"/>
    <mergeCell ref="V25:V31"/>
    <mergeCell ref="S32:S40"/>
    <mergeCell ref="T32:T40"/>
    <mergeCell ref="U32:U40"/>
    <mergeCell ref="V32:V40"/>
    <mergeCell ref="S41:S43"/>
    <mergeCell ref="T41:T43"/>
    <mergeCell ref="U41:U43"/>
    <mergeCell ref="V41:V43"/>
    <mergeCell ref="Q50:V50"/>
    <mergeCell ref="Q61:V61"/>
    <mergeCell ref="Q62:V62"/>
    <mergeCell ref="Q63:V63"/>
    <mergeCell ref="Q64:V64"/>
    <mergeCell ref="Q65:V65"/>
    <mergeCell ref="Q66:V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8"/>
    <col collapsed="false" customWidth="true" hidden="false" outlineLevel="0" max="2" min="2" style="0" width="12.37"/>
    <col collapsed="false" customWidth="true" hidden="false" outlineLevel="0" max="3" min="3" style="0" width="39.82"/>
    <col collapsed="false" customWidth="true" hidden="false" outlineLevel="0" max="4" min="4" style="0" width="21.3"/>
    <col collapsed="false" customWidth="true" hidden="false" outlineLevel="0" max="5" min="5" style="0" width="99.91"/>
    <col collapsed="false" customWidth="true" hidden="false" outlineLevel="0" max="8" min="6" style="0" width="17.02"/>
    <col collapsed="false" customWidth="true" hidden="false" outlineLevel="0" max="9" min="9" style="0" width="7.98"/>
    <col collapsed="false" customWidth="true" hidden="false" outlineLevel="0" max="10" min="10" style="0" width="9.26"/>
    <col collapsed="false" customWidth="true" hidden="false" outlineLevel="0" max="12" min="11" style="0" width="9.38"/>
    <col collapsed="false" customWidth="true" hidden="false" outlineLevel="0" max="13" min="13" style="0" width="10.99"/>
    <col collapsed="false" customWidth="true" hidden="false" outlineLevel="0" max="14" min="14" style="0" width="9.13"/>
    <col collapsed="false" customWidth="true" hidden="false" outlineLevel="0" max="16" min="15" style="0" width="9.6"/>
    <col collapsed="false" customWidth="true" hidden="false" outlineLevel="0" max="64" min="17" style="0" width="11.63"/>
  </cols>
  <sheetData>
    <row r="1" customFormat="false" ht="12.8" hidden="false" customHeight="false" outlineLevel="0" collapsed="false">
      <c r="B1" s="4" t="s">
        <v>0</v>
      </c>
      <c r="C1" s="5" t="s">
        <v>1</v>
      </c>
      <c r="D1" s="6" t="s">
        <v>2</v>
      </c>
    </row>
    <row r="2" customFormat="false" ht="12.8" hidden="false" customHeight="false" outlineLevel="0" collapsed="false"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</row>
    <row r="9" customFormat="false" ht="28.3" hidden="false" customHeight="false" outlineLevel="0" collapsed="false">
      <c r="D9" s="575"/>
      <c r="E9" s="575"/>
      <c r="F9" s="576" t="s">
        <v>640</v>
      </c>
      <c r="G9" s="577" t="s">
        <v>641</v>
      </c>
      <c r="H9" s="577" t="s">
        <v>642</v>
      </c>
      <c r="I9" s="577" t="s">
        <v>643</v>
      </c>
      <c r="J9" s="578" t="s">
        <v>644</v>
      </c>
      <c r="K9" s="578"/>
      <c r="L9" s="578"/>
      <c r="M9" s="578"/>
      <c r="N9" s="578"/>
      <c r="O9" s="578"/>
      <c r="P9" s="578"/>
      <c r="Q9" s="578"/>
    </row>
    <row r="10" customFormat="false" ht="13.8" hidden="false" customHeight="false" outlineLevel="0" collapsed="false">
      <c r="D10" s="578" t="s">
        <v>645</v>
      </c>
      <c r="E10" s="578" t="s">
        <v>520</v>
      </c>
      <c r="F10" s="578"/>
      <c r="G10" s="578"/>
      <c r="H10" s="578"/>
      <c r="I10" s="578" t="n">
        <v>1</v>
      </c>
      <c r="J10" s="578" t="n">
        <v>0.75</v>
      </c>
      <c r="K10" s="578" t="n">
        <v>1</v>
      </c>
      <c r="L10" s="578" t="n">
        <v>1.5</v>
      </c>
      <c r="M10" s="578" t="n">
        <v>2</v>
      </c>
      <c r="N10" s="578" t="n">
        <v>2.5</v>
      </c>
      <c r="O10" s="578" t="n">
        <v>3</v>
      </c>
      <c r="P10" s="578" t="n">
        <v>3.5</v>
      </c>
      <c r="Q10" s="578" t="n">
        <v>4</v>
      </c>
      <c r="R10" s="579"/>
      <c r="S10" s="579"/>
      <c r="T10" s="579"/>
    </row>
    <row r="11" customFormat="false" ht="13.8" hidden="false" customHeight="false" outlineLevel="0" collapsed="false">
      <c r="A11" s="115" t="s">
        <v>646</v>
      </c>
      <c r="B11" s="580" t="s">
        <v>647</v>
      </c>
      <c r="C11" s="580" t="str">
        <f aca="false">$A$11&amp;" "&amp;B11</f>
        <v>Электрокарниз для римских штор  AT35E</v>
      </c>
      <c r="D11" s="581" t="s">
        <v>648</v>
      </c>
      <c r="E11" s="581" t="s">
        <v>649</v>
      </c>
      <c r="F11" s="580" t="n">
        <f aca="false">D31</f>
        <v>10148.15</v>
      </c>
      <c r="G11" s="582" t="n">
        <f aca="false">$D$66</f>
        <v>3756.37419568</v>
      </c>
      <c r="H11" s="582" t="n">
        <f aca="false">$D$67</f>
        <v>2336.060628286</v>
      </c>
      <c r="I11" s="578" t="n">
        <v>2</v>
      </c>
      <c r="J11" s="582" t="n">
        <f aca="false">$G$11+(J10*$H$11)</f>
        <v>5508.4196668945</v>
      </c>
      <c r="K11" s="582" t="n">
        <f aca="false">$G$11+(K10*$H$11)</f>
        <v>6092.434823966</v>
      </c>
      <c r="L11" s="582" t="n">
        <f aca="false">$G$11+(L10*$H$11)</f>
        <v>7260.465138109</v>
      </c>
      <c r="M11" s="582" t="n">
        <f aca="false">$G$11+(M10*$H$11)+$D$63</f>
        <v>8428.495452252</v>
      </c>
      <c r="N11" s="582" t="n">
        <f aca="false">$G$11+(N10*$H$11)+$D$63</f>
        <v>9596.525766395</v>
      </c>
      <c r="O11" s="582" t="n">
        <f aca="false">$G$11+(O10*$H$11)+$D$63</f>
        <v>10764.556080538</v>
      </c>
      <c r="P11" s="582" t="n">
        <f aca="false">$G$11+(P10*$H$11)+$D$63</f>
        <v>11932.586394681</v>
      </c>
      <c r="Q11" s="582" t="n">
        <f aca="false">$G$11+(Q10*$H$11)+$D$63</f>
        <v>13100.616708824</v>
      </c>
      <c r="R11" s="583"/>
      <c r="S11" s="584"/>
      <c r="T11" s="585"/>
    </row>
    <row r="12" customFormat="false" ht="13.8" hidden="false" customHeight="false" outlineLevel="0" collapsed="false">
      <c r="B12" s="580" t="s">
        <v>650</v>
      </c>
      <c r="C12" s="580" t="str">
        <f aca="false">$A$11&amp;" "&amp;B12</f>
        <v>Электрокарниз для римских штор  AT35SL</v>
      </c>
      <c r="D12" s="581" t="s">
        <v>563</v>
      </c>
      <c r="E12" s="581" t="s">
        <v>651</v>
      </c>
      <c r="F12" s="580" t="n">
        <f aca="false">D32</f>
        <v>6137</v>
      </c>
      <c r="G12" s="582" t="n">
        <f aca="false">$D$66</f>
        <v>3756.37419568</v>
      </c>
      <c r="H12" s="582" t="n">
        <f aca="false">$D$67</f>
        <v>2336.060628286</v>
      </c>
      <c r="I12" s="578" t="n">
        <v>3</v>
      </c>
      <c r="J12" s="582" t="n">
        <f aca="false">J11</f>
        <v>5508.4196668945</v>
      </c>
      <c r="K12" s="582" t="n">
        <f aca="false">K11</f>
        <v>6092.434823966</v>
      </c>
      <c r="L12" s="582" t="n">
        <f aca="false">L11</f>
        <v>7260.465138109</v>
      </c>
      <c r="M12" s="582" t="n">
        <f aca="false">M11</f>
        <v>8428.495452252</v>
      </c>
      <c r="N12" s="582" t="n">
        <f aca="false">N11</f>
        <v>9596.525766395</v>
      </c>
      <c r="O12" s="582" t="n">
        <f aca="false">O11</f>
        <v>10764.556080538</v>
      </c>
      <c r="P12" s="582" t="n">
        <f aca="false">P11</f>
        <v>11932.586394681</v>
      </c>
      <c r="Q12" s="582" t="n">
        <f aca="false">Q11</f>
        <v>13100.616708824</v>
      </c>
      <c r="R12" s="586"/>
      <c r="S12" s="584"/>
      <c r="T12" s="585"/>
    </row>
    <row r="13" customFormat="false" ht="13.8" hidden="false" customHeight="false" outlineLevel="0" collapsed="false">
      <c r="B13" s="580" t="s">
        <v>652</v>
      </c>
      <c r="C13" s="580" t="str">
        <f aca="false">$A$11&amp;" "&amp;B13</f>
        <v>Электрокарниз для римских штор  AT35RVQ/L</v>
      </c>
      <c r="D13" s="581" t="s">
        <v>565</v>
      </c>
      <c r="E13" s="581" t="s">
        <v>653</v>
      </c>
      <c r="F13" s="580" t="n">
        <f aca="false">D33</f>
        <v>8677.65</v>
      </c>
      <c r="G13" s="582" t="n">
        <f aca="false">$D$66</f>
        <v>3756.37419568</v>
      </c>
      <c r="H13" s="582" t="n">
        <f aca="false">$D$67</f>
        <v>2336.060628286</v>
      </c>
      <c r="I13" s="578" t="n">
        <v>4</v>
      </c>
      <c r="J13" s="582" t="n">
        <f aca="false">J12</f>
        <v>5508.4196668945</v>
      </c>
      <c r="K13" s="582" t="n">
        <f aca="false">K12</f>
        <v>6092.434823966</v>
      </c>
      <c r="L13" s="582" t="n">
        <f aca="false">L12</f>
        <v>7260.465138109</v>
      </c>
      <c r="M13" s="582" t="n">
        <f aca="false">M12</f>
        <v>8428.495452252</v>
      </c>
      <c r="N13" s="582" t="n">
        <f aca="false">N12</f>
        <v>9596.525766395</v>
      </c>
      <c r="O13" s="582" t="n">
        <f aca="false">O12</f>
        <v>10764.556080538</v>
      </c>
      <c r="P13" s="582" t="n">
        <f aca="false">P12</f>
        <v>11932.586394681</v>
      </c>
      <c r="Q13" s="582" t="n">
        <f aca="false">Q12</f>
        <v>13100.616708824</v>
      </c>
      <c r="R13" s="586"/>
      <c r="S13" s="584"/>
      <c r="T13" s="585"/>
    </row>
    <row r="14" customFormat="false" ht="13.8" hidden="false" customHeight="false" outlineLevel="0" collapsed="false">
      <c r="B14" s="580" t="s">
        <v>654</v>
      </c>
      <c r="C14" s="580" t="str">
        <f aca="false">$A$11&amp;" "&amp;B14</f>
        <v>Электрокарниз для римских штор  AT35LE</v>
      </c>
      <c r="D14" s="581" t="s">
        <v>567</v>
      </c>
      <c r="E14" s="581" t="s">
        <v>655</v>
      </c>
      <c r="F14" s="580" t="n">
        <f aca="false">D34</f>
        <v>15801.5</v>
      </c>
      <c r="G14" s="582" t="n">
        <f aca="false">$D$66</f>
        <v>3756.37419568</v>
      </c>
      <c r="H14" s="582" t="n">
        <f aca="false">$D$67</f>
        <v>2336.060628286</v>
      </c>
      <c r="I14" s="578" t="n">
        <v>5</v>
      </c>
      <c r="J14" s="582" t="n">
        <f aca="false">J13</f>
        <v>5508.4196668945</v>
      </c>
      <c r="K14" s="582" t="n">
        <f aca="false">K13</f>
        <v>6092.434823966</v>
      </c>
      <c r="L14" s="582" t="n">
        <f aca="false">L13</f>
        <v>7260.465138109</v>
      </c>
      <c r="M14" s="582" t="n">
        <f aca="false">M13</f>
        <v>8428.495452252</v>
      </c>
      <c r="N14" s="582" t="n">
        <f aca="false">N13</f>
        <v>9596.525766395</v>
      </c>
      <c r="O14" s="582" t="n">
        <f aca="false">O13</f>
        <v>10764.556080538</v>
      </c>
      <c r="P14" s="582" t="n">
        <f aca="false">P13</f>
        <v>11932.586394681</v>
      </c>
      <c r="Q14" s="582" t="n">
        <f aca="false">Q13</f>
        <v>13100.616708824</v>
      </c>
      <c r="R14" s="586"/>
      <c r="S14" s="584"/>
      <c r="T14" s="585"/>
    </row>
    <row r="15" customFormat="false" ht="13.8" hidden="false" customHeight="false" outlineLevel="0" collapsed="false">
      <c r="B15" s="580" t="s">
        <v>656</v>
      </c>
      <c r="C15" s="580" t="str">
        <f aca="false">$A$11&amp;" "&amp;B15</f>
        <v>Электрокарниз для римских штор  DM35ЕQ/X-6/20 RS485</v>
      </c>
      <c r="D15" s="581" t="s">
        <v>656</v>
      </c>
      <c r="E15" s="581" t="s">
        <v>657</v>
      </c>
      <c r="F15" s="580" t="n">
        <f aca="false">D35</f>
        <v>15843.15</v>
      </c>
      <c r="G15" s="582" t="n">
        <f aca="false">$D$66</f>
        <v>3756.37419568</v>
      </c>
      <c r="H15" s="582" t="n">
        <f aca="false">$D$67</f>
        <v>2336.060628286</v>
      </c>
      <c r="I15" s="578" t="n">
        <v>6</v>
      </c>
      <c r="J15" s="582" t="n">
        <f aca="false">J14</f>
        <v>5508.4196668945</v>
      </c>
      <c r="K15" s="582" t="n">
        <f aca="false">K14</f>
        <v>6092.434823966</v>
      </c>
      <c r="L15" s="582" t="n">
        <f aca="false">L14</f>
        <v>7260.465138109</v>
      </c>
      <c r="M15" s="582" t="n">
        <f aca="false">M14</f>
        <v>8428.495452252</v>
      </c>
      <c r="N15" s="582" t="n">
        <f aca="false">N14</f>
        <v>9596.525766395</v>
      </c>
      <c r="O15" s="582" t="n">
        <f aca="false">O14</f>
        <v>10764.556080538</v>
      </c>
      <c r="P15" s="582" t="n">
        <f aca="false">P14</f>
        <v>11932.586394681</v>
      </c>
      <c r="Q15" s="582" t="n">
        <f aca="false">Q14</f>
        <v>13100.616708824</v>
      </c>
      <c r="R15" s="586"/>
      <c r="S15" s="584"/>
      <c r="T15" s="585"/>
    </row>
    <row r="16" customFormat="false" ht="13.8" hidden="false" customHeight="false" outlineLevel="0" collapsed="false">
      <c r="B16" s="580" t="s">
        <v>658</v>
      </c>
      <c r="C16" s="580" t="str">
        <f aca="false">$A$11&amp;" "&amp;B16</f>
        <v>Электрокарниз для римских штор  AT35S</v>
      </c>
      <c r="D16" s="581" t="s">
        <v>659</v>
      </c>
      <c r="E16" s="581" t="s">
        <v>660</v>
      </c>
      <c r="F16" s="580" t="n">
        <f aca="false">D36</f>
        <v>8511.79457671</v>
      </c>
      <c r="G16" s="582" t="n">
        <f aca="false">$D$66</f>
        <v>3756.37419568</v>
      </c>
      <c r="H16" s="582" t="n">
        <f aca="false">$D$67</f>
        <v>2336.060628286</v>
      </c>
      <c r="I16" s="578" t="n">
        <v>7</v>
      </c>
      <c r="J16" s="582" t="n">
        <f aca="false">J14</f>
        <v>5508.4196668945</v>
      </c>
      <c r="K16" s="582" t="n">
        <f aca="false">K14</f>
        <v>6092.434823966</v>
      </c>
      <c r="L16" s="582" t="n">
        <f aca="false">L14</f>
        <v>7260.465138109</v>
      </c>
      <c r="M16" s="582" t="n">
        <f aca="false">M14</f>
        <v>8428.495452252</v>
      </c>
      <c r="N16" s="582" t="n">
        <f aca="false">N14</f>
        <v>9596.525766395</v>
      </c>
      <c r="O16" s="582" t="n">
        <f aca="false">O14</f>
        <v>10764.556080538</v>
      </c>
      <c r="P16" s="582" t="n">
        <f aca="false">P14</f>
        <v>11932.586394681</v>
      </c>
      <c r="Q16" s="582" t="n">
        <f aca="false">Q14</f>
        <v>13100.616708824</v>
      </c>
      <c r="R16" s="586"/>
      <c r="S16" s="584"/>
      <c r="T16" s="585"/>
    </row>
    <row r="17" customFormat="false" ht="13.8" hidden="false" customHeight="false" outlineLevel="0" collapsed="false">
      <c r="B17" s="580" t="s">
        <v>647</v>
      </c>
      <c r="C17" s="580" t="str">
        <f aca="false">$A$11&amp;" "&amp;B17</f>
        <v>Электрокарниз для римских штор  AT35E</v>
      </c>
      <c r="D17" s="581" t="s">
        <v>661</v>
      </c>
      <c r="E17" s="581" t="s">
        <v>662</v>
      </c>
      <c r="F17" s="580" t="n">
        <f aca="false">D37</f>
        <v>14983.284094965</v>
      </c>
      <c r="G17" s="582" t="n">
        <f aca="false">$D$66</f>
        <v>3756.37419568</v>
      </c>
      <c r="H17" s="582" t="n">
        <f aca="false">$D$67</f>
        <v>2336.060628286</v>
      </c>
      <c r="I17" s="578" t="n">
        <v>8</v>
      </c>
      <c r="J17" s="582" t="n">
        <f aca="false">J16</f>
        <v>5508.4196668945</v>
      </c>
      <c r="K17" s="582" t="n">
        <f aca="false">K16</f>
        <v>6092.434823966</v>
      </c>
      <c r="L17" s="582" t="n">
        <f aca="false">L16</f>
        <v>7260.465138109</v>
      </c>
      <c r="M17" s="582" t="n">
        <f aca="false">M16</f>
        <v>8428.495452252</v>
      </c>
      <c r="N17" s="582" t="n">
        <f aca="false">N16</f>
        <v>9596.525766395</v>
      </c>
      <c r="O17" s="582" t="n">
        <f aca="false">O16</f>
        <v>10764.556080538</v>
      </c>
      <c r="P17" s="582" t="n">
        <f aca="false">P16</f>
        <v>11932.586394681</v>
      </c>
      <c r="Q17" s="582" t="n">
        <f aca="false">Q16</f>
        <v>13100.616708824</v>
      </c>
      <c r="R17" s="586"/>
      <c r="S17" s="584"/>
      <c r="T17" s="585"/>
    </row>
    <row r="18" customFormat="false" ht="13.8" hidden="false" customHeight="false" outlineLevel="0" collapsed="false">
      <c r="B18" s="580" t="s">
        <v>654</v>
      </c>
      <c r="C18" s="580" t="str">
        <f aca="false">$A$11&amp;" "&amp;B18</f>
        <v>Электрокарниз для римских штор  AT35LE</v>
      </c>
      <c r="D18" s="581" t="s">
        <v>663</v>
      </c>
      <c r="E18" s="581" t="s">
        <v>655</v>
      </c>
      <c r="F18" s="580" t="n">
        <f aca="false">D38</f>
        <v>24434.31756107</v>
      </c>
      <c r="G18" s="582" t="n">
        <f aca="false">$D$66</f>
        <v>3756.37419568</v>
      </c>
      <c r="H18" s="582" t="n">
        <f aca="false">$D$67</f>
        <v>2336.060628286</v>
      </c>
      <c r="I18" s="578" t="n">
        <v>9</v>
      </c>
      <c r="J18" s="582" t="n">
        <f aca="false">J17</f>
        <v>5508.4196668945</v>
      </c>
      <c r="K18" s="582" t="n">
        <f aca="false">K17</f>
        <v>6092.434823966</v>
      </c>
      <c r="L18" s="582" t="n">
        <f aca="false">L17</f>
        <v>7260.465138109</v>
      </c>
      <c r="M18" s="582" t="n">
        <f aca="false">M17</f>
        <v>8428.495452252</v>
      </c>
      <c r="N18" s="582" t="n">
        <f aca="false">N17</f>
        <v>9596.525766395</v>
      </c>
      <c r="O18" s="582" t="n">
        <f aca="false">O17</f>
        <v>10764.556080538</v>
      </c>
      <c r="P18" s="582" t="n">
        <f aca="false">P17</f>
        <v>11932.586394681</v>
      </c>
      <c r="Q18" s="582" t="n">
        <f aca="false">Q17</f>
        <v>13100.616708824</v>
      </c>
      <c r="R18" s="586"/>
      <c r="S18" s="584"/>
      <c r="T18" s="585"/>
    </row>
    <row r="19" customFormat="false" ht="13.8" hidden="false" customHeight="false" outlineLevel="0" collapsed="false">
      <c r="B19" s="580" t="s">
        <v>579</v>
      </c>
      <c r="C19" s="580" t="s">
        <v>664</v>
      </c>
      <c r="D19" s="581" t="s">
        <v>665</v>
      </c>
      <c r="E19" s="581" t="s">
        <v>666</v>
      </c>
      <c r="F19" s="580" t="n">
        <f aca="false">D39</f>
        <v>15261.6</v>
      </c>
      <c r="G19" s="582" t="n">
        <f aca="false">$D$66</f>
        <v>3756.37419568</v>
      </c>
      <c r="H19" s="582" t="n">
        <f aca="false">$D$67</f>
        <v>2336.060628286</v>
      </c>
      <c r="I19" s="578" t="n">
        <v>10</v>
      </c>
      <c r="J19" s="582" t="n">
        <f aca="false">J18</f>
        <v>5508.4196668945</v>
      </c>
      <c r="K19" s="582" t="n">
        <f aca="false">K18</f>
        <v>6092.434823966</v>
      </c>
      <c r="L19" s="582" t="n">
        <f aca="false">L18</f>
        <v>7260.465138109</v>
      </c>
      <c r="M19" s="582" t="n">
        <f aca="false">M18</f>
        <v>8428.495452252</v>
      </c>
      <c r="N19" s="582" t="n">
        <f aca="false">N18</f>
        <v>9596.525766395</v>
      </c>
      <c r="O19" s="582" t="n">
        <f aca="false">O18</f>
        <v>10764.556080538</v>
      </c>
      <c r="P19" s="582" t="n">
        <f aca="false">P18</f>
        <v>11932.586394681</v>
      </c>
      <c r="Q19" s="582" t="n">
        <f aca="false">Q18</f>
        <v>13100.616708824</v>
      </c>
      <c r="R19" s="586"/>
      <c r="S19" s="584"/>
      <c r="T19" s="585"/>
    </row>
    <row r="20" customFormat="false" ht="13.8" hidden="false" customHeight="false" outlineLevel="0" collapsed="false">
      <c r="B20" s="581" t="s">
        <v>571</v>
      </c>
      <c r="C20" s="580" t="str">
        <f aca="false">$A$11&amp;" "&amp;B20</f>
        <v>Электрокарниз для римских штор  SONESSE 40 3/30</v>
      </c>
      <c r="D20" s="581" t="s">
        <v>571</v>
      </c>
      <c r="E20" s="581" t="s">
        <v>667</v>
      </c>
      <c r="F20" s="580" t="n">
        <f aca="false">D40</f>
        <v>42974.9936</v>
      </c>
      <c r="G20" s="582" t="n">
        <f aca="false">$D$66</f>
        <v>3756.37419568</v>
      </c>
      <c r="H20" s="582" t="n">
        <f aca="false">$D$67</f>
        <v>2336.060628286</v>
      </c>
      <c r="I20" s="578" t="n">
        <v>11</v>
      </c>
      <c r="J20" s="582" t="n">
        <f aca="false">J18</f>
        <v>5508.4196668945</v>
      </c>
      <c r="K20" s="582" t="n">
        <f aca="false">K18</f>
        <v>6092.434823966</v>
      </c>
      <c r="L20" s="582" t="n">
        <f aca="false">L18</f>
        <v>7260.465138109</v>
      </c>
      <c r="M20" s="582" t="n">
        <f aca="false">M18</f>
        <v>8428.495452252</v>
      </c>
      <c r="N20" s="582" t="n">
        <f aca="false">N18</f>
        <v>9596.525766395</v>
      </c>
      <c r="O20" s="582" t="n">
        <f aca="false">O18</f>
        <v>10764.556080538</v>
      </c>
      <c r="P20" s="582" t="n">
        <f aca="false">P18</f>
        <v>11932.586394681</v>
      </c>
      <c r="Q20" s="582" t="n">
        <f aca="false">Q18</f>
        <v>13100.616708824</v>
      </c>
      <c r="R20" s="586"/>
      <c r="S20" s="584"/>
      <c r="T20" s="585"/>
    </row>
    <row r="21" customFormat="false" ht="13.8" hidden="false" customHeight="false" outlineLevel="0" collapsed="false">
      <c r="B21" s="581" t="s">
        <v>573</v>
      </c>
      <c r="C21" s="580" t="str">
        <f aca="false">$A$11&amp;" "&amp;B21</f>
        <v>Электрокарниз для римских штор  SONESSE 40 6/20</v>
      </c>
      <c r="D21" s="581" t="s">
        <v>573</v>
      </c>
      <c r="E21" s="581" t="s">
        <v>668</v>
      </c>
      <c r="F21" s="580" t="n">
        <f aca="false">D41</f>
        <v>44154.698825</v>
      </c>
      <c r="G21" s="582" t="n">
        <f aca="false">$D$66</f>
        <v>3756.37419568</v>
      </c>
      <c r="H21" s="582" t="n">
        <f aca="false">$D$67</f>
        <v>2336.060628286</v>
      </c>
      <c r="I21" s="578" t="n">
        <v>12</v>
      </c>
      <c r="J21" s="582" t="n">
        <f aca="false">J20</f>
        <v>5508.4196668945</v>
      </c>
      <c r="K21" s="582" t="n">
        <f aca="false">K20</f>
        <v>6092.434823966</v>
      </c>
      <c r="L21" s="582" t="n">
        <f aca="false">L20</f>
        <v>7260.465138109</v>
      </c>
      <c r="M21" s="582" t="n">
        <f aca="false">M20</f>
        <v>8428.495452252</v>
      </c>
      <c r="N21" s="582" t="n">
        <f aca="false">N20</f>
        <v>9596.525766395</v>
      </c>
      <c r="O21" s="582" t="n">
        <f aca="false">O20</f>
        <v>10764.556080538</v>
      </c>
      <c r="P21" s="582" t="n">
        <f aca="false">P20</f>
        <v>11932.586394681</v>
      </c>
      <c r="Q21" s="582" t="n">
        <f aca="false">Q20</f>
        <v>13100.616708824</v>
      </c>
      <c r="R21" s="586"/>
      <c r="S21" s="584"/>
      <c r="T21" s="585"/>
    </row>
    <row r="22" customFormat="false" ht="12.8" hidden="false" customHeight="false" outlineLevel="0" collapsed="false">
      <c r="B22" s="581" t="s">
        <v>669</v>
      </c>
      <c r="C22" s="580" t="str">
        <f aca="false">$A$11&amp;" "&amp;B22</f>
        <v>Электрокарниз для римских штор  SONESSE 40 9/12</v>
      </c>
      <c r="D22" s="581" t="s">
        <v>669</v>
      </c>
      <c r="E22" s="581" t="s">
        <v>670</v>
      </c>
      <c r="F22" s="580" t="e">
        <f aca="false">#REF!</f>
        <v>#REF!</v>
      </c>
      <c r="G22" s="582" t="n">
        <f aca="false">$D$66</f>
        <v>3756.37419568</v>
      </c>
      <c r="H22" s="582" t="n">
        <f aca="false">$D$67</f>
        <v>2336.060628286</v>
      </c>
      <c r="I22" s="578" t="n">
        <v>13</v>
      </c>
      <c r="J22" s="582" t="n">
        <f aca="false">J21</f>
        <v>5508.4196668945</v>
      </c>
      <c r="K22" s="582" t="n">
        <f aca="false">K21</f>
        <v>6092.434823966</v>
      </c>
      <c r="L22" s="582" t="n">
        <f aca="false">L21</f>
        <v>7260.465138109</v>
      </c>
      <c r="M22" s="582" t="n">
        <f aca="false">M21</f>
        <v>8428.495452252</v>
      </c>
      <c r="N22" s="582" t="n">
        <f aca="false">N21</f>
        <v>9596.525766395</v>
      </c>
      <c r="O22" s="582" t="n">
        <f aca="false">O21</f>
        <v>10764.556080538</v>
      </c>
      <c r="P22" s="582" t="n">
        <f aca="false">P21</f>
        <v>11932.586394681</v>
      </c>
      <c r="Q22" s="582" t="n">
        <f aca="false">Q21</f>
        <v>13100.616708824</v>
      </c>
    </row>
    <row r="23" customFormat="false" ht="19.25" hidden="false" customHeight="false" outlineLevel="0" collapsed="false">
      <c r="B23" s="587" t="s">
        <v>575</v>
      </c>
      <c r="C23" s="580" t="str">
        <f aca="false">$A$11&amp;" "&amp;B23</f>
        <v>Электрокарниз для римских штор  SONESSE 40 RTS 3/30</v>
      </c>
      <c r="D23" s="587" t="s">
        <v>575</v>
      </c>
      <c r="E23" s="581" t="s">
        <v>671</v>
      </c>
      <c r="F23" s="580" t="n">
        <f aca="false">D42</f>
        <v>63619.842985</v>
      </c>
      <c r="G23" s="582" t="n">
        <f aca="false">$D$66</f>
        <v>3756.37419568</v>
      </c>
      <c r="H23" s="582" t="n">
        <f aca="false">$D$67</f>
        <v>2336.060628286</v>
      </c>
      <c r="I23" s="578" t="n">
        <v>14</v>
      </c>
      <c r="J23" s="582" t="n">
        <f aca="false">J22</f>
        <v>5508.4196668945</v>
      </c>
      <c r="K23" s="582" t="n">
        <f aca="false">K22</f>
        <v>6092.434823966</v>
      </c>
      <c r="L23" s="582" t="n">
        <f aca="false">L22</f>
        <v>7260.465138109</v>
      </c>
      <c r="M23" s="582" t="n">
        <f aca="false">M22</f>
        <v>8428.495452252</v>
      </c>
      <c r="N23" s="582" t="n">
        <f aca="false">N22</f>
        <v>9596.525766395</v>
      </c>
      <c r="O23" s="582" t="n">
        <f aca="false">O22</f>
        <v>10764.556080538</v>
      </c>
      <c r="P23" s="582" t="n">
        <f aca="false">P22</f>
        <v>11932.586394681</v>
      </c>
      <c r="Q23" s="582" t="n">
        <f aca="false">Q22</f>
        <v>13100.616708824</v>
      </c>
    </row>
    <row r="24" customFormat="false" ht="19.25" hidden="false" customHeight="false" outlineLevel="0" collapsed="false">
      <c r="B24" s="587" t="s">
        <v>577</v>
      </c>
      <c r="C24" s="580" t="str">
        <f aca="false">$A$11&amp;" "&amp;B24</f>
        <v>Электрокарниз для римских штор  SONESSE 40 RTS 6/20</v>
      </c>
      <c r="D24" s="587" t="s">
        <v>577</v>
      </c>
      <c r="E24" s="581" t="s">
        <v>672</v>
      </c>
      <c r="F24" s="580" t="n">
        <f aca="false">D43</f>
        <v>67467.93145</v>
      </c>
      <c r="G24" s="582" t="n">
        <f aca="false">$D$66</f>
        <v>3756.37419568</v>
      </c>
      <c r="H24" s="582" t="n">
        <f aca="false">$D$67</f>
        <v>2336.060628286</v>
      </c>
      <c r="I24" s="578" t="n">
        <v>15</v>
      </c>
      <c r="J24" s="582" t="n">
        <f aca="false">J23</f>
        <v>5508.4196668945</v>
      </c>
      <c r="K24" s="582" t="n">
        <f aca="false">K23</f>
        <v>6092.434823966</v>
      </c>
      <c r="L24" s="582" t="n">
        <f aca="false">L23</f>
        <v>7260.465138109</v>
      </c>
      <c r="M24" s="582" t="n">
        <f aca="false">M23</f>
        <v>8428.495452252</v>
      </c>
      <c r="N24" s="582" t="n">
        <f aca="false">N23</f>
        <v>9596.525766395</v>
      </c>
      <c r="O24" s="582" t="n">
        <f aca="false">O23</f>
        <v>10764.556080538</v>
      </c>
      <c r="P24" s="582" t="n">
        <f aca="false">P23</f>
        <v>11932.586394681</v>
      </c>
      <c r="Q24" s="582" t="n">
        <f aca="false">Q23</f>
        <v>13100.616708824</v>
      </c>
    </row>
    <row r="25" customFormat="false" ht="19.25" hidden="false" customHeight="false" outlineLevel="0" collapsed="false">
      <c r="B25" s="587" t="s">
        <v>673</v>
      </c>
      <c r="C25" s="580" t="str">
        <f aca="false">$A$11&amp;" "&amp;B25</f>
        <v>Электрокарниз для римских штор  SONESSE 40 RTS 9/12</v>
      </c>
      <c r="D25" s="587" t="s">
        <v>673</v>
      </c>
      <c r="E25" s="581" t="s">
        <v>674</v>
      </c>
      <c r="F25" s="580" t="e">
        <f aca="false">#REF!</f>
        <v>#REF!</v>
      </c>
      <c r="G25" s="582" t="n">
        <f aca="false">$D$66</f>
        <v>3756.37419568</v>
      </c>
      <c r="H25" s="582" t="n">
        <f aca="false">$D$67</f>
        <v>2336.060628286</v>
      </c>
      <c r="I25" s="578" t="n">
        <v>16</v>
      </c>
      <c r="J25" s="582" t="n">
        <f aca="false">J24</f>
        <v>5508.4196668945</v>
      </c>
      <c r="K25" s="582" t="n">
        <f aca="false">K24</f>
        <v>6092.434823966</v>
      </c>
      <c r="L25" s="582" t="n">
        <f aca="false">L24</f>
        <v>7260.465138109</v>
      </c>
      <c r="M25" s="582" t="n">
        <f aca="false">M24</f>
        <v>8428.495452252</v>
      </c>
      <c r="N25" s="582" t="n">
        <f aca="false">N24</f>
        <v>9596.525766395</v>
      </c>
      <c r="O25" s="582" t="n">
        <f aca="false">O24</f>
        <v>10764.556080538</v>
      </c>
      <c r="P25" s="582" t="n">
        <f aca="false">P24</f>
        <v>11932.586394681</v>
      </c>
      <c r="Q25" s="582" t="n">
        <f aca="false">Q24</f>
        <v>13100.616708824</v>
      </c>
    </row>
    <row r="26" customFormat="false" ht="28.3" hidden="false" customHeight="false" outlineLevel="0" collapsed="false">
      <c r="I26" s="588" t="s">
        <v>675</v>
      </c>
      <c r="J26" s="589" t="n">
        <v>2</v>
      </c>
      <c r="K26" s="589" t="n">
        <v>3</v>
      </c>
      <c r="L26" s="589" t="n">
        <v>4</v>
      </c>
      <c r="M26" s="589" t="n">
        <v>5</v>
      </c>
      <c r="N26" s="589" t="n">
        <v>6</v>
      </c>
      <c r="O26" s="589" t="n">
        <v>7</v>
      </c>
      <c r="P26" s="589" t="n">
        <v>8</v>
      </c>
      <c r="Q26" s="589" t="n">
        <v>9</v>
      </c>
    </row>
    <row r="30" customFormat="false" ht="35.5" hidden="false" customHeight="false" outlineLevel="0" collapsed="false">
      <c r="C30" s="590"/>
      <c r="D30" s="591" t="s">
        <v>676</v>
      </c>
      <c r="E30" s="591"/>
      <c r="F30" s="591"/>
      <c r="G30" s="591"/>
      <c r="H30" s="591"/>
      <c r="I30" s="591"/>
      <c r="J30" s="591" t="s">
        <v>677</v>
      </c>
      <c r="K30" s="576" t="s">
        <v>341</v>
      </c>
      <c r="L30" s="576" t="s">
        <v>342</v>
      </c>
      <c r="M30" s="576" t="s">
        <v>343</v>
      </c>
    </row>
    <row r="31" customFormat="false" ht="12.8" hidden="false" customHeight="false" outlineLevel="0" collapsed="false">
      <c r="C31" s="581" t="s">
        <v>648</v>
      </c>
      <c r="D31" s="592" t="n">
        <f aca="false">J31*$B$2</f>
        <v>10148.15</v>
      </c>
      <c r="E31" s="592"/>
      <c r="F31" s="592"/>
      <c r="G31" s="592"/>
      <c r="H31" s="580"/>
      <c r="I31" s="580"/>
      <c r="J31" s="593" t="n">
        <f aca="false">'данные по моторизации'!C6</f>
        <v>119.39</v>
      </c>
      <c r="K31" s="590"/>
      <c r="L31" s="590"/>
      <c r="M31" s="590"/>
    </row>
    <row r="32" customFormat="false" ht="12.8" hidden="false" customHeight="false" outlineLevel="0" collapsed="false">
      <c r="C32" s="581" t="s">
        <v>563</v>
      </c>
      <c r="D32" s="592" t="n">
        <f aca="false">J32*$B$2</f>
        <v>6137</v>
      </c>
      <c r="E32" s="592"/>
      <c r="F32" s="592"/>
      <c r="G32" s="592"/>
      <c r="H32" s="580"/>
      <c r="I32" s="580"/>
      <c r="J32" s="594" t="n">
        <f aca="false">'данные по моторизации'!C7</f>
        <v>72.2</v>
      </c>
      <c r="K32" s="590"/>
      <c r="L32" s="590"/>
      <c r="M32" s="590"/>
    </row>
    <row r="33" customFormat="false" ht="12.8" hidden="false" customHeight="false" outlineLevel="0" collapsed="false">
      <c r="C33" s="581" t="s">
        <v>565</v>
      </c>
      <c r="D33" s="592" t="n">
        <f aca="false">J33*$B$2</f>
        <v>8677.65</v>
      </c>
      <c r="E33" s="592"/>
      <c r="F33" s="592"/>
      <c r="G33" s="592"/>
      <c r="H33" s="580"/>
      <c r="I33" s="580"/>
      <c r="J33" s="594" t="n">
        <f aca="false">'данные по моторизации'!C8</f>
        <v>102.09</v>
      </c>
      <c r="K33" s="590"/>
      <c r="L33" s="590"/>
      <c r="M33" s="590"/>
    </row>
    <row r="34" customFormat="false" ht="12.8" hidden="false" customHeight="false" outlineLevel="0" collapsed="false">
      <c r="C34" s="581" t="s">
        <v>567</v>
      </c>
      <c r="D34" s="592" t="n">
        <f aca="false">J34*$B$2</f>
        <v>15801.5</v>
      </c>
      <c r="E34" s="592"/>
      <c r="F34" s="592"/>
      <c r="G34" s="592"/>
      <c r="H34" s="580"/>
      <c r="I34" s="580"/>
      <c r="J34" s="594" t="n">
        <f aca="false">'данные по моторизации'!C9</f>
        <v>185.9</v>
      </c>
      <c r="K34" s="590"/>
      <c r="L34" s="590"/>
      <c r="M34" s="590"/>
    </row>
    <row r="35" customFormat="false" ht="12.8" hidden="false" customHeight="false" outlineLevel="0" collapsed="false">
      <c r="C35" s="581" t="s">
        <v>656</v>
      </c>
      <c r="D35" s="580" t="n">
        <f aca="false">'данные по моторизации'!B10</f>
        <v>15843.15</v>
      </c>
      <c r="E35" s="580"/>
      <c r="F35" s="580"/>
      <c r="G35" s="580"/>
      <c r="H35" s="580"/>
      <c r="I35" s="580"/>
      <c r="J35" s="595"/>
      <c r="K35" s="590"/>
      <c r="L35" s="596"/>
      <c r="M35" s="595"/>
    </row>
    <row r="36" customFormat="false" ht="12.8" hidden="false" customHeight="false" outlineLevel="0" collapsed="false">
      <c r="C36" s="581" t="s">
        <v>659</v>
      </c>
      <c r="D36" s="580" t="n">
        <f aca="false">M36*2</f>
        <v>8511.79457671</v>
      </c>
      <c r="E36" s="580"/>
      <c r="F36" s="580"/>
      <c r="G36" s="580"/>
      <c r="H36" s="580"/>
      <c r="I36" s="580"/>
      <c r="J36" s="595" t="n">
        <f aca="false">M36*2</f>
        <v>8511.79457671</v>
      </c>
      <c r="K36" s="590"/>
      <c r="L36" s="596" t="n">
        <f aca="false">'_Данные моторизация Амиго (комп'!I9</f>
        <v>50.069379863</v>
      </c>
      <c r="M36" s="595" t="n">
        <f aca="false">L36*$B$2</f>
        <v>4255.897288355</v>
      </c>
    </row>
    <row r="37" customFormat="false" ht="12.8" hidden="false" customHeight="false" outlineLevel="0" collapsed="false">
      <c r="C37" s="581" t="s">
        <v>661</v>
      </c>
      <c r="D37" s="580" t="n">
        <f aca="false">M37*2</f>
        <v>14983.284094965</v>
      </c>
      <c r="E37" s="580"/>
      <c r="F37" s="580"/>
      <c r="G37" s="580"/>
      <c r="H37" s="580"/>
      <c r="I37" s="580"/>
      <c r="J37" s="595" t="n">
        <f aca="false">M37*2</f>
        <v>14983.284094965</v>
      </c>
      <c r="K37" s="590"/>
      <c r="L37" s="596" t="n">
        <f aca="false">'_Данные моторизация Амиго (комп'!I11</f>
        <v>88.1369652645</v>
      </c>
      <c r="M37" s="595" t="n">
        <f aca="false">L37*$B$2</f>
        <v>7491.6420474825</v>
      </c>
    </row>
    <row r="38" customFormat="false" ht="12.8" hidden="false" customHeight="false" outlineLevel="0" collapsed="false">
      <c r="C38" s="581" t="s">
        <v>663</v>
      </c>
      <c r="D38" s="580" t="n">
        <f aca="false">M38*2</f>
        <v>24434.31756107</v>
      </c>
      <c r="E38" s="580"/>
      <c r="F38" s="580"/>
      <c r="G38" s="580"/>
      <c r="H38" s="580"/>
      <c r="I38" s="580"/>
      <c r="J38" s="595" t="n">
        <f aca="false">M38*2</f>
        <v>24434.31756107</v>
      </c>
      <c r="K38" s="590"/>
      <c r="L38" s="596" t="n">
        <f aca="false">'_Данные моторизация Амиго (комп'!I13</f>
        <v>143.731279771</v>
      </c>
      <c r="M38" s="595" t="n">
        <f aca="false">L38*$B$2</f>
        <v>12217.158780535</v>
      </c>
    </row>
    <row r="39" customFormat="false" ht="12.8" hidden="false" customHeight="false" outlineLevel="0" collapsed="false">
      <c r="C39" s="581" t="s">
        <v>665</v>
      </c>
      <c r="D39" s="580" t="n">
        <f aca="false">'данные по моторизации'!B27</f>
        <v>15261.6</v>
      </c>
      <c r="E39" s="580"/>
      <c r="F39" s="580"/>
      <c r="G39" s="580"/>
      <c r="H39" s="580"/>
      <c r="I39" s="580"/>
      <c r="J39" s="595"/>
      <c r="K39" s="590"/>
      <c r="L39" s="596"/>
      <c r="M39" s="595"/>
    </row>
    <row r="40" customFormat="false" ht="12.8" hidden="false" customHeight="false" outlineLevel="0" collapsed="false">
      <c r="C40" s="581" t="s">
        <v>571</v>
      </c>
      <c r="D40" s="580" t="n">
        <f aca="false">'данные по моторизации'!B20</f>
        <v>42974.9936</v>
      </c>
      <c r="E40" s="580"/>
      <c r="F40" s="580"/>
      <c r="G40" s="580"/>
      <c r="H40" s="580"/>
      <c r="I40" s="580"/>
      <c r="J40" s="597"/>
      <c r="K40" s="590"/>
      <c r="L40" s="598"/>
      <c r="M40" s="590"/>
    </row>
    <row r="41" customFormat="false" ht="12.8" hidden="false" customHeight="false" outlineLevel="0" collapsed="false">
      <c r="C41" s="581" t="s">
        <v>573</v>
      </c>
      <c r="D41" s="580" t="n">
        <f aca="false">'данные по моторизации'!B21</f>
        <v>44154.698825</v>
      </c>
      <c r="E41" s="580"/>
      <c r="F41" s="580"/>
      <c r="G41" s="580"/>
      <c r="H41" s="580"/>
      <c r="I41" s="580"/>
      <c r="J41" s="597"/>
      <c r="K41" s="590"/>
      <c r="L41" s="598"/>
      <c r="M41" s="590"/>
    </row>
    <row r="42" customFormat="false" ht="12.8" hidden="false" customHeight="false" outlineLevel="0" collapsed="false">
      <c r="C42" s="587" t="s">
        <v>575</v>
      </c>
      <c r="D42" s="580" t="n">
        <f aca="false">'данные по моторизации'!B22</f>
        <v>63619.842985</v>
      </c>
      <c r="E42" s="580"/>
      <c r="F42" s="580"/>
      <c r="G42" s="580"/>
      <c r="H42" s="580"/>
      <c r="I42" s="580"/>
      <c r="J42" s="597"/>
      <c r="K42" s="590"/>
      <c r="L42" s="598"/>
      <c r="M42" s="590"/>
    </row>
    <row r="43" customFormat="false" ht="12.8" hidden="false" customHeight="false" outlineLevel="0" collapsed="false">
      <c r="C43" s="587" t="s">
        <v>577</v>
      </c>
      <c r="D43" s="580" t="n">
        <f aca="false">'данные по моторизации'!B23</f>
        <v>67467.93145</v>
      </c>
      <c r="E43" s="580"/>
      <c r="F43" s="580"/>
      <c r="G43" s="580"/>
      <c r="H43" s="580"/>
      <c r="I43" s="580"/>
      <c r="J43" s="597"/>
      <c r="K43" s="590"/>
      <c r="L43" s="598"/>
      <c r="M43" s="590"/>
    </row>
    <row r="46" customFormat="false" ht="12.8" hidden="false" customHeight="false" outlineLevel="0" collapsed="false">
      <c r="C46" s="0" t="s">
        <v>678</v>
      </c>
    </row>
    <row r="48" customFormat="false" ht="12.8" hidden="false" customHeight="false" outlineLevel="0" collapsed="false">
      <c r="C48" s="581" t="s">
        <v>679</v>
      </c>
      <c r="D48" s="599" t="n">
        <f aca="false">M48*2</f>
        <v>836.4</v>
      </c>
      <c r="E48" s="599"/>
      <c r="F48" s="599"/>
      <c r="G48" s="599"/>
      <c r="H48" s="599"/>
      <c r="I48" s="599"/>
      <c r="J48" s="581"/>
      <c r="K48" s="581"/>
      <c r="L48" s="596" t="n">
        <v>4.92</v>
      </c>
      <c r="M48" s="599" t="n">
        <f aca="false">L48*$B$2</f>
        <v>418.2</v>
      </c>
    </row>
    <row r="49" customFormat="false" ht="12.8" hidden="false" customHeight="false" outlineLevel="0" collapsed="false">
      <c r="C49" s="600" t="s">
        <v>680</v>
      </c>
      <c r="D49" s="599" t="n">
        <f aca="false">M49*2</f>
        <v>105.930523845</v>
      </c>
      <c r="E49" s="599"/>
      <c r="F49" s="599"/>
      <c r="G49" s="599"/>
      <c r="H49" s="599"/>
      <c r="I49" s="599"/>
      <c r="J49" s="581"/>
      <c r="K49" s="581"/>
      <c r="L49" s="596" t="n">
        <f aca="false">'_Данные моторизация Амиго (комп'!I45</f>
        <v>0.6231207285</v>
      </c>
      <c r="M49" s="599" t="n">
        <f aca="false">L49*$B$2</f>
        <v>52.9652619225</v>
      </c>
    </row>
    <row r="50" customFormat="false" ht="12.8" hidden="false" customHeight="false" outlineLevel="0" collapsed="false">
      <c r="C50" s="600" t="s">
        <v>681</v>
      </c>
      <c r="D50" s="599" t="n">
        <f aca="false">M50*2</f>
        <v>135.5988</v>
      </c>
      <c r="E50" s="599"/>
      <c r="F50" s="599"/>
      <c r="G50" s="599"/>
      <c r="H50" s="599"/>
      <c r="I50" s="599"/>
      <c r="J50" s="581"/>
      <c r="K50" s="581"/>
      <c r="L50" s="596" t="n">
        <f aca="false">'_Данные моторизация Амиго (комп'!I46</f>
        <v>0.79764</v>
      </c>
      <c r="M50" s="599" t="n">
        <f aca="false">L50*$B$2</f>
        <v>67.7994</v>
      </c>
    </row>
    <row r="51" customFormat="false" ht="12.8" hidden="false" customHeight="false" outlineLevel="0" collapsed="false">
      <c r="C51" s="600" t="s">
        <v>682</v>
      </c>
      <c r="D51" s="599" t="n">
        <f aca="false">M51*2</f>
        <v>372.865451875</v>
      </c>
      <c r="E51" s="599"/>
      <c r="F51" s="599"/>
      <c r="G51" s="599"/>
      <c r="H51" s="599"/>
      <c r="I51" s="599"/>
      <c r="J51" s="581"/>
      <c r="K51" s="581"/>
      <c r="L51" s="596" t="n">
        <f aca="false">'_Данные моторизация Амиго (комп'!I47</f>
        <v>2.1933261875</v>
      </c>
      <c r="M51" s="599" t="n">
        <f aca="false">L51*$B$2</f>
        <v>186.4327259375</v>
      </c>
    </row>
    <row r="52" customFormat="false" ht="12.8" hidden="false" customHeight="false" outlineLevel="0" collapsed="false">
      <c r="C52" s="600" t="s">
        <v>683</v>
      </c>
      <c r="D52" s="599" t="n">
        <f aca="false">M52*2</f>
        <v>144.06198582</v>
      </c>
      <c r="E52" s="599"/>
      <c r="F52" s="599"/>
      <c r="G52" s="599"/>
      <c r="H52" s="599"/>
      <c r="I52" s="599"/>
      <c r="J52" s="581"/>
      <c r="K52" s="581"/>
      <c r="L52" s="596" t="n">
        <f aca="false">'_Данные моторизация Амиго (комп'!I48</f>
        <v>0.847423446</v>
      </c>
      <c r="M52" s="599" t="n">
        <f aca="false">L52*$B$2</f>
        <v>72.03099291</v>
      </c>
      <c r="O52" s="489"/>
      <c r="P52" s="0" t="s">
        <v>684</v>
      </c>
    </row>
    <row r="53" customFormat="false" ht="12.8" hidden="false" customHeight="false" outlineLevel="0" collapsed="false">
      <c r="C53" s="600" t="s">
        <v>685</v>
      </c>
      <c r="D53" s="599" t="n">
        <f aca="false">M53*2</f>
        <v>160.98970998</v>
      </c>
      <c r="E53" s="599"/>
      <c r="F53" s="599"/>
      <c r="G53" s="599"/>
      <c r="H53" s="599"/>
      <c r="I53" s="599"/>
      <c r="J53" s="581"/>
      <c r="K53" s="581"/>
      <c r="L53" s="596" t="n">
        <f aca="false">'_Данные моторизация Амиго (комп'!I49</f>
        <v>0.946998294</v>
      </c>
      <c r="M53" s="599" t="n">
        <f aca="false">L53*$B$2</f>
        <v>80.49485499</v>
      </c>
    </row>
    <row r="54" customFormat="false" ht="12.8" hidden="false" customHeight="false" outlineLevel="0" collapsed="false">
      <c r="C54" s="600" t="s">
        <v>686</v>
      </c>
      <c r="D54" s="599" t="n">
        <f aca="false">M54*2</f>
        <v>194.90393512</v>
      </c>
      <c r="E54" s="599"/>
      <c r="F54" s="599"/>
      <c r="G54" s="599"/>
      <c r="H54" s="599"/>
      <c r="I54" s="599"/>
      <c r="J54" s="581"/>
      <c r="K54" s="581"/>
      <c r="L54" s="596" t="n">
        <f aca="false">'_Данные моторизация Амиго (комп'!I50</f>
        <v>1.146493736</v>
      </c>
      <c r="M54" s="599" t="n">
        <f aca="false">L54*$B$2</f>
        <v>97.45196756</v>
      </c>
    </row>
    <row r="55" customFormat="false" ht="12.8" hidden="false" customHeight="false" outlineLevel="0" collapsed="false">
      <c r="C55" s="601" t="s">
        <v>687</v>
      </c>
      <c r="D55" s="599" t="n">
        <f aca="false">M55*2</f>
        <v>630.983856905</v>
      </c>
      <c r="E55" s="599"/>
      <c r="F55" s="599"/>
      <c r="G55" s="599"/>
      <c r="H55" s="599"/>
      <c r="I55" s="599"/>
      <c r="J55" s="581"/>
      <c r="K55" s="581"/>
      <c r="L55" s="596" t="n">
        <f aca="false">'_Данные моторизация Амиго (комп'!I51</f>
        <v>3.7116697465</v>
      </c>
      <c r="M55" s="599" t="n">
        <f aca="false">L55*$B$2</f>
        <v>315.4919284525</v>
      </c>
    </row>
    <row r="56" customFormat="false" ht="12.8" hidden="false" customHeight="false" outlineLevel="0" collapsed="false">
      <c r="C56" s="581" t="s">
        <v>688</v>
      </c>
      <c r="D56" s="599" t="n">
        <f aca="false">M56*2</f>
        <v>446</v>
      </c>
      <c r="E56" s="599"/>
      <c r="F56" s="599"/>
      <c r="G56" s="599"/>
      <c r="H56" s="599"/>
      <c r="I56" s="599"/>
      <c r="J56" s="581"/>
      <c r="K56" s="581"/>
      <c r="L56" s="596"/>
      <c r="M56" s="602" t="n">
        <v>223</v>
      </c>
    </row>
    <row r="57" customFormat="false" ht="12.8" hidden="false" customHeight="false" outlineLevel="0" collapsed="false">
      <c r="C57" s="603" t="s">
        <v>689</v>
      </c>
      <c r="D57" s="602" t="n">
        <v>30</v>
      </c>
      <c r="E57" s="602"/>
      <c r="F57" s="599"/>
      <c r="G57" s="599"/>
      <c r="H57" s="599"/>
      <c r="I57" s="599"/>
      <c r="J57" s="581"/>
      <c r="K57" s="581"/>
      <c r="L57" s="604" t="n">
        <v>0.0216955615</v>
      </c>
      <c r="M57" s="599" t="n">
        <f aca="false">L57*$B$2</f>
        <v>1.8441227275</v>
      </c>
    </row>
    <row r="58" customFormat="false" ht="12.8" hidden="false" customHeight="false" outlineLevel="0" collapsed="false">
      <c r="C58" s="590" t="s">
        <v>690</v>
      </c>
      <c r="D58" s="599" t="n">
        <f aca="false">M58*2</f>
        <v>320</v>
      </c>
      <c r="E58" s="599"/>
      <c r="F58" s="599"/>
      <c r="G58" s="599"/>
      <c r="H58" s="599"/>
      <c r="I58" s="599"/>
      <c r="J58" s="581"/>
      <c r="K58" s="581"/>
      <c r="L58" s="596"/>
      <c r="M58" s="605" t="n">
        <v>160</v>
      </c>
    </row>
    <row r="59" customFormat="false" ht="12.8" hidden="false" customHeight="false" outlineLevel="0" collapsed="false">
      <c r="C59" s="590" t="s">
        <v>691</v>
      </c>
      <c r="D59" s="599" t="n">
        <f aca="false">M59*2</f>
        <v>20</v>
      </c>
      <c r="E59" s="599"/>
      <c r="F59" s="599"/>
      <c r="G59" s="599"/>
      <c r="H59" s="599"/>
      <c r="I59" s="599"/>
      <c r="J59" s="581"/>
      <c r="K59" s="581"/>
      <c r="L59" s="596"/>
      <c r="M59" s="605" t="n">
        <v>10</v>
      </c>
    </row>
    <row r="60" customFormat="false" ht="12.8" hidden="false" customHeight="false" outlineLevel="0" collapsed="false">
      <c r="C60" s="606"/>
      <c r="D60" s="606"/>
      <c r="E60" s="606"/>
      <c r="F60" s="606"/>
      <c r="G60" s="606"/>
      <c r="H60" s="606"/>
      <c r="I60" s="606"/>
      <c r="J60" s="606"/>
      <c r="K60" s="606"/>
      <c r="L60" s="607"/>
      <c r="M60" s="608"/>
    </row>
    <row r="61" customFormat="false" ht="12.8" hidden="false" customHeight="false" outlineLevel="0" collapsed="false">
      <c r="C61" s="606" t="s">
        <v>692</v>
      </c>
      <c r="D61" s="606"/>
      <c r="E61" s="606"/>
      <c r="F61" s="609" t="n">
        <f aca="false">D49+D50+D51+(D53*2)</f>
        <v>936.37419568</v>
      </c>
      <c r="G61" s="606"/>
      <c r="H61" s="606"/>
      <c r="I61" s="606"/>
      <c r="J61" s="606"/>
      <c r="K61" s="606"/>
      <c r="L61" s="607"/>
      <c r="M61" s="608"/>
    </row>
    <row r="62" customFormat="false" ht="12.8" hidden="false" customHeight="false" outlineLevel="0" collapsed="false">
      <c r="C62" s="581" t="s">
        <v>693</v>
      </c>
      <c r="D62" s="610" t="n">
        <v>2000</v>
      </c>
      <c r="E62" s="610"/>
      <c r="F62" s="610"/>
      <c r="G62" s="610"/>
      <c r="H62" s="610"/>
      <c r="I62" s="610"/>
      <c r="J62" s="606"/>
      <c r="K62" s="606"/>
      <c r="L62" s="607"/>
      <c r="M62" s="608"/>
    </row>
    <row r="63" customFormat="false" ht="12.8" hidden="false" customHeight="false" outlineLevel="0" collapsed="false">
      <c r="C63" s="581" t="s">
        <v>694</v>
      </c>
      <c r="D63" s="610"/>
      <c r="E63" s="610"/>
      <c r="F63" s="610"/>
      <c r="G63" s="610"/>
      <c r="H63" s="610"/>
      <c r="I63" s="610"/>
      <c r="J63" s="606"/>
      <c r="K63" s="606"/>
      <c r="L63" s="607"/>
      <c r="M63" s="608"/>
    </row>
    <row r="64" customFormat="false" ht="12.8" hidden="false" customHeight="false" outlineLevel="0" collapsed="false">
      <c r="C64" s="581" t="s">
        <v>695</v>
      </c>
      <c r="D64" s="610" t="n">
        <v>500</v>
      </c>
      <c r="E64" s="610"/>
      <c r="F64" s="610"/>
      <c r="G64" s="610"/>
      <c r="H64" s="610"/>
      <c r="I64" s="610"/>
      <c r="J64" s="606"/>
      <c r="K64" s="606"/>
      <c r="L64" s="607"/>
      <c r="M64" s="608"/>
    </row>
    <row r="65" customFormat="false" ht="12.8" hidden="false" customHeight="false" outlineLevel="0" collapsed="false">
      <c r="C65" s="606"/>
      <c r="D65" s="606"/>
      <c r="E65" s="606"/>
      <c r="F65" s="606"/>
      <c r="G65" s="606"/>
      <c r="H65" s="606"/>
      <c r="I65" s="606"/>
      <c r="J65" s="606"/>
      <c r="K65" s="606"/>
      <c r="L65" s="607"/>
      <c r="M65" s="608"/>
    </row>
    <row r="66" customFormat="false" ht="12.8" hidden="false" customHeight="false" outlineLevel="0" collapsed="false">
      <c r="C66" s="611" t="s">
        <v>696</v>
      </c>
      <c r="D66" s="612" t="n">
        <f aca="false">D49+D50+D51+D58+D62+D64+(D53*2)</f>
        <v>3756.37419568</v>
      </c>
      <c r="E66" s="612"/>
      <c r="F66" s="612"/>
      <c r="G66" s="612"/>
      <c r="H66" s="612"/>
      <c r="I66" s="612"/>
      <c r="J66" s="606"/>
      <c r="K66" s="606"/>
      <c r="L66" s="607"/>
      <c r="M66" s="608"/>
    </row>
    <row r="67" customFormat="false" ht="19.25" hidden="false" customHeight="false" outlineLevel="0" collapsed="false">
      <c r="C67" s="611" t="s">
        <v>697</v>
      </c>
      <c r="D67" s="612" t="n">
        <f aca="false">(D48*1.2)+(D55*1.2)+(D56*1.2)+(2*D59)</f>
        <v>2336.060628286</v>
      </c>
      <c r="E67" s="612"/>
      <c r="F67" s="612"/>
      <c r="G67" s="612"/>
      <c r="H67" s="612"/>
      <c r="I67" s="612"/>
      <c r="J67" s="606"/>
      <c r="K67" s="606"/>
      <c r="L67" s="607"/>
      <c r="M67" s="608"/>
    </row>
    <row r="68" customFormat="false" ht="12.8" hidden="false" customHeight="false" outlineLevel="0" collapsed="false">
      <c r="C68" s="613" t="s">
        <v>698</v>
      </c>
      <c r="D68" s="612" t="n">
        <f aca="false">D52+D54+(3*D57)</f>
        <v>428.96592094</v>
      </c>
      <c r="E68" s="612"/>
      <c r="F68" s="582"/>
      <c r="G68" s="582"/>
      <c r="H68" s="582"/>
      <c r="I68" s="582"/>
      <c r="J68" s="606"/>
      <c r="K68" s="606"/>
      <c r="L68" s="607"/>
      <c r="M68" s="608"/>
    </row>
    <row r="69" customFormat="false" ht="12.8" hidden="false" customHeight="false" outlineLevel="0" collapsed="false">
      <c r="C69" s="606"/>
      <c r="D69" s="606"/>
      <c r="E69" s="606"/>
      <c r="F69" s="606"/>
      <c r="G69" s="606"/>
      <c r="H69" s="606"/>
      <c r="I69" s="606"/>
      <c r="J69" s="606"/>
      <c r="K69" s="606"/>
      <c r="L69" s="607"/>
      <c r="M69" s="608"/>
    </row>
    <row r="70" customFormat="false" ht="12.8" hidden="false" customHeight="false" outlineLevel="0" collapsed="false">
      <c r="C70" s="606"/>
      <c r="D70" s="606"/>
      <c r="E70" s="606"/>
      <c r="F70" s="606"/>
      <c r="G70" s="606"/>
      <c r="H70" s="606"/>
      <c r="I70" s="606"/>
      <c r="J70" s="606"/>
      <c r="K70" s="606"/>
      <c r="L70" s="607"/>
      <c r="M70" s="608"/>
    </row>
    <row r="71" customFormat="false" ht="28.3" hidden="false" customHeight="false" outlineLevel="0" collapsed="false">
      <c r="C71" s="614" t="s">
        <v>699</v>
      </c>
      <c r="D71" s="615" t="s">
        <v>700</v>
      </c>
      <c r="E71" s="615"/>
      <c r="F71" s="615"/>
      <c r="G71" s="615"/>
      <c r="H71" s="615"/>
      <c r="I71" s="615"/>
      <c r="J71" s="581"/>
      <c r="K71" s="581"/>
      <c r="L71" s="596" t="n">
        <f aca="false">'_Данные моторизация Амиго (комп'!I108</f>
        <v>11.6584686835</v>
      </c>
      <c r="M71" s="599" t="n">
        <f aca="false">L71*$B$2</f>
        <v>990.9698380975</v>
      </c>
    </row>
  </sheetData>
  <mergeCells count="1">
    <mergeCell ref="J9:Q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35"/>
  <sheetViews>
    <sheetView showFormulas="false" showGridLines="true" showRowColHeaders="true" showZeros="true" rightToLeft="false" tabSelected="false" showOutlineSymbols="true" defaultGridColor="true" view="normal" topLeftCell="A94" colorId="64" zoomScale="110" zoomScaleNormal="110" zoomScalePageLayoutView="100" workbookViewId="0">
      <selection pane="topLeft" activeCell="K116" activeCellId="0" sqref="K116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0.97"/>
    <col collapsed="false" customWidth="true" hidden="false" outlineLevel="0" max="2" min="2" style="0" width="13.55"/>
    <col collapsed="false" customWidth="true" hidden="false" outlineLevel="0" max="3" min="3" style="0" width="10.99"/>
    <col collapsed="false" customWidth="true" hidden="false" outlineLevel="0" max="6" min="6" style="0" width="15.61"/>
    <col collapsed="false" customWidth="true" hidden="false" outlineLevel="0" max="8" min="8" style="0" width="16.35"/>
    <col collapsed="false" customWidth="true" hidden="false" outlineLevel="0" max="17" min="17" style="0" width="64.14"/>
  </cols>
  <sheetData>
    <row r="1" customFormat="false" ht="12.8" hidden="false" customHeight="false" outlineLevel="0" collapsed="false">
      <c r="B1" s="4" t="s">
        <v>0</v>
      </c>
      <c r="C1" s="5" t="s">
        <v>1</v>
      </c>
      <c r="D1" s="6" t="s">
        <v>2</v>
      </c>
    </row>
    <row r="2" customFormat="false" ht="12.8" hidden="false" customHeight="false" outlineLevel="0" collapsed="false">
      <c r="B2" s="310" t="n">
        <f aca="false">'ШАБЛОН РАСЧЁТА'!B2</f>
        <v>85</v>
      </c>
      <c r="C2" s="310" t="n">
        <f aca="false">'ШАБЛОН РАСЧЁТА'!C2</f>
        <v>120</v>
      </c>
      <c r="D2" s="310" t="n">
        <f aca="false">'ШАБЛОН РАСЧЁТА'!D2</f>
        <v>12.54</v>
      </c>
    </row>
    <row r="5" customFormat="false" ht="12.8" hidden="false" customHeight="false" outlineLevel="0" collapsed="false">
      <c r="B5" s="0" t="s">
        <v>701</v>
      </c>
      <c r="D5" s="616" t="n">
        <v>78.58</v>
      </c>
      <c r="E5" s="616" t="n">
        <v>113.88</v>
      </c>
      <c r="F5" s="616" t="n">
        <v>149.19</v>
      </c>
      <c r="G5" s="616" t="n">
        <v>184.5</v>
      </c>
      <c r="H5" s="616" t="n">
        <v>219.8</v>
      </c>
      <c r="I5" s="616" t="n">
        <v>255.11</v>
      </c>
      <c r="J5" s="616" t="n">
        <v>290.42</v>
      </c>
      <c r="K5" s="616" t="n">
        <v>325.73</v>
      </c>
      <c r="L5" s="616" t="n">
        <v>361.04</v>
      </c>
      <c r="M5" s="616" t="n">
        <v>396.35</v>
      </c>
      <c r="N5" s="616" t="n">
        <v>431.66</v>
      </c>
      <c r="O5" s="616" t="n">
        <v>466.97</v>
      </c>
    </row>
    <row r="6" customFormat="false" ht="12.8" hidden="false" customHeight="false" outlineLevel="0" collapsed="false">
      <c r="D6" s="617" t="n">
        <f aca="false">ROUNDDOWN(D5*$B$2,0)</f>
        <v>6679</v>
      </c>
      <c r="E6" s="617" t="n">
        <f aca="false">ROUNDDOWN(E5*$B$2,0)</f>
        <v>9679</v>
      </c>
      <c r="F6" s="617" t="n">
        <f aca="false">ROUNDDOWN(F5*$B$2,0)</f>
        <v>12681</v>
      </c>
      <c r="G6" s="617" t="n">
        <f aca="false">ROUNDDOWN(G5*$B$2,0)</f>
        <v>15682</v>
      </c>
      <c r="H6" s="617" t="n">
        <f aca="false">ROUNDDOWN(H5*$B$2,0)</f>
        <v>18683</v>
      </c>
      <c r="I6" s="617" t="n">
        <f aca="false">ROUNDDOWN(I5*$B$2,0)</f>
        <v>21684</v>
      </c>
      <c r="J6" s="617" t="n">
        <f aca="false">ROUNDDOWN(J5*$B$2,0)</f>
        <v>24685</v>
      </c>
      <c r="K6" s="617" t="n">
        <f aca="false">ROUNDDOWN(K5*$B$2,0)</f>
        <v>27687</v>
      </c>
      <c r="L6" s="617" t="n">
        <f aca="false">ROUNDDOWN(L5*$B$2,0)</f>
        <v>30688</v>
      </c>
      <c r="M6" s="617" t="n">
        <f aca="false">ROUNDDOWN(M5*$B$2,0)</f>
        <v>33689</v>
      </c>
      <c r="N6" s="617" t="n">
        <f aca="false">ROUNDDOWN(N5*$B$2,0)</f>
        <v>36691</v>
      </c>
      <c r="O6" s="617" t="n">
        <f aca="false">ROUNDDOWN(O5*$B$2,0)</f>
        <v>39692</v>
      </c>
    </row>
    <row r="7" customFormat="false" ht="12.8" hidden="false" customHeight="false" outlineLevel="0" collapsed="false">
      <c r="B7" s="0" t="s">
        <v>702</v>
      </c>
      <c r="D7" s="616" t="n">
        <v>209.47</v>
      </c>
      <c r="E7" s="616" t="n">
        <v>276.67</v>
      </c>
      <c r="F7" s="616" t="n">
        <v>343.88</v>
      </c>
      <c r="G7" s="616" t="n">
        <v>411.09</v>
      </c>
      <c r="H7" s="616" t="n">
        <v>478.29</v>
      </c>
      <c r="I7" s="616" t="n">
        <v>545.5</v>
      </c>
      <c r="J7" s="616" t="n">
        <v>623.79</v>
      </c>
      <c r="K7" s="616" t="n">
        <v>690.99</v>
      </c>
      <c r="L7" s="616" t="n">
        <v>758.2</v>
      </c>
      <c r="M7" s="616" t="n">
        <v>825.41</v>
      </c>
      <c r="N7" s="616" t="n">
        <v>892.61</v>
      </c>
      <c r="O7" s="616" t="n">
        <v>959.82</v>
      </c>
    </row>
    <row r="8" customFormat="false" ht="12.8" hidden="false" customHeight="false" outlineLevel="0" collapsed="false">
      <c r="D8" s="617" t="n">
        <f aca="false">ROUNDDOWN(D7*$B$2,0)</f>
        <v>17804</v>
      </c>
      <c r="E8" s="617" t="n">
        <f aca="false">ROUNDDOWN(E7*$B$2,0)</f>
        <v>23516</v>
      </c>
      <c r="F8" s="617" t="n">
        <f aca="false">ROUNDDOWN(F7*$B$2,0)</f>
        <v>29229</v>
      </c>
      <c r="G8" s="617" t="n">
        <f aca="false">ROUNDDOWN(G7*$B$2,0)</f>
        <v>34942</v>
      </c>
      <c r="H8" s="617" t="n">
        <f aca="false">ROUNDDOWN(H7*$B$2,0)</f>
        <v>40654</v>
      </c>
      <c r="I8" s="617" t="n">
        <f aca="false">ROUNDDOWN(I7*$B$2,0)</f>
        <v>46367</v>
      </c>
      <c r="J8" s="617" t="n">
        <f aca="false">ROUNDDOWN(J7*$B$2,0)</f>
        <v>53022</v>
      </c>
      <c r="K8" s="617" t="n">
        <f aca="false">ROUNDDOWN(K7*$B$2,0)</f>
        <v>58734</v>
      </c>
      <c r="L8" s="617" t="n">
        <f aca="false">ROUNDDOWN(L7*$B$2,0)</f>
        <v>64447</v>
      </c>
      <c r="M8" s="617" t="n">
        <f aca="false">ROUNDDOWN(M7*$B$2,0)</f>
        <v>70159</v>
      </c>
      <c r="N8" s="617" t="n">
        <f aca="false">ROUNDDOWN(N7*$B$2,0)</f>
        <v>75871</v>
      </c>
      <c r="O8" s="617" t="n">
        <f aca="false">ROUNDDOWN(O7*$B$2,0)</f>
        <v>81584</v>
      </c>
    </row>
    <row r="10" s="616" customFormat="true" ht="12.8" hidden="false" customHeight="false" outlineLevel="0" collapsed="false">
      <c r="D10" s="459" t="s">
        <v>703</v>
      </c>
      <c r="E10" s="459" t="s">
        <v>704</v>
      </c>
      <c r="F10" s="459" t="s">
        <v>705</v>
      </c>
      <c r="G10" s="459" t="s">
        <v>706</v>
      </c>
      <c r="H10" s="459" t="s">
        <v>707</v>
      </c>
      <c r="I10" s="459" t="s">
        <v>708</v>
      </c>
      <c r="J10" s="459" t="s">
        <v>709</v>
      </c>
      <c r="K10" s="459" t="s">
        <v>710</v>
      </c>
      <c r="L10" s="459" t="s">
        <v>711</v>
      </c>
      <c r="M10" s="459" t="s">
        <v>712</v>
      </c>
      <c r="N10" s="459" t="s">
        <v>713</v>
      </c>
      <c r="O10" s="459" t="s">
        <v>714</v>
      </c>
    </row>
    <row r="11" customFormat="false" ht="12.8" hidden="false" customHeight="false" outlineLevel="0" collapsed="false">
      <c r="A11" s="331" t="s">
        <v>715</v>
      </c>
      <c r="B11" s="618" t="n">
        <v>183.882352941176</v>
      </c>
      <c r="C11" s="618" t="n">
        <f aca="false">B11*$B$2</f>
        <v>15630</v>
      </c>
      <c r="D11" s="0" t="n">
        <f aca="false">ROUNDDOWN($C$11+D6,-2)</f>
        <v>22300</v>
      </c>
      <c r="E11" s="0" t="n">
        <f aca="false">ROUNDDOWN($C$11+E6,-2)</f>
        <v>25300</v>
      </c>
      <c r="F11" s="0" t="n">
        <f aca="false">ROUNDDOWN($C$11+F6,-2)</f>
        <v>28300</v>
      </c>
      <c r="G11" s="0" t="n">
        <f aca="false">ROUNDDOWN($C$11+G6,-2)</f>
        <v>31300</v>
      </c>
      <c r="H11" s="0" t="n">
        <f aca="false">ROUNDDOWN($C$11+H6,-2)</f>
        <v>34300</v>
      </c>
      <c r="I11" s="0" t="n">
        <f aca="false">ROUNDDOWN($C$11+I6,-2)</f>
        <v>37300</v>
      </c>
      <c r="J11" s="0" t="n">
        <f aca="false">ROUNDDOWN($C$11+J6,-2)</f>
        <v>40300</v>
      </c>
      <c r="K11" s="0" t="n">
        <f aca="false">ROUNDDOWN($C$11+K6,-2)</f>
        <v>43300</v>
      </c>
      <c r="L11" s="616" t="s">
        <v>166</v>
      </c>
      <c r="M11" s="616" t="s">
        <v>166</v>
      </c>
      <c r="N11" s="616" t="s">
        <v>166</v>
      </c>
      <c r="O11" s="616" t="s">
        <v>166</v>
      </c>
    </row>
    <row r="12" customFormat="false" ht="12.8" hidden="false" customHeight="false" outlineLevel="0" collapsed="false">
      <c r="A12" s="331" t="s">
        <v>716</v>
      </c>
      <c r="B12" s="618" t="n">
        <v>175.764705882352</v>
      </c>
      <c r="C12" s="618" t="n">
        <f aca="false">B12*$B$2</f>
        <v>14939.9999999999</v>
      </c>
      <c r="D12" s="0" t="n">
        <f aca="false">ROUNDDOWN($C$12+D6,-2)</f>
        <v>21600</v>
      </c>
      <c r="E12" s="0" t="n">
        <f aca="false">ROUNDDOWN($C$12+E6,-2)</f>
        <v>24600</v>
      </c>
      <c r="F12" s="0" t="n">
        <f aca="false">ROUNDDOWN($C$12+F6,-2)</f>
        <v>27600</v>
      </c>
      <c r="G12" s="0" t="n">
        <f aca="false">ROUNDDOWN($C$12+G6,-2)</f>
        <v>30600</v>
      </c>
      <c r="H12" s="0" t="n">
        <f aca="false">ROUNDDOWN($C$12+H6,-2)</f>
        <v>33600</v>
      </c>
      <c r="I12" s="0" t="n">
        <f aca="false">ROUNDDOWN($C$12+I6,-2)</f>
        <v>36600</v>
      </c>
      <c r="J12" s="0" t="n">
        <f aca="false">ROUNDDOWN($C$12+J6,-2)</f>
        <v>39600</v>
      </c>
      <c r="K12" s="0" t="n">
        <f aca="false">ROUNDDOWN($C$12+K6,-2)</f>
        <v>42600</v>
      </c>
      <c r="L12" s="616" t="s">
        <v>166</v>
      </c>
      <c r="M12" s="616" t="s">
        <v>166</v>
      </c>
      <c r="N12" s="616" t="s">
        <v>166</v>
      </c>
      <c r="O12" s="616" t="s">
        <v>166</v>
      </c>
    </row>
    <row r="13" customFormat="false" ht="12.8" hidden="false" customHeight="false" outlineLevel="0" collapsed="false">
      <c r="A13" s="331" t="s">
        <v>717</v>
      </c>
      <c r="B13" s="618" t="n">
        <v>189.647058823529</v>
      </c>
      <c r="C13" s="618" t="n">
        <f aca="false">B13*$B$2</f>
        <v>16120</v>
      </c>
      <c r="D13" s="0" t="n">
        <f aca="false">ROUNDDOWN($C$13+D6,-2)</f>
        <v>22700</v>
      </c>
      <c r="E13" s="0" t="n">
        <f aca="false">ROUNDDOWN($C$13+E6,-2)</f>
        <v>25700</v>
      </c>
      <c r="F13" s="0" t="n">
        <f aca="false">ROUNDDOWN($C$13+F6,-2)</f>
        <v>28800</v>
      </c>
      <c r="G13" s="0" t="n">
        <f aca="false">ROUNDDOWN($C$13+G6,-2)</f>
        <v>31800</v>
      </c>
      <c r="H13" s="0" t="n">
        <f aca="false">ROUNDDOWN($C$13+H6,-2)</f>
        <v>34800</v>
      </c>
      <c r="I13" s="0" t="n">
        <f aca="false">ROUNDDOWN($C$13+I6,-2)</f>
        <v>37800</v>
      </c>
      <c r="J13" s="0" t="n">
        <f aca="false">ROUNDDOWN($C$13+J6,-2)</f>
        <v>40800</v>
      </c>
      <c r="K13" s="0" t="n">
        <f aca="false">ROUNDDOWN($C$13+K6,-2)</f>
        <v>43800</v>
      </c>
      <c r="L13" s="616" t="s">
        <v>166</v>
      </c>
      <c r="M13" s="616" t="s">
        <v>166</v>
      </c>
      <c r="N13" s="616" t="s">
        <v>166</v>
      </c>
      <c r="O13" s="616" t="s">
        <v>166</v>
      </c>
    </row>
    <row r="14" customFormat="false" ht="12.8" hidden="false" customHeight="false" outlineLevel="0" collapsed="false">
      <c r="A14" s="331" t="s">
        <v>718</v>
      </c>
      <c r="B14" s="618" t="n">
        <v>261.999999999999</v>
      </c>
      <c r="C14" s="618" t="n">
        <f aca="false">B14*$B$2</f>
        <v>22269.9999999999</v>
      </c>
      <c r="D14" s="0" t="n">
        <f aca="false">ROUNDDOWN($C$14+D6,-2)</f>
        <v>28900</v>
      </c>
      <c r="E14" s="0" t="n">
        <f aca="false">ROUNDDOWN($C$14+E6,-2)</f>
        <v>31900</v>
      </c>
      <c r="F14" s="0" t="n">
        <f aca="false">ROUNDDOWN($C$14+F6,-2)</f>
        <v>34900</v>
      </c>
      <c r="G14" s="0" t="n">
        <f aca="false">ROUNDDOWN($C$14+G6,-2)</f>
        <v>37900</v>
      </c>
      <c r="H14" s="0" t="n">
        <f aca="false">ROUNDDOWN($C$14+H6,-2)</f>
        <v>40900</v>
      </c>
      <c r="I14" s="0" t="n">
        <f aca="false">ROUNDDOWN($C$14+I6,-2)</f>
        <v>43900</v>
      </c>
      <c r="J14" s="616" t="s">
        <v>166</v>
      </c>
      <c r="K14" s="616" t="s">
        <v>166</v>
      </c>
      <c r="L14" s="616" t="s">
        <v>166</v>
      </c>
      <c r="M14" s="616" t="s">
        <v>166</v>
      </c>
      <c r="N14" s="616" t="s">
        <v>166</v>
      </c>
      <c r="O14" s="616" t="s">
        <v>166</v>
      </c>
    </row>
    <row r="15" customFormat="false" ht="12.8" hidden="false" customHeight="false" outlineLevel="0" collapsed="false">
      <c r="A15" s="619" t="s">
        <v>719</v>
      </c>
      <c r="B15" s="618" t="n">
        <v>408.941176470587</v>
      </c>
      <c r="C15" s="618" t="n">
        <f aca="false">B15*$B$2</f>
        <v>34759.9999999999</v>
      </c>
      <c r="D15" s="0" t="n">
        <f aca="false">ROUNDDOWN($C$15+D6,-2)</f>
        <v>41400</v>
      </c>
      <c r="E15" s="0" t="n">
        <f aca="false">ROUNDDOWN($C$15+E6,-2)</f>
        <v>44400</v>
      </c>
      <c r="F15" s="0" t="n">
        <f aca="false">ROUNDDOWN($C$15+F6,-2)</f>
        <v>47400</v>
      </c>
      <c r="G15" s="0" t="n">
        <f aca="false">ROUNDDOWN($C$15+G6,-2)</f>
        <v>50400</v>
      </c>
      <c r="H15" s="0" t="n">
        <f aca="false">ROUNDDOWN($C$15+H6,-2)</f>
        <v>53400</v>
      </c>
      <c r="I15" s="0" t="n">
        <f aca="false">ROUNDDOWN($C$15+I6,-2)</f>
        <v>56400</v>
      </c>
      <c r="J15" s="0" t="n">
        <f aca="false">ROUNDDOWN($C$15+J6,-2)</f>
        <v>59400</v>
      </c>
      <c r="K15" s="0" t="n">
        <f aca="false">ROUNDDOWN($C$15+K6,-2)</f>
        <v>62400</v>
      </c>
      <c r="L15" s="0" t="n">
        <f aca="false">ROUNDDOWN($C$15+L6,-2)</f>
        <v>65400</v>
      </c>
      <c r="M15" s="0" t="n">
        <f aca="false">ROUNDDOWN($C$15+M6,-2)</f>
        <v>68400</v>
      </c>
      <c r="N15" s="0" t="n">
        <f aca="false">ROUNDDOWN($C$15+N6,-2)</f>
        <v>71400</v>
      </c>
      <c r="O15" s="0" t="n">
        <f aca="false">ROUNDDOWN($C$15+O6,-2)</f>
        <v>74400</v>
      </c>
    </row>
    <row r="16" customFormat="false" ht="12.8" hidden="false" customHeight="false" outlineLevel="0" collapsed="false">
      <c r="A16" s="619" t="s">
        <v>720</v>
      </c>
      <c r="B16" s="618" t="n">
        <v>408.941176470587</v>
      </c>
      <c r="C16" s="618" t="n">
        <f aca="false">B16*$B$2</f>
        <v>34759.9999999999</v>
      </c>
      <c r="D16" s="0" t="n">
        <f aca="false">ROUNDDOWN($C$16+D6,-2)</f>
        <v>41400</v>
      </c>
      <c r="E16" s="0" t="n">
        <f aca="false">ROUNDDOWN($C$16+E6,-2)</f>
        <v>44400</v>
      </c>
      <c r="F16" s="0" t="n">
        <f aca="false">ROUNDDOWN($C$16+F6,-2)</f>
        <v>47400</v>
      </c>
      <c r="G16" s="0" t="n">
        <f aca="false">ROUNDDOWN($C$16+G6,-2)</f>
        <v>50400</v>
      </c>
      <c r="H16" s="0" t="n">
        <f aca="false">ROUNDDOWN($C$16+H6,-2)</f>
        <v>53400</v>
      </c>
      <c r="I16" s="0" t="n">
        <f aca="false">ROUNDDOWN($C$16+I6,-2)</f>
        <v>56400</v>
      </c>
      <c r="J16" s="0" t="n">
        <f aca="false">ROUNDDOWN($C$16+J6,-2)</f>
        <v>59400</v>
      </c>
      <c r="K16" s="0" t="n">
        <f aca="false">ROUNDDOWN($C$16+K6,-2)</f>
        <v>62400</v>
      </c>
      <c r="L16" s="0" t="n">
        <f aca="false">ROUNDDOWN($C$16+L6,-2)</f>
        <v>65400</v>
      </c>
      <c r="M16" s="0" t="n">
        <f aca="false">ROUNDDOWN($C$16+M6,-2)</f>
        <v>68400</v>
      </c>
      <c r="N16" s="0" t="n">
        <f aca="false">ROUNDDOWN($C$16+N6,-2)</f>
        <v>71400</v>
      </c>
      <c r="O16" s="0" t="n">
        <f aca="false">ROUNDDOWN($C$16+O6,-2)</f>
        <v>74400</v>
      </c>
    </row>
    <row r="17" customFormat="false" ht="12.8" hidden="false" customHeight="false" outlineLevel="0" collapsed="false">
      <c r="A17" s="619" t="s">
        <v>721</v>
      </c>
      <c r="B17" s="618" t="n">
        <v>474.941176470587</v>
      </c>
      <c r="C17" s="618" t="n">
        <f aca="false">B17*$B$2</f>
        <v>40369.9999999999</v>
      </c>
      <c r="D17" s="0" t="n">
        <f aca="false">ROUNDDOWN($C$17+D6,-2)</f>
        <v>47000</v>
      </c>
      <c r="E17" s="0" t="n">
        <f aca="false">ROUNDDOWN($C$17+E6,-2)</f>
        <v>50000</v>
      </c>
      <c r="F17" s="0" t="n">
        <f aca="false">ROUNDDOWN($C$17+F6,-2)</f>
        <v>53000</v>
      </c>
      <c r="G17" s="0" t="n">
        <f aca="false">ROUNDDOWN($C$17+G6,-2)</f>
        <v>56000</v>
      </c>
      <c r="H17" s="0" t="n">
        <f aca="false">ROUNDDOWN($C$17+H6,-2)</f>
        <v>59000</v>
      </c>
      <c r="I17" s="0" t="n">
        <f aca="false">ROUNDDOWN($C$17+I6,-2)</f>
        <v>62000</v>
      </c>
      <c r="J17" s="0" t="n">
        <f aca="false">ROUNDDOWN($C$17+J6,-2)</f>
        <v>65000</v>
      </c>
      <c r="K17" s="0" t="n">
        <f aca="false">ROUNDDOWN($C$17+K6,-2)</f>
        <v>68000</v>
      </c>
      <c r="L17" s="0" t="n">
        <f aca="false">ROUNDDOWN($C$17+L6,-2)</f>
        <v>71000</v>
      </c>
      <c r="M17" s="0" t="n">
        <f aca="false">ROUNDDOWN($C$17+M6,-2)</f>
        <v>74000</v>
      </c>
      <c r="N17" s="0" t="n">
        <f aca="false">ROUNDDOWN($C$17+N6,-2)</f>
        <v>77000</v>
      </c>
      <c r="O17" s="0" t="n">
        <f aca="false">ROUNDDOWN($C$17+O6,-2)</f>
        <v>80000</v>
      </c>
    </row>
    <row r="18" customFormat="false" ht="12.8" hidden="false" customHeight="false" outlineLevel="0" collapsed="false">
      <c r="A18" s="619" t="s">
        <v>722</v>
      </c>
      <c r="B18" s="618" t="n">
        <v>422.352941176469</v>
      </c>
      <c r="C18" s="618" t="n">
        <f aca="false">B18*$B$2</f>
        <v>35899.9999999999</v>
      </c>
      <c r="D18" s="0" t="n">
        <f aca="false">ROUNDDOWN($C$18+D6,-2)</f>
        <v>42500</v>
      </c>
      <c r="E18" s="0" t="n">
        <f aca="false">ROUNDDOWN($C$18+E6,-2)</f>
        <v>45500</v>
      </c>
      <c r="F18" s="0" t="n">
        <f aca="false">ROUNDDOWN($C$18+F6,-2)</f>
        <v>48500</v>
      </c>
      <c r="G18" s="0" t="n">
        <f aca="false">ROUNDDOWN($C$18+G6,-2)</f>
        <v>51500</v>
      </c>
      <c r="H18" s="0" t="n">
        <f aca="false">ROUNDDOWN($C$18+H6,-2)</f>
        <v>54500</v>
      </c>
      <c r="I18" s="0" t="n">
        <f aca="false">ROUNDDOWN($C$18+I6,-2)</f>
        <v>57500</v>
      </c>
      <c r="J18" s="0" t="n">
        <f aca="false">ROUNDDOWN($C$18+J6,-2)</f>
        <v>60500</v>
      </c>
      <c r="K18" s="0" t="n">
        <f aca="false">ROUNDDOWN($C$18+K6,-2)</f>
        <v>63500</v>
      </c>
      <c r="L18" s="0" t="n">
        <f aca="false">ROUNDDOWN($C$18+L6,-2)</f>
        <v>66500</v>
      </c>
      <c r="M18" s="0" t="n">
        <f aca="false">ROUNDDOWN($C$18+M6,-2)</f>
        <v>69500</v>
      </c>
      <c r="N18" s="0" t="n">
        <f aca="false">ROUNDDOWN($C$18+N6,-2)</f>
        <v>72500</v>
      </c>
      <c r="O18" s="0" t="n">
        <f aca="false">ROUNDDOWN($C$18+O6,-2)</f>
        <v>75500</v>
      </c>
    </row>
    <row r="19" customFormat="false" ht="12.8" hidden="false" customHeight="false" outlineLevel="0" collapsed="false">
      <c r="A19" s="619" t="s">
        <v>723</v>
      </c>
      <c r="B19" s="618" t="n">
        <v>488.470588235292</v>
      </c>
      <c r="C19" s="618" t="n">
        <f aca="false">B19*$B$2</f>
        <v>41519.9999999998</v>
      </c>
      <c r="D19" s="0" t="n">
        <f aca="false">ROUNDDOWN($C$19+D6,-2)</f>
        <v>48100</v>
      </c>
      <c r="E19" s="0" t="n">
        <f aca="false">ROUNDDOWN($C$19+E6,-2)</f>
        <v>51100</v>
      </c>
      <c r="F19" s="0" t="n">
        <f aca="false">ROUNDDOWN($C$19+F6,-2)</f>
        <v>54200</v>
      </c>
      <c r="G19" s="0" t="n">
        <f aca="false">ROUNDDOWN($C$19+G6,-2)</f>
        <v>57200</v>
      </c>
      <c r="H19" s="0" t="n">
        <f aca="false">ROUNDDOWN($C$19+H6,-2)</f>
        <v>60200</v>
      </c>
      <c r="I19" s="0" t="n">
        <f aca="false">ROUNDDOWN($C$19+I6,-2)</f>
        <v>63200</v>
      </c>
      <c r="J19" s="0" t="n">
        <f aca="false">ROUNDDOWN($C$19+J6,-2)</f>
        <v>66200</v>
      </c>
      <c r="K19" s="0" t="n">
        <f aca="false">ROUNDDOWN($C$19+K6,-2)</f>
        <v>69200</v>
      </c>
      <c r="L19" s="0" t="n">
        <f aca="false">ROUNDDOWN($C$19+L6,-2)</f>
        <v>72200</v>
      </c>
      <c r="M19" s="0" t="n">
        <f aca="false">ROUNDDOWN($C$19+M6,-2)</f>
        <v>75200</v>
      </c>
      <c r="N19" s="0" t="n">
        <f aca="false">ROUNDDOWN($C$19+N6,-2)</f>
        <v>78200</v>
      </c>
      <c r="O19" s="0" t="n">
        <f aca="false">ROUNDDOWN($C$19+O6,-2)</f>
        <v>81200</v>
      </c>
    </row>
    <row r="20" customFormat="false" ht="12.8" hidden="false" customHeight="false" outlineLevel="0" collapsed="false">
      <c r="A20" s="619" t="s">
        <v>724</v>
      </c>
      <c r="B20" s="618" t="n">
        <v>422.352941176469</v>
      </c>
      <c r="C20" s="618" t="n">
        <f aca="false">B20*$B$2</f>
        <v>35899.9999999999</v>
      </c>
      <c r="D20" s="0" t="n">
        <f aca="false">ROUNDDOWN($C$20+D6,-2)</f>
        <v>42500</v>
      </c>
      <c r="E20" s="0" t="n">
        <f aca="false">ROUNDDOWN($C$20+E6,-2)</f>
        <v>45500</v>
      </c>
      <c r="F20" s="0" t="n">
        <f aca="false">ROUNDDOWN($C$20+F6,-2)</f>
        <v>48500</v>
      </c>
      <c r="G20" s="0" t="n">
        <f aca="false">ROUNDDOWN($C$20+G6,-2)</f>
        <v>51500</v>
      </c>
      <c r="H20" s="0" t="n">
        <f aca="false">ROUNDDOWN($C$20+H6,-2)</f>
        <v>54500</v>
      </c>
      <c r="I20" s="0" t="n">
        <f aca="false">ROUNDDOWN($C$20+I6,-2)</f>
        <v>57500</v>
      </c>
      <c r="J20" s="0" t="n">
        <f aca="false">ROUNDDOWN($C$20+J6,-2)</f>
        <v>60500</v>
      </c>
      <c r="K20" s="0" t="n">
        <f aca="false">ROUNDDOWN($C$20+K6,-2)</f>
        <v>63500</v>
      </c>
      <c r="L20" s="0" t="n">
        <f aca="false">ROUNDDOWN($C$20+L6,-2)</f>
        <v>66500</v>
      </c>
      <c r="M20" s="0" t="n">
        <f aca="false">ROUNDDOWN($C$20+M6,-2)</f>
        <v>69500</v>
      </c>
      <c r="N20" s="0" t="n">
        <f aca="false">ROUNDDOWN($C$20+N6,-2)</f>
        <v>72500</v>
      </c>
      <c r="O20" s="0" t="n">
        <f aca="false">ROUNDDOWN($C$20+O6,-2)</f>
        <v>75500</v>
      </c>
    </row>
    <row r="21" customFormat="false" ht="12.8" hidden="false" customHeight="false" outlineLevel="0" collapsed="false">
      <c r="A21" s="619" t="s">
        <v>725</v>
      </c>
      <c r="B21" s="618" t="n">
        <v>408.941176470587</v>
      </c>
      <c r="C21" s="618" t="n">
        <f aca="false">B21*$B$2</f>
        <v>34759.9999999999</v>
      </c>
      <c r="D21" s="0" t="n">
        <f aca="false">ROUNDDOWN($C$21+D8,-2)</f>
        <v>52500</v>
      </c>
      <c r="E21" s="0" t="n">
        <f aca="false">ROUNDDOWN($C$21+E8,-2)</f>
        <v>58200</v>
      </c>
      <c r="F21" s="0" t="n">
        <f aca="false">ROUNDDOWN($C$21+F8,-2)</f>
        <v>63900</v>
      </c>
      <c r="G21" s="0" t="n">
        <f aca="false">ROUNDDOWN($C$21+G8,-2)</f>
        <v>69700</v>
      </c>
      <c r="H21" s="0" t="n">
        <f aca="false">ROUNDDOWN($C$21+H8,-2)</f>
        <v>75400</v>
      </c>
      <c r="I21" s="0" t="n">
        <f aca="false">ROUNDDOWN($C$21+I8,-2)</f>
        <v>81100</v>
      </c>
      <c r="J21" s="0" t="n">
        <f aca="false">ROUNDDOWN($C$21+J8,-2)</f>
        <v>87700</v>
      </c>
      <c r="K21" s="0" t="n">
        <f aca="false">ROUNDDOWN($C$21+K8,-2)</f>
        <v>93400</v>
      </c>
      <c r="L21" s="0" t="n">
        <f aca="false">ROUNDDOWN($C$21+L8,-2)</f>
        <v>99200</v>
      </c>
      <c r="M21" s="0" t="n">
        <f aca="false">ROUNDDOWN($C$21+M8,-2)</f>
        <v>104900</v>
      </c>
      <c r="N21" s="0" t="n">
        <f aca="false">ROUNDDOWN($C$21+N8,-2)</f>
        <v>110600</v>
      </c>
      <c r="O21" s="0" t="n">
        <f aca="false">ROUNDDOWN($C$21+O8,-2)</f>
        <v>116300</v>
      </c>
    </row>
    <row r="22" customFormat="false" ht="12.8" hidden="false" customHeight="false" outlineLevel="0" collapsed="false">
      <c r="A22" s="620" t="s">
        <v>726</v>
      </c>
      <c r="B22" s="618" t="n">
        <v>408.941176470587</v>
      </c>
      <c r="C22" s="618" t="n">
        <f aca="false">B22*$B$2</f>
        <v>34759.9999999999</v>
      </c>
      <c r="D22" s="0" t="n">
        <f aca="false">ROUNDDOWN($C$22+D8,-2)</f>
        <v>52500</v>
      </c>
      <c r="E22" s="0" t="n">
        <f aca="false">ROUNDDOWN($C$22+E8,-2)</f>
        <v>58200</v>
      </c>
      <c r="F22" s="0" t="n">
        <f aca="false">ROUNDDOWN($C$22+F8,-2)</f>
        <v>63900</v>
      </c>
      <c r="G22" s="0" t="n">
        <f aca="false">ROUNDDOWN($C$22+G8,-2)</f>
        <v>69700</v>
      </c>
      <c r="H22" s="0" t="n">
        <f aca="false">ROUNDDOWN($C$22+H8,-2)</f>
        <v>75400</v>
      </c>
      <c r="I22" s="0" t="n">
        <f aca="false">ROUNDDOWN($C$22+I8,-2)</f>
        <v>81100</v>
      </c>
      <c r="J22" s="0" t="n">
        <f aca="false">ROUNDDOWN($C$22+J8,-2)</f>
        <v>87700</v>
      </c>
      <c r="K22" s="0" t="n">
        <f aca="false">ROUNDDOWN($C$22+K8,-2)</f>
        <v>93400</v>
      </c>
      <c r="L22" s="0" t="n">
        <f aca="false">ROUNDDOWN($C$22+L8,-2)</f>
        <v>99200</v>
      </c>
      <c r="M22" s="0" t="n">
        <f aca="false">ROUNDDOWN($C$22+M8,-2)</f>
        <v>104900</v>
      </c>
      <c r="N22" s="0" t="n">
        <f aca="false">ROUNDDOWN($C$22+N8,-2)</f>
        <v>110600</v>
      </c>
      <c r="O22" s="0" t="n">
        <f aca="false">ROUNDDOWN($C$22+O8,-2)</f>
        <v>116300</v>
      </c>
    </row>
    <row r="23" customFormat="false" ht="12.8" hidden="false" customHeight="false" outlineLevel="0" collapsed="false">
      <c r="A23" s="620" t="s">
        <v>727</v>
      </c>
      <c r="B23" s="618" t="n">
        <v>474.941176470587</v>
      </c>
      <c r="C23" s="618" t="n">
        <f aca="false">B23*$B$2</f>
        <v>40369.9999999999</v>
      </c>
      <c r="D23" s="0" t="n">
        <f aca="false">ROUNDDOWN($C$23+D8,-2)</f>
        <v>58100</v>
      </c>
      <c r="E23" s="0" t="n">
        <f aca="false">ROUNDDOWN($C$23+E8,-2)</f>
        <v>63800</v>
      </c>
      <c r="F23" s="0" t="n">
        <f aca="false">ROUNDDOWN($C$23+F8,-2)</f>
        <v>69500</v>
      </c>
      <c r="G23" s="0" t="n">
        <f aca="false">ROUNDDOWN($C$23+G8,-2)</f>
        <v>75300</v>
      </c>
      <c r="H23" s="0" t="n">
        <f aca="false">ROUNDDOWN($C$23+H8,-2)</f>
        <v>81000</v>
      </c>
      <c r="I23" s="0" t="n">
        <f aca="false">ROUNDDOWN($C$23+I8,-2)</f>
        <v>86700</v>
      </c>
      <c r="J23" s="0" t="n">
        <f aca="false">ROUNDDOWN($C$23+J8,-2)</f>
        <v>93300</v>
      </c>
      <c r="K23" s="0" t="n">
        <f aca="false">ROUNDDOWN($C$23+K8,-2)</f>
        <v>99100</v>
      </c>
      <c r="L23" s="0" t="n">
        <f aca="false">ROUNDDOWN($C$23+L8,-2)</f>
        <v>104800</v>
      </c>
      <c r="M23" s="0" t="n">
        <f aca="false">ROUNDDOWN($C$23+M8,-2)</f>
        <v>110500</v>
      </c>
      <c r="N23" s="0" t="n">
        <f aca="false">ROUNDDOWN($C$23+N8,-2)</f>
        <v>116200</v>
      </c>
      <c r="O23" s="0" t="n">
        <f aca="false">ROUNDDOWN($C$23+O8,-2)</f>
        <v>121900</v>
      </c>
    </row>
    <row r="24" customFormat="false" ht="12.8" hidden="false" customHeight="false" outlineLevel="0" collapsed="false">
      <c r="A24" s="619" t="s">
        <v>728</v>
      </c>
      <c r="B24" s="618" t="n">
        <v>422.352941176469</v>
      </c>
      <c r="C24" s="618" t="n">
        <f aca="false">B24*$B$2</f>
        <v>35899.9999999999</v>
      </c>
      <c r="D24" s="0" t="n">
        <f aca="false">ROUNDDOWN($C$24+D8,-2)</f>
        <v>53700</v>
      </c>
      <c r="E24" s="0" t="n">
        <f aca="false">ROUNDDOWN($C$24+E8,-2)</f>
        <v>59400</v>
      </c>
      <c r="F24" s="0" t="n">
        <f aca="false">ROUNDDOWN($C$24+F8,-2)</f>
        <v>65100</v>
      </c>
      <c r="G24" s="0" t="n">
        <f aca="false">ROUNDDOWN($C$24+G8,-2)</f>
        <v>70800</v>
      </c>
      <c r="H24" s="0" t="n">
        <f aca="false">ROUNDDOWN($C$24+H8,-2)</f>
        <v>76500</v>
      </c>
      <c r="I24" s="0" t="n">
        <f aca="false">ROUNDDOWN($C$24+I8,-2)</f>
        <v>82200</v>
      </c>
      <c r="J24" s="0" t="n">
        <f aca="false">ROUNDDOWN($C$24+J8,-2)</f>
        <v>88900</v>
      </c>
      <c r="K24" s="0" t="n">
        <f aca="false">ROUNDDOWN($C$24+K8,-2)</f>
        <v>94600</v>
      </c>
      <c r="L24" s="0" t="n">
        <f aca="false">ROUNDDOWN($C$24+L8,-2)</f>
        <v>100300</v>
      </c>
      <c r="M24" s="0" t="n">
        <f aca="false">ROUNDDOWN($C$24+M8,-2)</f>
        <v>106000</v>
      </c>
      <c r="N24" s="0" t="n">
        <f aca="false">ROUNDDOWN($C$24+N8,-2)</f>
        <v>111700</v>
      </c>
      <c r="O24" s="0" t="n">
        <f aca="false">ROUNDDOWN($C$24+O8,-2)</f>
        <v>117400</v>
      </c>
    </row>
    <row r="25" customFormat="false" ht="12.8" hidden="false" customHeight="false" outlineLevel="0" collapsed="false">
      <c r="A25" s="620" t="s">
        <v>729</v>
      </c>
      <c r="B25" s="618" t="n">
        <v>488.470588235292</v>
      </c>
      <c r="C25" s="618" t="n">
        <f aca="false">B25*$B$2</f>
        <v>41519.9999999998</v>
      </c>
      <c r="D25" s="0" t="n">
        <f aca="false">ROUNDDOWN($C$25+D8,-2)</f>
        <v>59300</v>
      </c>
      <c r="E25" s="0" t="n">
        <f aca="false">ROUNDDOWN($C$25+E8,-2)</f>
        <v>65000</v>
      </c>
      <c r="F25" s="0" t="n">
        <f aca="false">ROUNDDOWN($C$25+F8,-2)</f>
        <v>70700</v>
      </c>
      <c r="G25" s="0" t="n">
        <f aca="false">ROUNDDOWN($C$25+G8,-2)</f>
        <v>76400</v>
      </c>
      <c r="H25" s="0" t="n">
        <f aca="false">ROUNDDOWN($C$25+H8,-2)</f>
        <v>82100</v>
      </c>
      <c r="I25" s="0" t="n">
        <f aca="false">ROUNDDOWN($C$25+I8,-2)</f>
        <v>87800</v>
      </c>
      <c r="J25" s="0" t="n">
        <f aca="false">ROUNDDOWN($C$25+J8,-2)</f>
        <v>94500</v>
      </c>
      <c r="K25" s="0" t="n">
        <f aca="false">ROUNDDOWN($C$25+K8,-2)</f>
        <v>100200</v>
      </c>
      <c r="L25" s="0" t="n">
        <f aca="false">ROUNDDOWN($C$25+L8,-2)</f>
        <v>105900</v>
      </c>
      <c r="M25" s="0" t="n">
        <f aca="false">ROUNDDOWN($C$25+M8,-2)</f>
        <v>111600</v>
      </c>
      <c r="N25" s="0" t="n">
        <f aca="false">ROUNDDOWN($C$25+N8,-2)</f>
        <v>117300</v>
      </c>
      <c r="O25" s="0" t="n">
        <f aca="false">ROUNDDOWN($C$25+O8,-2)</f>
        <v>123100</v>
      </c>
    </row>
    <row r="26" customFormat="false" ht="12.8" hidden="false" customHeight="false" outlineLevel="0" collapsed="false">
      <c r="A26" s="620" t="s">
        <v>730</v>
      </c>
      <c r="B26" s="618" t="n">
        <v>422.352941176469</v>
      </c>
      <c r="C26" s="618" t="n">
        <f aca="false">B26*$B$2</f>
        <v>35899.9999999999</v>
      </c>
      <c r="D26" s="0" t="n">
        <f aca="false">ROUNDDOWN($C$26+D8,-2)</f>
        <v>53700</v>
      </c>
      <c r="E26" s="0" t="n">
        <f aca="false">ROUNDDOWN($C$26+E8,-2)</f>
        <v>59400</v>
      </c>
      <c r="F26" s="0" t="n">
        <f aca="false">ROUNDDOWN($C$26+F8,-2)</f>
        <v>65100</v>
      </c>
      <c r="G26" s="0" t="n">
        <f aca="false">ROUNDDOWN($C$26+G8,-2)</f>
        <v>70800</v>
      </c>
      <c r="H26" s="0" t="n">
        <f aca="false">ROUNDDOWN($C$26+H8,-2)</f>
        <v>76500</v>
      </c>
      <c r="I26" s="0" t="n">
        <f aca="false">ROUNDDOWN($C$26+I8,-2)</f>
        <v>82200</v>
      </c>
      <c r="J26" s="0" t="n">
        <f aca="false">ROUNDDOWN($C$26+J8,-2)</f>
        <v>88900</v>
      </c>
      <c r="K26" s="0" t="n">
        <f aca="false">ROUNDDOWN($C$26+K8,-2)</f>
        <v>94600</v>
      </c>
      <c r="L26" s="0" t="n">
        <f aca="false">ROUNDDOWN($C$26+L8,-2)</f>
        <v>100300</v>
      </c>
      <c r="M26" s="0" t="n">
        <f aca="false">ROUNDDOWN($C$26+M8,-2)</f>
        <v>106000</v>
      </c>
      <c r="N26" s="0" t="n">
        <f aca="false">ROUNDDOWN($C$26+N8,-2)</f>
        <v>111700</v>
      </c>
      <c r="O26" s="0" t="n">
        <f aca="false">ROUNDDOWN($C$26+O8,-2)</f>
        <v>117400</v>
      </c>
    </row>
    <row r="27" customFormat="false" ht="12.8" hidden="false" customHeight="false" outlineLevel="0" collapsed="false">
      <c r="A27" s="620" t="s">
        <v>731</v>
      </c>
      <c r="B27" s="620"/>
      <c r="C27" s="618"/>
      <c r="D27" s="0" t="n">
        <v>24800</v>
      </c>
      <c r="E27" s="0" t="n">
        <v>28500</v>
      </c>
      <c r="F27" s="0" t="n">
        <v>32200</v>
      </c>
      <c r="G27" s="0" t="n">
        <v>35900</v>
      </c>
      <c r="H27" s="0" t="n">
        <v>39600</v>
      </c>
      <c r="I27" s="0" t="n">
        <v>43400</v>
      </c>
      <c r="J27" s="0" t="n">
        <v>48000</v>
      </c>
      <c r="K27" s="0" t="n">
        <v>52800</v>
      </c>
      <c r="L27" s="0" t="s">
        <v>166</v>
      </c>
      <c r="M27" s="0" t="s">
        <v>166</v>
      </c>
      <c r="N27" s="0" t="s">
        <v>166</v>
      </c>
      <c r="O27" s="0" t="s">
        <v>166</v>
      </c>
    </row>
    <row r="28" customFormat="false" ht="12.8" hidden="false" customHeight="false" outlineLevel="0" collapsed="false">
      <c r="A28" s="331" t="s">
        <v>732</v>
      </c>
      <c r="B28" s="618" t="n">
        <v>359.764705882352</v>
      </c>
      <c r="C28" s="618" t="n">
        <f aca="false">B28*$B$2</f>
        <v>30579.9999999999</v>
      </c>
      <c r="D28" s="0" t="n">
        <f aca="false">ROUNDDOWN($C$28+D8,-2)</f>
        <v>48300</v>
      </c>
      <c r="E28" s="0" t="n">
        <f aca="false">ROUNDDOWN($C$28+E8,-2)</f>
        <v>54000</v>
      </c>
      <c r="F28" s="0" t="n">
        <f aca="false">ROUNDDOWN($C$28+F8,-2)</f>
        <v>59800</v>
      </c>
      <c r="G28" s="0" t="n">
        <f aca="false">ROUNDDOWN($C$28+G8,-2)</f>
        <v>65500</v>
      </c>
      <c r="H28" s="0" t="n">
        <f aca="false">ROUNDDOWN($C$28+H8,-2)</f>
        <v>71200</v>
      </c>
      <c r="I28" s="0" t="n">
        <f aca="false">ROUNDDOWN($C$28+I8,-2)</f>
        <v>76900</v>
      </c>
      <c r="J28" s="0" t="n">
        <f aca="false">ROUNDDOWN($C$28+J8,-2)</f>
        <v>83600</v>
      </c>
      <c r="K28" s="0" t="n">
        <f aca="false">ROUNDDOWN($C$28+K8,-2)</f>
        <v>89300</v>
      </c>
      <c r="L28" s="616" t="s">
        <v>166</v>
      </c>
      <c r="M28" s="616" t="s">
        <v>166</v>
      </c>
      <c r="N28" s="616" t="s">
        <v>166</v>
      </c>
      <c r="O28" s="616" t="s">
        <v>166</v>
      </c>
    </row>
    <row r="29" customFormat="false" ht="12.8" hidden="false" customHeight="false" outlineLevel="0" collapsed="false">
      <c r="A29" s="331" t="s">
        <v>733</v>
      </c>
      <c r="B29" s="618" t="n">
        <v>359.764705882352</v>
      </c>
      <c r="C29" s="618" t="n">
        <f aca="false">B29*$B$2</f>
        <v>30579.9999999999</v>
      </c>
      <c r="D29" s="0" t="n">
        <f aca="false">ROUNDDOWN($C$29+D8,-2)</f>
        <v>48300</v>
      </c>
      <c r="E29" s="0" t="n">
        <f aca="false">ROUNDDOWN($C$29+E8,-2)</f>
        <v>54000</v>
      </c>
      <c r="F29" s="0" t="n">
        <f aca="false">ROUNDDOWN($C$29+F8,-2)</f>
        <v>59800</v>
      </c>
      <c r="G29" s="0" t="n">
        <f aca="false">ROUNDDOWN($C$29+G8,-2)</f>
        <v>65500</v>
      </c>
      <c r="H29" s="0" t="n">
        <f aca="false">ROUNDDOWN($C$29+H8,-2)</f>
        <v>71200</v>
      </c>
      <c r="I29" s="0" t="n">
        <f aca="false">ROUNDDOWN($C$29+I8,-2)</f>
        <v>76900</v>
      </c>
      <c r="J29" s="0" t="n">
        <f aca="false">ROUNDDOWN($C$29+J8,-2)</f>
        <v>83600</v>
      </c>
      <c r="K29" s="0" t="n">
        <f aca="false">ROUNDDOWN($C$29+K8,-2)</f>
        <v>89300</v>
      </c>
      <c r="L29" s="616" t="s">
        <v>166</v>
      </c>
      <c r="M29" s="616" t="s">
        <v>166</v>
      </c>
      <c r="N29" s="616" t="s">
        <v>166</v>
      </c>
      <c r="O29" s="616" t="s">
        <v>166</v>
      </c>
    </row>
    <row r="33" customFormat="false" ht="12.8" hidden="false" customHeight="false" outlineLevel="0" collapsed="false">
      <c r="E33" s="621"/>
      <c r="F33" s="621"/>
      <c r="G33" s="621"/>
      <c r="H33" s="621"/>
      <c r="I33" s="621"/>
      <c r="J33" s="621"/>
      <c r="K33" s="621"/>
      <c r="L33" s="621"/>
      <c r="M33" s="621"/>
      <c r="N33" s="621"/>
      <c r="O33" s="621"/>
    </row>
    <row r="34" s="331" customFormat="true" ht="12.8" hidden="false" customHeight="false" outlineLevel="0" collapsed="false">
      <c r="A34" s="331" t="s">
        <v>734</v>
      </c>
      <c r="B34" s="0"/>
      <c r="D34" s="622" t="n">
        <v>225.333333333333</v>
      </c>
      <c r="E34" s="622" t="n">
        <v>261.333333333333</v>
      </c>
      <c r="F34" s="622" t="n">
        <v>297.333333333333</v>
      </c>
      <c r="G34" s="622" t="n">
        <v>333.333333333333</v>
      </c>
      <c r="H34" s="622" t="n">
        <v>369.333333333333</v>
      </c>
      <c r="I34" s="622" t="n">
        <v>405.333333333333</v>
      </c>
      <c r="J34" s="622" t="n">
        <v>454.666666666667</v>
      </c>
      <c r="K34" s="622" t="n">
        <v>504.000000000001</v>
      </c>
      <c r="L34" s="622" t="n">
        <v>553.333333333335</v>
      </c>
      <c r="M34" s="622" t="n">
        <v>602.666666666669</v>
      </c>
      <c r="N34" s="622" t="n">
        <v>652.000000000004</v>
      </c>
      <c r="O34" s="622" t="n">
        <v>701.333333333338</v>
      </c>
    </row>
    <row r="35" s="331" customFormat="true" ht="12.8" hidden="false" customHeight="false" outlineLevel="0" collapsed="false">
      <c r="B35" s="0"/>
      <c r="D35" s="623" t="n">
        <f aca="false">ROUNDDOWN(D34*$B$2,-2)</f>
        <v>19100</v>
      </c>
      <c r="E35" s="623" t="n">
        <f aca="false">ROUNDDOWN(E34*$B$2,-2)</f>
        <v>22200</v>
      </c>
      <c r="F35" s="623" t="n">
        <f aca="false">ROUNDDOWN(F34*$B$2,-2)</f>
        <v>25200</v>
      </c>
      <c r="G35" s="623" t="n">
        <f aca="false">ROUNDDOWN(G34*$B$2,-2)</f>
        <v>28300</v>
      </c>
      <c r="H35" s="623" t="n">
        <f aca="false">ROUNDDOWN(H34*$B$2,-2)</f>
        <v>31300</v>
      </c>
      <c r="I35" s="623" t="n">
        <f aca="false">ROUNDDOWN(I34*$B$2,-2)</f>
        <v>34400</v>
      </c>
      <c r="J35" s="623" t="n">
        <f aca="false">ROUNDDOWN(J34*$B$2,-2)</f>
        <v>38600</v>
      </c>
      <c r="K35" s="623" t="n">
        <f aca="false">ROUNDDOWN(K34*$B$2,-2)</f>
        <v>42800</v>
      </c>
      <c r="L35" s="623" t="n">
        <f aca="false">ROUNDDOWN(L34*$B$2,-2)</f>
        <v>47000</v>
      </c>
      <c r="M35" s="623" t="n">
        <f aca="false">ROUNDDOWN(M34*$B$2,-2)</f>
        <v>51200</v>
      </c>
      <c r="N35" s="623" t="n">
        <f aca="false">ROUNDDOWN(N34*$B$2,-2)</f>
        <v>55400</v>
      </c>
      <c r="O35" s="623" t="n">
        <f aca="false">ROUNDDOWN(O34*$B$2,-2)</f>
        <v>59600</v>
      </c>
    </row>
    <row r="36" s="331" customFormat="true" ht="12.8" hidden="false" customHeight="false" outlineLevel="0" collapsed="false">
      <c r="A36" s="331" t="s">
        <v>735</v>
      </c>
      <c r="B36" s="0"/>
      <c r="D36" s="624" t="n">
        <f aca="false">D34+(3000/75)</f>
        <v>265.333333333333</v>
      </c>
      <c r="E36" s="624" t="n">
        <f aca="false">E34+(3000/75)</f>
        <v>301.333333333333</v>
      </c>
      <c r="F36" s="624" t="n">
        <f aca="false">F34+(3000/75)</f>
        <v>337.333333333333</v>
      </c>
      <c r="G36" s="624" t="n">
        <f aca="false">G34+(3000/75)</f>
        <v>373.333333333333</v>
      </c>
      <c r="H36" s="624" t="n">
        <f aca="false">H34+(3000/75)</f>
        <v>409.333333333333</v>
      </c>
      <c r="I36" s="624" t="n">
        <f aca="false">I34+(3000/75)</f>
        <v>445.333333333333</v>
      </c>
      <c r="J36" s="624" t="n">
        <f aca="false">J34+(3000/75)</f>
        <v>494.666666666667</v>
      </c>
      <c r="K36" s="624" t="n">
        <f aca="false">K34+(3000/75)</f>
        <v>544.000000000001</v>
      </c>
      <c r="L36" s="624" t="n">
        <f aca="false">L34+(3000/75)</f>
        <v>593.333333333335</v>
      </c>
      <c r="M36" s="624" t="n">
        <f aca="false">M34+(3000/75)</f>
        <v>642.666666666669</v>
      </c>
      <c r="N36" s="624" t="n">
        <f aca="false">N34+(3000/75)</f>
        <v>692.000000000004</v>
      </c>
      <c r="O36" s="624" t="n">
        <f aca="false">O34+(3000/75)</f>
        <v>741.333333333338</v>
      </c>
    </row>
    <row r="37" s="331" customFormat="true" ht="12.8" hidden="false" customHeight="false" outlineLevel="0" collapsed="false">
      <c r="B37" s="0"/>
      <c r="D37" s="473" t="n">
        <f aca="false">ROUNDDOWN(D36*$B$2,-2)</f>
        <v>22500</v>
      </c>
      <c r="E37" s="473" t="n">
        <f aca="false">ROUNDDOWN(E36*$B$2,-2)</f>
        <v>25600</v>
      </c>
      <c r="F37" s="473" t="n">
        <f aca="false">ROUNDDOWN(F36*$B$2,-2)</f>
        <v>28600</v>
      </c>
      <c r="G37" s="473" t="n">
        <f aca="false">ROUNDDOWN(G36*$B$2,-2)</f>
        <v>31700</v>
      </c>
      <c r="H37" s="473" t="n">
        <f aca="false">ROUNDDOWN(H36*$B$2,-2)</f>
        <v>34700</v>
      </c>
      <c r="I37" s="473" t="n">
        <f aca="false">ROUNDDOWN(I36*$B$2,-2)</f>
        <v>37800</v>
      </c>
      <c r="J37" s="473" t="n">
        <f aca="false">ROUNDDOWN(J36*$B$2,-2)</f>
        <v>42000</v>
      </c>
      <c r="K37" s="473" t="n">
        <f aca="false">ROUNDDOWN(K36*$B$2,-2)</f>
        <v>46200</v>
      </c>
      <c r="L37" s="473" t="n">
        <f aca="false">ROUNDDOWN(L36*$B$2,-2)</f>
        <v>50400</v>
      </c>
      <c r="M37" s="473" t="n">
        <f aca="false">ROUNDDOWN(M36*$B$2,-2)</f>
        <v>54600</v>
      </c>
      <c r="N37" s="473" t="n">
        <f aca="false">ROUNDDOWN(N36*$B$2,-2)</f>
        <v>58800</v>
      </c>
      <c r="O37" s="473" t="n">
        <f aca="false">ROUNDDOWN(O36*$B$2,-2)</f>
        <v>63000</v>
      </c>
    </row>
    <row r="38" s="331" customFormat="true" ht="12.8" hidden="false" customHeight="false" outlineLevel="0" collapsed="false">
      <c r="A38" s="331" t="s">
        <v>736</v>
      </c>
      <c r="B38" s="0"/>
      <c r="D38" s="622" t="n">
        <v>232</v>
      </c>
      <c r="E38" s="622" t="n">
        <v>268</v>
      </c>
      <c r="F38" s="622" t="n">
        <v>304</v>
      </c>
      <c r="G38" s="622" t="n">
        <v>340</v>
      </c>
      <c r="H38" s="622" t="n">
        <v>376</v>
      </c>
      <c r="I38" s="622" t="n">
        <v>412</v>
      </c>
      <c r="J38" s="622" t="n">
        <v>461.333333333334</v>
      </c>
      <c r="K38" s="622" t="n">
        <v>510.666666666667</v>
      </c>
      <c r="L38" s="622" t="n">
        <v>560</v>
      </c>
      <c r="M38" s="622" t="n">
        <v>609.333333333333</v>
      </c>
      <c r="N38" s="622" t="n">
        <v>658.666666666666</v>
      </c>
      <c r="O38" s="622" t="n">
        <v>707.999999999999</v>
      </c>
    </row>
    <row r="39" s="331" customFormat="true" ht="12.8" hidden="false" customHeight="false" outlineLevel="0" collapsed="false">
      <c r="D39" s="349" t="n">
        <f aca="false">ROUNDDOWN(D38*$B$2,-2)</f>
        <v>19700</v>
      </c>
      <c r="E39" s="349" t="n">
        <f aca="false">ROUNDDOWN(E38*$B$2,-2)</f>
        <v>22700</v>
      </c>
      <c r="F39" s="349" t="n">
        <f aca="false">ROUNDDOWN(F38*$B$2,-2)</f>
        <v>25800</v>
      </c>
      <c r="G39" s="349" t="n">
        <f aca="false">ROUNDDOWN(G38*$B$2,-2)</f>
        <v>28900</v>
      </c>
      <c r="H39" s="349" t="n">
        <f aca="false">ROUNDDOWN(H38*$B$2,-2)</f>
        <v>31900</v>
      </c>
      <c r="I39" s="349" t="n">
        <f aca="false">ROUNDDOWN(I38*$B$2,-2)</f>
        <v>35000</v>
      </c>
      <c r="J39" s="349" t="n">
        <f aca="false">ROUNDDOWN(J38*$B$2,-2)</f>
        <v>39200</v>
      </c>
      <c r="K39" s="349" t="n">
        <f aca="false">ROUNDDOWN(K38*$B$2,-2)</f>
        <v>43400</v>
      </c>
      <c r="L39" s="349" t="n">
        <f aca="false">ROUNDDOWN(L38*$B$2,-2)</f>
        <v>47600</v>
      </c>
      <c r="M39" s="349" t="n">
        <f aca="false">ROUNDDOWN(M38*$B$2,-2)</f>
        <v>51700</v>
      </c>
      <c r="N39" s="349" t="n">
        <f aca="false">ROUNDDOWN(N38*$B$2,-2)</f>
        <v>55900</v>
      </c>
      <c r="O39" s="349" t="n">
        <f aca="false">ROUNDDOWN(O38*$B$2,-2)</f>
        <v>60100</v>
      </c>
    </row>
    <row r="40" s="331" customFormat="true" ht="12.8" hidden="false" customHeight="false" outlineLevel="0" collapsed="false">
      <c r="A40" s="331" t="s">
        <v>737</v>
      </c>
      <c r="D40" s="624" t="n">
        <f aca="false">D34-154+(103*2)</f>
        <v>277.333333333333</v>
      </c>
      <c r="E40" s="624" t="n">
        <f aca="false">E34-154+(103*2)</f>
        <v>313.333333333333</v>
      </c>
      <c r="F40" s="624" t="n">
        <f aca="false">F34-154+(103*2)</f>
        <v>349.333333333333</v>
      </c>
      <c r="G40" s="624" t="n">
        <f aca="false">G34-154+(103*2)</f>
        <v>385.333333333333</v>
      </c>
      <c r="H40" s="624" t="n">
        <f aca="false">H34-154+(103*2)</f>
        <v>421.333333333333</v>
      </c>
      <c r="I40" s="624" t="n">
        <f aca="false">I34-154+(103*2)</f>
        <v>457.333333333333</v>
      </c>
      <c r="J40" s="624" t="n">
        <f aca="false">J34-154+(103*2)</f>
        <v>506.666666666667</v>
      </c>
      <c r="K40" s="624" t="n">
        <f aca="false">K34-154+(103*2)</f>
        <v>556.000000000001</v>
      </c>
      <c r="L40" s="624" t="n">
        <f aca="false">L34-154+(103*2)</f>
        <v>605.333333333335</v>
      </c>
      <c r="M40" s="624" t="n">
        <f aca="false">M34-154+(103*2)</f>
        <v>654.666666666669</v>
      </c>
      <c r="N40" s="624" t="n">
        <f aca="false">N34-154+(103*2)</f>
        <v>704.000000000004</v>
      </c>
      <c r="O40" s="624" t="n">
        <f aca="false">O34-154+(103*2)</f>
        <v>753.333333333338</v>
      </c>
    </row>
    <row r="41" s="331" customFormat="true" ht="12.8" hidden="false" customHeight="false" outlineLevel="0" collapsed="false">
      <c r="D41" s="349" t="n">
        <f aca="false">ROUNDDOWN(D40*$B$2,-2)</f>
        <v>23500</v>
      </c>
      <c r="E41" s="349" t="n">
        <f aca="false">ROUNDDOWN(E40*$B$2,-2)</f>
        <v>26600</v>
      </c>
      <c r="F41" s="349" t="n">
        <f aca="false">ROUNDDOWN(F40*$B$2,-2)</f>
        <v>29600</v>
      </c>
      <c r="G41" s="349" t="n">
        <f aca="false">ROUNDDOWN(G40*$B$2,-2)</f>
        <v>32700</v>
      </c>
      <c r="H41" s="349" t="n">
        <f aca="false">ROUNDDOWN(H40*$B$2,-2)</f>
        <v>35800</v>
      </c>
      <c r="I41" s="349" t="n">
        <f aca="false">ROUNDDOWN(I40*$B$2,-2)</f>
        <v>38800</v>
      </c>
      <c r="J41" s="349" t="n">
        <f aca="false">ROUNDDOWN(J40*$B$2,-2)</f>
        <v>43000</v>
      </c>
      <c r="K41" s="349" t="n">
        <f aca="false">ROUNDDOWN(K40*$B$2,-2)</f>
        <v>47200</v>
      </c>
      <c r="L41" s="349" t="n">
        <f aca="false">ROUNDDOWN(L40*$B$2,-2)</f>
        <v>51400</v>
      </c>
      <c r="M41" s="349" t="n">
        <f aca="false">ROUNDDOWN(M40*$B$2,-2)</f>
        <v>55600</v>
      </c>
      <c r="N41" s="349" t="n">
        <f aca="false">ROUNDDOWN(N40*$B$2,-2)</f>
        <v>59800</v>
      </c>
      <c r="O41" s="349" t="n">
        <f aca="false">ROUNDDOWN(O40*$B$2,-2)</f>
        <v>64000</v>
      </c>
    </row>
    <row r="42" s="331" customFormat="true" ht="12.8" hidden="false" customHeight="false" outlineLevel="0" collapsed="false">
      <c r="A42" s="331" t="s">
        <v>738</v>
      </c>
      <c r="D42" s="624" t="n">
        <f aca="false">D34+(1500/75)</f>
        <v>245.333333333333</v>
      </c>
      <c r="E42" s="624" t="n">
        <f aca="false">E34+(1500/75)</f>
        <v>281.333333333333</v>
      </c>
      <c r="F42" s="624" t="n">
        <f aca="false">F34+(1500/75)</f>
        <v>317.333333333333</v>
      </c>
      <c r="G42" s="624" t="n">
        <f aca="false">G34+(1500/75)</f>
        <v>353.333333333333</v>
      </c>
      <c r="H42" s="624" t="n">
        <f aca="false">H34+(1500/75)</f>
        <v>389.333333333333</v>
      </c>
      <c r="I42" s="624" t="n">
        <f aca="false">I34+(1500/75)</f>
        <v>425.333333333333</v>
      </c>
      <c r="J42" s="624" t="n">
        <f aca="false">J34+(1500/75)</f>
        <v>474.666666666667</v>
      </c>
      <c r="K42" s="624" t="n">
        <f aca="false">K34+(1500/75)</f>
        <v>524.000000000001</v>
      </c>
      <c r="L42" s="624" t="n">
        <f aca="false">L34+(1500/75)</f>
        <v>573.333333333335</v>
      </c>
      <c r="M42" s="624" t="n">
        <f aca="false">M34+(1500/75)</f>
        <v>622.666666666669</v>
      </c>
      <c r="N42" s="624" t="n">
        <f aca="false">N34+(1500/75)</f>
        <v>672.000000000004</v>
      </c>
      <c r="O42" s="624" t="n">
        <f aca="false">O34+(1500/75)</f>
        <v>721.333333333338</v>
      </c>
    </row>
    <row r="43" s="331" customFormat="true" ht="12.8" hidden="false" customHeight="false" outlineLevel="0" collapsed="false">
      <c r="D43" s="349" t="n">
        <f aca="false">ROUNDDOWN(D42*$B$2,-2)</f>
        <v>20800</v>
      </c>
      <c r="E43" s="349" t="n">
        <f aca="false">ROUNDDOWN(E42*$B$2,-2)</f>
        <v>23900</v>
      </c>
      <c r="F43" s="349" t="n">
        <f aca="false">ROUNDDOWN(F42*$B$2,-2)</f>
        <v>26900</v>
      </c>
      <c r="G43" s="349" t="n">
        <f aca="false">ROUNDDOWN(G42*$B$2,-2)</f>
        <v>30000</v>
      </c>
      <c r="H43" s="349" t="n">
        <f aca="false">ROUNDDOWN(H42*$B$2,-2)</f>
        <v>33000</v>
      </c>
      <c r="I43" s="349" t="n">
        <f aca="false">ROUNDDOWN(I42*$B$2,-2)</f>
        <v>36100</v>
      </c>
      <c r="J43" s="349" t="n">
        <f aca="false">ROUNDDOWN(J42*$B$2,-2)</f>
        <v>40300</v>
      </c>
      <c r="K43" s="349" t="n">
        <f aca="false">ROUNDDOWN(K42*$B$2,-2)</f>
        <v>44500</v>
      </c>
      <c r="L43" s="349" t="n">
        <f aca="false">ROUNDDOWN(L42*$B$2,-2)</f>
        <v>48700</v>
      </c>
      <c r="M43" s="349" t="n">
        <f aca="false">ROUNDDOWN(M42*$B$2,-2)</f>
        <v>52900</v>
      </c>
      <c r="N43" s="349" t="n">
        <f aca="false">ROUNDDOWN(N42*$B$2,-2)</f>
        <v>57100</v>
      </c>
      <c r="O43" s="349" t="n">
        <f aca="false">ROUNDDOWN(O42*$B$2,-2)</f>
        <v>61300</v>
      </c>
    </row>
    <row r="44" s="331" customFormat="true" ht="12.8" hidden="false" customHeight="false" outlineLevel="0" collapsed="false">
      <c r="A44" s="331" t="s">
        <v>739</v>
      </c>
      <c r="D44" s="624" t="n">
        <f aca="false">D34+(10700/75)</f>
        <v>368</v>
      </c>
      <c r="E44" s="624" t="n">
        <f aca="false">E34+(10700/75)</f>
        <v>404</v>
      </c>
      <c r="F44" s="624" t="n">
        <f aca="false">F34+(10700/75)</f>
        <v>440</v>
      </c>
      <c r="G44" s="624" t="n">
        <f aca="false">G34+(10700/75)</f>
        <v>476</v>
      </c>
      <c r="H44" s="624" t="n">
        <f aca="false">H34+(10700/75)</f>
        <v>512</v>
      </c>
      <c r="I44" s="624" t="n">
        <f aca="false">I34+(10700/75)</f>
        <v>548</v>
      </c>
      <c r="J44" s="624" t="n">
        <f aca="false">J34+(10700/75)</f>
        <v>597.333333333334</v>
      </c>
      <c r="K44" s="624" t="n">
        <f aca="false">K34+(10700/75)</f>
        <v>646.666666666668</v>
      </c>
      <c r="L44" s="624" t="n">
        <f aca="false">L34+(10700/75)</f>
        <v>696.000000000002</v>
      </c>
      <c r="M44" s="624" t="n">
        <f aca="false">M34+(10700/75)</f>
        <v>745.333333333336</v>
      </c>
      <c r="N44" s="624" t="n">
        <f aca="false">N34+(10700/75)</f>
        <v>794.666666666671</v>
      </c>
      <c r="O44" s="624" t="n">
        <f aca="false">O34+(10700/75)</f>
        <v>844.000000000005</v>
      </c>
    </row>
    <row r="45" s="331" customFormat="true" ht="12.8" hidden="false" customHeight="false" outlineLevel="0" collapsed="false">
      <c r="D45" s="349" t="n">
        <f aca="false">ROUNDDOWN(D44*$B$2,-2)</f>
        <v>31200</v>
      </c>
      <c r="E45" s="349" t="n">
        <f aca="false">ROUNDDOWN(E44*$B$2,-2)</f>
        <v>34300</v>
      </c>
      <c r="F45" s="349" t="n">
        <f aca="false">ROUNDDOWN(F44*$B$2,-2)</f>
        <v>37400</v>
      </c>
      <c r="G45" s="349" t="n">
        <f aca="false">ROUNDDOWN(G44*$B$2,-2)</f>
        <v>40400</v>
      </c>
      <c r="H45" s="349" t="n">
        <f aca="false">ROUNDDOWN(H44*$B$2,-2)</f>
        <v>43500</v>
      </c>
      <c r="I45" s="349" t="n">
        <f aca="false">ROUNDDOWN(I44*$B$2,-2)</f>
        <v>46500</v>
      </c>
      <c r="J45" s="349" t="n">
        <f aca="false">ROUNDDOWN(J44*$B$2,-2)</f>
        <v>50700</v>
      </c>
      <c r="K45" s="349" t="n">
        <f aca="false">ROUNDDOWN(K44*$B$2,-2)</f>
        <v>54900</v>
      </c>
      <c r="L45" s="349" t="n">
        <f aca="false">ROUNDDOWN(L44*$B$2,-2)</f>
        <v>59100</v>
      </c>
      <c r="M45" s="349" t="n">
        <f aca="false">ROUNDDOWN(M44*$B$2,-2)</f>
        <v>63300</v>
      </c>
      <c r="N45" s="349" t="n">
        <f aca="false">ROUNDDOWN(N44*$B$2,-2)</f>
        <v>67500</v>
      </c>
      <c r="O45" s="349" t="n">
        <f aca="false">ROUNDDOWN(O44*$B$2,-2)</f>
        <v>71700</v>
      </c>
    </row>
    <row r="46" customFormat="false" ht="12.8" hidden="false" customHeight="false" outlineLevel="0" collapsed="false">
      <c r="A46" s="331" t="s">
        <v>740</v>
      </c>
      <c r="D46" s="621" t="n">
        <f aca="false">D48/1.095</f>
        <v>252.054794520548</v>
      </c>
      <c r="E46" s="621" t="n">
        <f aca="false">E48/1.095</f>
        <v>288.584474885845</v>
      </c>
      <c r="F46" s="621" t="n">
        <f aca="false">F48/1.095</f>
        <v>325.114155251142</v>
      </c>
      <c r="G46" s="621" t="n">
        <f aca="false">G48/1.095</f>
        <v>361.643835616438</v>
      </c>
      <c r="H46" s="621" t="n">
        <f aca="false">H48/1.095</f>
        <v>396.955859969558</v>
      </c>
      <c r="I46" s="621" t="n">
        <f aca="false">I48/1.095</f>
        <v>433.485540334855</v>
      </c>
      <c r="J46" s="621" t="n">
        <f aca="false">J48/1.095</f>
        <v>483.409436834095</v>
      </c>
      <c r="K46" s="621" t="n">
        <f aca="false">K48/1.095</f>
        <v>532.115677321157</v>
      </c>
    </row>
    <row r="47" customFormat="false" ht="12.8" hidden="false" customHeight="false" outlineLevel="0" collapsed="false">
      <c r="A47" s="331"/>
      <c r="D47" s="488" t="n">
        <f aca="false">ROUNDDOWN(D46*$B$2,-2)</f>
        <v>21400</v>
      </c>
      <c r="E47" s="488" t="n">
        <f aca="false">ROUNDDOWN(E46*$B$2,-2)</f>
        <v>24500</v>
      </c>
      <c r="F47" s="488" t="n">
        <f aca="false">ROUNDDOWN(F46*$B$2,-2)</f>
        <v>27600</v>
      </c>
      <c r="G47" s="488" t="n">
        <f aca="false">ROUNDDOWN(G46*$B$2,-2)</f>
        <v>30700</v>
      </c>
      <c r="H47" s="488" t="n">
        <f aca="false">ROUNDDOWN(H46*$B$2,-2)</f>
        <v>33700</v>
      </c>
      <c r="I47" s="488" t="n">
        <f aca="false">ROUNDDOWN(I46*$B$2,-2)</f>
        <v>36800</v>
      </c>
      <c r="J47" s="488" t="n">
        <f aca="false">ROUNDDOWN(J46*$B$2,-2)</f>
        <v>41000</v>
      </c>
      <c r="K47" s="488" t="n">
        <f aca="false">ROUNDDOWN(K46*$B$2,-2)</f>
        <v>45200</v>
      </c>
    </row>
    <row r="48" customFormat="false" ht="12.8" hidden="false" customHeight="false" outlineLevel="0" collapsed="false">
      <c r="A48" s="331" t="s">
        <v>741</v>
      </c>
      <c r="D48" s="621" t="n">
        <v>276</v>
      </c>
      <c r="E48" s="621" t="n">
        <v>316</v>
      </c>
      <c r="F48" s="621" t="n">
        <v>356</v>
      </c>
      <c r="G48" s="621" t="n">
        <v>396</v>
      </c>
      <c r="H48" s="621" t="n">
        <v>434.666666666666</v>
      </c>
      <c r="I48" s="621" t="n">
        <v>474.666666666666</v>
      </c>
      <c r="J48" s="621" t="n">
        <v>529.333333333334</v>
      </c>
      <c r="K48" s="621" t="n">
        <v>582.666666666667</v>
      </c>
    </row>
    <row r="49" customFormat="false" ht="12.8" hidden="false" customHeight="false" outlineLevel="0" collapsed="false">
      <c r="A49" s="331"/>
      <c r="D49" s="488" t="n">
        <f aca="false">ROUNDDOWN(D48*$B$2,-2)</f>
        <v>23400</v>
      </c>
      <c r="E49" s="488" t="n">
        <f aca="false">ROUNDDOWN(E48*$B$2,-2)</f>
        <v>26800</v>
      </c>
      <c r="F49" s="488" t="n">
        <f aca="false">ROUNDDOWN(F48*$B$2,-2)</f>
        <v>30200</v>
      </c>
      <c r="G49" s="488" t="n">
        <f aca="false">ROUNDDOWN(G48*$B$2,-2)</f>
        <v>33600</v>
      </c>
      <c r="H49" s="488" t="n">
        <f aca="false">ROUNDDOWN(H48*$B$2,-2)</f>
        <v>36900</v>
      </c>
      <c r="I49" s="488" t="n">
        <f aca="false">ROUNDDOWN(I48*$B$2,-2)</f>
        <v>40300</v>
      </c>
      <c r="J49" s="488" t="n">
        <f aca="false">ROUNDDOWN(J48*$B$2,-2)</f>
        <v>44900</v>
      </c>
      <c r="K49" s="488" t="n">
        <f aca="false">ROUNDDOWN(K48*$B$2,-2)</f>
        <v>49500</v>
      </c>
    </row>
    <row r="50" customFormat="false" ht="12.8" hidden="false" customHeight="false" outlineLevel="0" collapsed="false">
      <c r="A50" s="620" t="s">
        <v>731</v>
      </c>
      <c r="D50" s="0" t="n">
        <v>331.1</v>
      </c>
      <c r="E50" s="0" t="n">
        <v>380.6</v>
      </c>
      <c r="F50" s="0" t="n">
        <v>430.1</v>
      </c>
      <c r="G50" s="0" t="n">
        <v>479.6</v>
      </c>
      <c r="H50" s="0" t="n">
        <v>529.1</v>
      </c>
      <c r="I50" s="0" t="n">
        <v>579.6</v>
      </c>
      <c r="J50" s="0" t="n">
        <v>641.3</v>
      </c>
      <c r="K50" s="0" t="n">
        <v>705.1</v>
      </c>
    </row>
    <row r="51" customFormat="false" ht="12.8" hidden="false" customHeight="false" outlineLevel="0" collapsed="false">
      <c r="D51" s="488" t="n">
        <f aca="false">ROUNDDOWN(D50*$B$2,-2)</f>
        <v>28100</v>
      </c>
      <c r="E51" s="488" t="n">
        <f aca="false">ROUNDDOWN(E50*$B$2,-2)</f>
        <v>32300</v>
      </c>
      <c r="F51" s="488" t="n">
        <f aca="false">ROUNDDOWN(F50*$B$2,-2)</f>
        <v>36500</v>
      </c>
      <c r="G51" s="488" t="n">
        <f aca="false">ROUNDDOWN(G50*$B$2,-2)</f>
        <v>40700</v>
      </c>
      <c r="H51" s="488" t="n">
        <f aca="false">ROUNDDOWN(H50*$B$2,-2)</f>
        <v>44900</v>
      </c>
      <c r="I51" s="488" t="n">
        <f aca="false">ROUNDDOWN(I50*$B$2,-2)</f>
        <v>49200</v>
      </c>
      <c r="J51" s="488" t="n">
        <f aca="false">ROUNDDOWN(J50*$B$2,-2)</f>
        <v>54500</v>
      </c>
      <c r="K51" s="488" t="n">
        <f aca="false">ROUNDDOWN(K50*$B$2,-2)</f>
        <v>59900</v>
      </c>
    </row>
    <row r="54" customFormat="false" ht="24.05" hidden="false" customHeight="false" outlineLevel="0" collapsed="false">
      <c r="A54" s="625" t="s">
        <v>742</v>
      </c>
      <c r="B54" s="626" t="n">
        <v>82</v>
      </c>
    </row>
    <row r="56" customFormat="false" ht="46.95" hidden="false" customHeight="false" outlineLevel="0" collapsed="false">
      <c r="A56" s="478" t="s">
        <v>743</v>
      </c>
      <c r="B56" s="478" t="s">
        <v>744</v>
      </c>
      <c r="C56" s="478" t="s">
        <v>745</v>
      </c>
      <c r="D56" s="478" t="s">
        <v>746</v>
      </c>
      <c r="E56" s="0" t="s">
        <v>747</v>
      </c>
    </row>
    <row r="58" customFormat="false" ht="12.8" hidden="false" customHeight="false" outlineLevel="0" collapsed="false">
      <c r="A58" s="0" t="s">
        <v>748</v>
      </c>
      <c r="B58" s="0" t="n">
        <v>0</v>
      </c>
      <c r="C58" s="0" t="n">
        <v>0</v>
      </c>
      <c r="D58" s="0" t="n">
        <v>0</v>
      </c>
      <c r="F58" s="0" t="s">
        <v>749</v>
      </c>
    </row>
    <row r="59" customFormat="false" ht="12.8" hidden="false" customHeight="false" outlineLevel="0" collapsed="false">
      <c r="A59" s="331" t="s">
        <v>734</v>
      </c>
      <c r="B59" s="504" t="n">
        <f aca="false">C59*$B$54</f>
        <v>12682.6666666667</v>
      </c>
      <c r="C59" s="483" t="n">
        <v>154.666666666667</v>
      </c>
      <c r="D59" s="0" t="n">
        <v>11600</v>
      </c>
      <c r="F59" s="0" t="s">
        <v>750</v>
      </c>
      <c r="O59" s="0" t="n">
        <v>141.463414634146</v>
      </c>
    </row>
    <row r="60" customFormat="false" ht="12.8" hidden="false" customHeight="false" outlineLevel="0" collapsed="false">
      <c r="A60" s="331" t="s">
        <v>735</v>
      </c>
      <c r="B60" s="504" t="n">
        <f aca="false">C60*$B$54</f>
        <v>15962.6666666667</v>
      </c>
      <c r="C60" s="483" t="n">
        <v>194.666666666667</v>
      </c>
      <c r="D60" s="0" t="n">
        <v>14600</v>
      </c>
      <c r="F60" s="0" t="s">
        <v>751</v>
      </c>
      <c r="O60" s="0" t="n">
        <v>178.048780487805</v>
      </c>
    </row>
    <row r="61" customFormat="false" ht="12.8" hidden="false" customHeight="false" outlineLevel="0" collapsed="false">
      <c r="A61" s="331" t="s">
        <v>736</v>
      </c>
      <c r="B61" s="504" t="n">
        <f aca="false">C61*$B$54</f>
        <v>14213.3333333333</v>
      </c>
      <c r="C61" s="483" t="n">
        <v>173.333333333333</v>
      </c>
      <c r="D61" s="0" t="n">
        <v>13000</v>
      </c>
      <c r="F61" s="0" t="s">
        <v>752</v>
      </c>
      <c r="O61" s="0" t="n">
        <v>158.536585365854</v>
      </c>
    </row>
    <row r="62" customFormat="false" ht="12.8" hidden="false" customHeight="false" outlineLevel="0" collapsed="false">
      <c r="A62" s="331" t="s">
        <v>753</v>
      </c>
      <c r="B62" s="504" t="n">
        <f aca="false">C62*$B$54</f>
        <v>12682.6666666667</v>
      </c>
      <c r="C62" s="483" t="n">
        <v>154.666666666667</v>
      </c>
      <c r="D62" s="0" t="n">
        <v>11600</v>
      </c>
      <c r="F62" s="0" t="s">
        <v>754</v>
      </c>
      <c r="O62" s="0" t="n">
        <v>141.463414634146</v>
      </c>
    </row>
    <row r="63" customFormat="false" ht="12.8" hidden="false" customHeight="false" outlineLevel="0" collapsed="false">
      <c r="A63" s="331" t="s">
        <v>755</v>
      </c>
      <c r="B63" s="504" t="n">
        <f aca="false">C63*$B$54</f>
        <v>16400</v>
      </c>
      <c r="C63" s="483" t="n">
        <v>200</v>
      </c>
      <c r="D63" s="0" t="n">
        <v>15000</v>
      </c>
      <c r="F63" s="0" t="s">
        <v>756</v>
      </c>
      <c r="O63" s="0" t="n">
        <v>182.926829268293</v>
      </c>
    </row>
    <row r="64" customFormat="false" ht="12.8" hidden="false" customHeight="false" outlineLevel="0" collapsed="false">
      <c r="A64" s="331" t="s">
        <v>737</v>
      </c>
      <c r="B64" s="504" t="n">
        <f aca="false">C64*$B$54</f>
        <v>16400</v>
      </c>
      <c r="C64" s="483" t="n">
        <v>200</v>
      </c>
      <c r="D64" s="0" t="n">
        <v>15000</v>
      </c>
      <c r="F64" s="0" t="s">
        <v>757</v>
      </c>
      <c r="O64" s="0" t="n">
        <v>182.926829268293</v>
      </c>
    </row>
    <row r="65" customFormat="false" ht="12.8" hidden="false" customHeight="false" outlineLevel="0" collapsed="false">
      <c r="A65" s="331" t="s">
        <v>738</v>
      </c>
      <c r="B65" s="504" t="n">
        <f aca="false">C65*$B$54</f>
        <v>13994.6666666667</v>
      </c>
      <c r="C65" s="483" t="n">
        <v>170.666666666667</v>
      </c>
      <c r="D65" s="0" t="n">
        <v>12800</v>
      </c>
      <c r="F65" s="0" t="s">
        <v>758</v>
      </c>
      <c r="O65" s="0" t="n">
        <v>156.09756097561</v>
      </c>
    </row>
    <row r="66" customFormat="false" ht="12.8" hidden="false" customHeight="false" outlineLevel="0" collapsed="false">
      <c r="A66" s="331" t="s">
        <v>759</v>
      </c>
      <c r="B66" s="504" t="n">
        <f aca="false">C66*$B$54</f>
        <v>28946</v>
      </c>
      <c r="C66" s="483" t="n">
        <v>353</v>
      </c>
      <c r="D66" s="504" t="n">
        <v>28946</v>
      </c>
      <c r="E66" s="486" t="n">
        <v>176.5</v>
      </c>
      <c r="F66" s="0" t="s">
        <v>760</v>
      </c>
      <c r="O66" s="0" t="n">
        <v>353</v>
      </c>
    </row>
    <row r="67" customFormat="false" ht="12.8" hidden="false" customHeight="false" outlineLevel="0" collapsed="false">
      <c r="A67" s="331" t="s">
        <v>761</v>
      </c>
      <c r="B67" s="504" t="n">
        <f aca="false">C67*$B$54</f>
        <v>33831.56</v>
      </c>
      <c r="C67" s="483" t="n">
        <v>412.58</v>
      </c>
      <c r="D67" s="504" t="n">
        <v>33831.56</v>
      </c>
      <c r="E67" s="486" t="n">
        <f aca="false">E66+29.79</f>
        <v>206.29</v>
      </c>
      <c r="F67" s="0" t="s">
        <v>760</v>
      </c>
      <c r="O67" s="0" t="n">
        <v>412.58</v>
      </c>
    </row>
    <row r="68" customFormat="false" ht="12.8" hidden="false" customHeight="false" outlineLevel="0" collapsed="false">
      <c r="A68" s="331" t="s">
        <v>762</v>
      </c>
      <c r="B68" s="504" t="n">
        <f aca="false">C68*$B$54</f>
        <v>12245.3333333333</v>
      </c>
      <c r="C68" s="483" t="n">
        <v>149.333333333333</v>
      </c>
      <c r="D68" s="0" t="n">
        <v>11200</v>
      </c>
      <c r="F68" s="0" t="s">
        <v>763</v>
      </c>
      <c r="O68" s="0" t="n">
        <v>136.585365853659</v>
      </c>
    </row>
    <row r="69" customFormat="false" ht="12.8" hidden="false" customHeight="false" outlineLevel="0" collapsed="false">
      <c r="A69" s="620" t="s">
        <v>731</v>
      </c>
      <c r="B69" s="483" t="n">
        <f aca="false">C69*$B$2</f>
        <v>19869.8833333334</v>
      </c>
      <c r="C69" s="627" t="n">
        <f aca="false">D50-D115</f>
        <v>233.763333333334</v>
      </c>
      <c r="F69" s="628" t="s">
        <v>764</v>
      </c>
    </row>
    <row r="70" customFormat="false" ht="12.8" hidden="false" customHeight="false" outlineLevel="0" collapsed="false">
      <c r="A70" s="620" t="s">
        <v>765</v>
      </c>
      <c r="B70" s="483" t="n">
        <f aca="false">B59</f>
        <v>12682.6666666667</v>
      </c>
      <c r="C70" s="627"/>
      <c r="F70" s="628" t="s">
        <v>766</v>
      </c>
    </row>
    <row r="71" customFormat="false" ht="12.8" hidden="false" customHeight="false" outlineLevel="0" collapsed="false">
      <c r="A71" s="331" t="s">
        <v>715</v>
      </c>
      <c r="B71" s="483" t="n">
        <f aca="false">C71*$B$2</f>
        <v>33630.80573</v>
      </c>
      <c r="C71" s="483" t="n">
        <v>395.656538</v>
      </c>
      <c r="F71" s="628" t="s">
        <v>767</v>
      </c>
    </row>
    <row r="72" customFormat="false" ht="12.8" hidden="false" customHeight="false" outlineLevel="0" collapsed="false">
      <c r="A72" s="331" t="s">
        <v>716</v>
      </c>
      <c r="B72" s="483" t="n">
        <f aca="false">C72*$B$2</f>
        <v>29868.15</v>
      </c>
      <c r="C72" s="483" t="n">
        <v>351.39</v>
      </c>
      <c r="F72" s="628" t="s">
        <v>768</v>
      </c>
    </row>
    <row r="73" customFormat="false" ht="12.8" hidden="false" customHeight="false" outlineLevel="0" collapsed="false">
      <c r="A73" s="331" t="s">
        <v>717</v>
      </c>
      <c r="B73" s="483" t="n">
        <f aca="false">C73*$B$2</f>
        <v>40392</v>
      </c>
      <c r="C73" s="483" t="n">
        <v>475.2</v>
      </c>
      <c r="F73" s="628" t="s">
        <v>769</v>
      </c>
    </row>
    <row r="74" customFormat="false" ht="12.8" hidden="false" customHeight="false" outlineLevel="0" collapsed="false">
      <c r="A74" s="331" t="s">
        <v>718</v>
      </c>
      <c r="B74" s="483" t="n">
        <f aca="false">C74*$B$2</f>
        <v>44522.15</v>
      </c>
      <c r="C74" s="483" t="n">
        <v>523.79</v>
      </c>
      <c r="F74" s="628" t="s">
        <v>770</v>
      </c>
    </row>
    <row r="75" customFormat="false" ht="12.8" hidden="false" customHeight="false" outlineLevel="0" collapsed="false">
      <c r="A75" s="619" t="s">
        <v>771</v>
      </c>
      <c r="B75" s="483" t="n">
        <f aca="false">C75*$B$2</f>
        <v>69492.6</v>
      </c>
      <c r="C75" s="483" t="n">
        <v>817.56</v>
      </c>
      <c r="F75" s="628" t="s">
        <v>772</v>
      </c>
    </row>
    <row r="76" customFormat="false" ht="12.8" hidden="false" customHeight="false" outlineLevel="0" collapsed="false">
      <c r="A76" s="619" t="s">
        <v>773</v>
      </c>
      <c r="B76" s="483" t="n">
        <f aca="false">C76*$B$2</f>
        <v>69492.6</v>
      </c>
      <c r="C76" s="483" t="n">
        <v>817.56</v>
      </c>
      <c r="F76" s="628" t="s">
        <v>774</v>
      </c>
    </row>
    <row r="77" customFormat="false" ht="12.8" hidden="false" customHeight="false" outlineLevel="0" collapsed="false">
      <c r="A77" s="619" t="s">
        <v>775</v>
      </c>
      <c r="B77" s="483" t="n">
        <f aca="false">C77*$B$2</f>
        <v>80707.5</v>
      </c>
      <c r="C77" s="483" t="n">
        <v>949.5</v>
      </c>
      <c r="F77" s="628" t="s">
        <v>776</v>
      </c>
    </row>
    <row r="78" customFormat="false" ht="12.8" hidden="false" customHeight="false" outlineLevel="0" collapsed="false">
      <c r="A78" s="619" t="s">
        <v>777</v>
      </c>
      <c r="B78" s="483" t="n">
        <f aca="false">C78*$B$2</f>
        <v>78577.4</v>
      </c>
      <c r="C78" s="483" t="n">
        <v>924.44</v>
      </c>
      <c r="F78" s="628" t="s">
        <v>778</v>
      </c>
    </row>
    <row r="79" customFormat="false" ht="12.8" hidden="false" customHeight="false" outlineLevel="0" collapsed="false">
      <c r="A79" s="619" t="s">
        <v>779</v>
      </c>
      <c r="B79" s="483" t="n">
        <f aca="false">C79*$B$2</f>
        <v>90882</v>
      </c>
      <c r="C79" s="483" t="n">
        <v>1069.2</v>
      </c>
      <c r="F79" s="628" t="s">
        <v>780</v>
      </c>
    </row>
    <row r="80" customFormat="false" ht="12.8" hidden="false" customHeight="false" outlineLevel="0" collapsed="false">
      <c r="A80" s="619" t="s">
        <v>781</v>
      </c>
      <c r="B80" s="483" t="n">
        <f aca="false">C80*$B$2</f>
        <v>71771.45</v>
      </c>
      <c r="C80" s="483" t="n">
        <v>844.37</v>
      </c>
      <c r="F80" s="628" t="s">
        <v>782</v>
      </c>
    </row>
    <row r="81" customFormat="false" ht="12.8" hidden="false" customHeight="false" outlineLevel="0" collapsed="false">
      <c r="A81" s="620" t="s">
        <v>732</v>
      </c>
      <c r="B81" s="483" t="n">
        <f aca="false">C81*$B$2</f>
        <v>80247.65</v>
      </c>
      <c r="C81" s="483" t="n">
        <v>944.09</v>
      </c>
      <c r="F81" s="628" t="s">
        <v>783</v>
      </c>
    </row>
    <row r="82" customFormat="false" ht="12.8" hidden="false" customHeight="false" outlineLevel="0" collapsed="false">
      <c r="A82" s="620"/>
      <c r="B82" s="483"/>
      <c r="C82" s="483"/>
      <c r="F82" s="628"/>
    </row>
    <row r="83" customFormat="false" ht="12.8" hidden="false" customHeight="false" outlineLevel="0" collapsed="false">
      <c r="A83" s="620"/>
      <c r="F83" s="628"/>
    </row>
    <row r="84" customFormat="false" ht="12.8" hidden="false" customHeight="false" outlineLevel="0" collapsed="false">
      <c r="A84" s="620"/>
      <c r="F84" s="628"/>
    </row>
    <row r="85" customFormat="false" ht="12.8" hidden="false" customHeight="false" outlineLevel="0" collapsed="false">
      <c r="A85" s="620"/>
      <c r="F85" s="628"/>
    </row>
    <row r="86" customFormat="false" ht="12.8" hidden="false" customHeight="false" outlineLevel="0" collapsed="false">
      <c r="A86" s="620"/>
      <c r="F86" s="628"/>
    </row>
    <row r="87" customFormat="false" ht="12.8" hidden="false" customHeight="false" outlineLevel="0" collapsed="false">
      <c r="A87" s="620"/>
    </row>
    <row r="88" customFormat="false" ht="12.8" hidden="false" customHeight="false" outlineLevel="0" collapsed="false">
      <c r="A88" s="620"/>
    </row>
    <row r="89" customFormat="false" ht="12.8" hidden="false" customHeight="false" outlineLevel="0" collapsed="false">
      <c r="A89" s="620"/>
    </row>
    <row r="90" customFormat="false" ht="12.8" hidden="false" customHeight="false" outlineLevel="0" collapsed="false">
      <c r="A90" s="620"/>
    </row>
    <row r="91" customFormat="false" ht="12.8" hidden="false" customHeight="false" outlineLevel="0" collapsed="false">
      <c r="A91" s="620"/>
      <c r="F91" s="628"/>
    </row>
    <row r="92" customFormat="false" ht="12.8" hidden="false" customHeight="false" outlineLevel="0" collapsed="false">
      <c r="A92" s="620"/>
      <c r="F92" s="628"/>
    </row>
    <row r="93" customFormat="false" ht="12.8" hidden="false" customHeight="false" outlineLevel="0" collapsed="false">
      <c r="A93" s="620"/>
      <c r="F93" s="628"/>
    </row>
    <row r="94" customFormat="false" ht="12.8" hidden="false" customHeight="false" outlineLevel="0" collapsed="false">
      <c r="A94" s="620"/>
      <c r="F94" s="628"/>
    </row>
    <row r="95" customFormat="false" ht="12.8" hidden="false" customHeight="false" outlineLevel="0" collapsed="false">
      <c r="A95" s="620"/>
      <c r="F95" s="628"/>
    </row>
    <row r="96" customFormat="false" ht="12.8" hidden="false" customHeight="false" outlineLevel="0" collapsed="false">
      <c r="A96" s="620"/>
      <c r="D96" s="0" t="n">
        <v>1</v>
      </c>
      <c r="E96" s="0" t="n">
        <v>2</v>
      </c>
      <c r="F96" s="0" t="n">
        <v>3</v>
      </c>
      <c r="G96" s="0" t="n">
        <v>4</v>
      </c>
      <c r="H96" s="0" t="n">
        <v>5</v>
      </c>
      <c r="I96" s="0" t="n">
        <v>6</v>
      </c>
      <c r="J96" s="0" t="n">
        <v>7</v>
      </c>
      <c r="K96" s="0" t="n">
        <v>8</v>
      </c>
      <c r="L96" s="0" t="n">
        <v>9</v>
      </c>
      <c r="M96" s="0" t="n">
        <v>10</v>
      </c>
      <c r="N96" s="0" t="n">
        <v>11</v>
      </c>
      <c r="O96" s="0" t="n">
        <v>12</v>
      </c>
    </row>
    <row r="97" customFormat="false" ht="12.8" hidden="false" customHeight="false" outlineLevel="0" collapsed="false">
      <c r="A97" s="620"/>
      <c r="F97" s="628"/>
    </row>
    <row r="98" customFormat="false" ht="12.8" hidden="false" customHeight="false" outlineLevel="0" collapsed="false">
      <c r="A98" s="620"/>
      <c r="F98" s="628"/>
    </row>
    <row r="99" customFormat="false" ht="12.8" hidden="false" customHeight="false" outlineLevel="0" collapsed="false">
      <c r="Q99" s="0" t="s">
        <v>140</v>
      </c>
      <c r="R99" s="616" t="s">
        <v>784</v>
      </c>
      <c r="S99" s="616" t="s">
        <v>785</v>
      </c>
      <c r="T99" s="0" t="s">
        <v>786</v>
      </c>
      <c r="U99" s="616" t="s">
        <v>787</v>
      </c>
      <c r="Z99" s="629" t="s">
        <v>788</v>
      </c>
      <c r="AA99" s="629"/>
      <c r="AB99" s="629"/>
    </row>
    <row r="100" customFormat="false" ht="18.65" hidden="false" customHeight="true" outlineLevel="0" collapsed="false">
      <c r="A100" s="0" t="s">
        <v>789</v>
      </c>
      <c r="C100" s="0" t="n">
        <v>1</v>
      </c>
      <c r="D100" s="459" t="s">
        <v>703</v>
      </c>
      <c r="E100" s="459" t="s">
        <v>704</v>
      </c>
      <c r="F100" s="459" t="s">
        <v>705</v>
      </c>
      <c r="G100" s="459" t="s">
        <v>706</v>
      </c>
      <c r="H100" s="459" t="s">
        <v>707</v>
      </c>
      <c r="I100" s="459" t="s">
        <v>708</v>
      </c>
      <c r="J100" s="459" t="s">
        <v>709</v>
      </c>
      <c r="K100" s="459" t="s">
        <v>710</v>
      </c>
      <c r="L100" s="459" t="s">
        <v>711</v>
      </c>
      <c r="M100" s="459" t="s">
        <v>712</v>
      </c>
      <c r="N100" s="459" t="s">
        <v>713</v>
      </c>
      <c r="O100" s="459" t="s">
        <v>714</v>
      </c>
      <c r="Z100" s="630" t="s">
        <v>790</v>
      </c>
      <c r="AA100" s="478" t="s">
        <v>791</v>
      </c>
      <c r="AB100" s="478" t="s">
        <v>792</v>
      </c>
    </row>
    <row r="101" customFormat="false" ht="12.8" hidden="false" customHeight="false" outlineLevel="0" collapsed="false">
      <c r="C101" s="0" t="n">
        <v>2</v>
      </c>
      <c r="D101" s="622" t="n">
        <v>225.333333333333</v>
      </c>
      <c r="E101" s="622" t="n">
        <v>261.333333333333</v>
      </c>
      <c r="F101" s="622" t="n">
        <v>297.333333333333</v>
      </c>
      <c r="G101" s="622" t="n">
        <v>333.333333333333</v>
      </c>
      <c r="H101" s="622" t="n">
        <v>369.333333333333</v>
      </c>
      <c r="I101" s="622" t="n">
        <v>405.333333333333</v>
      </c>
      <c r="J101" s="622" t="n">
        <v>454.666666666667</v>
      </c>
      <c r="K101" s="622" t="n">
        <v>504.000000000001</v>
      </c>
      <c r="L101" s="622" t="n">
        <v>553.333333333335</v>
      </c>
      <c r="M101" s="622" t="n">
        <v>602.666666666669</v>
      </c>
      <c r="N101" s="622" t="n">
        <v>652.000000000004</v>
      </c>
      <c r="O101" s="622" t="n">
        <v>701.333333333338</v>
      </c>
      <c r="AA101" s="631" t="n">
        <v>1</v>
      </c>
      <c r="AB101" s="631" t="n">
        <v>3</v>
      </c>
    </row>
    <row r="102" customFormat="false" ht="12.8" hidden="false" customHeight="false" outlineLevel="0" collapsed="false">
      <c r="B102" s="331"/>
      <c r="C102" s="0" t="n">
        <v>3</v>
      </c>
      <c r="D102" s="621" t="n">
        <f aca="false">D101-$C$59</f>
        <v>70.666666666666</v>
      </c>
      <c r="E102" s="621" t="n">
        <f aca="false">E101-$C$59</f>
        <v>106.666666666666</v>
      </c>
      <c r="F102" s="621" t="n">
        <f aca="false">F101-$C$59</f>
        <v>142.666666666666</v>
      </c>
      <c r="G102" s="621" t="n">
        <f aca="false">G101-$C$59</f>
        <v>178.666666666666</v>
      </c>
      <c r="H102" s="621" t="n">
        <f aca="false">H101-$C$59</f>
        <v>214.666666666666</v>
      </c>
      <c r="I102" s="621" t="n">
        <f aca="false">I101-$C$59</f>
        <v>250.666666666666</v>
      </c>
      <c r="J102" s="621" t="n">
        <f aca="false">J101-$C$59</f>
        <v>300</v>
      </c>
      <c r="K102" s="621" t="n">
        <f aca="false">K101-$C$59</f>
        <v>349.333333333334</v>
      </c>
      <c r="L102" s="621" t="n">
        <f aca="false">L101-$C$59</f>
        <v>398.666666666668</v>
      </c>
      <c r="M102" s="621" t="n">
        <f aca="false">M101-$C$59</f>
        <v>448.000000000002</v>
      </c>
      <c r="N102" s="621" t="n">
        <f aca="false">N101-$C$59</f>
        <v>497.333333333337</v>
      </c>
      <c r="O102" s="621" t="n">
        <f aca="false">O101-$C$59</f>
        <v>546.666666666671</v>
      </c>
      <c r="Z102" s="482" t="n">
        <v>3</v>
      </c>
      <c r="AA102" s="0" t="n">
        <f aca="false">Услуги!C6</f>
        <v>3800</v>
      </c>
      <c r="AB102" s="0" t="n">
        <f aca="false">Услуги!D6</f>
        <v>7500</v>
      </c>
    </row>
    <row r="103" s="635" customFormat="true" ht="12.8" hidden="false" customHeight="false" outlineLevel="0" collapsed="false">
      <c r="A103" s="632" t="s">
        <v>793</v>
      </c>
      <c r="B103" s="633"/>
      <c r="C103" s="489" t="n">
        <v>4</v>
      </c>
      <c r="D103" s="634" t="n">
        <f aca="false">D102*$B$2</f>
        <v>6006.66666666661</v>
      </c>
      <c r="E103" s="634" t="n">
        <f aca="false">E102*$B$2</f>
        <v>9066.66666666661</v>
      </c>
      <c r="F103" s="634" t="n">
        <f aca="false">F102*$B$2</f>
        <v>12126.6666666666</v>
      </c>
      <c r="G103" s="634" t="n">
        <f aca="false">G102*$B$2</f>
        <v>15186.6666666666</v>
      </c>
      <c r="H103" s="634" t="n">
        <f aca="false">H102*$B$2</f>
        <v>18246.6666666666</v>
      </c>
      <c r="I103" s="634" t="n">
        <f aca="false">I102*$B$2</f>
        <v>21306.6666666666</v>
      </c>
      <c r="J103" s="634" t="n">
        <f aca="false">J102*$B$2</f>
        <v>25500</v>
      </c>
      <c r="K103" s="634" t="n">
        <f aca="false">K102*$B$2</f>
        <v>29693.3333333334</v>
      </c>
      <c r="L103" s="634" t="n">
        <f aca="false">L102*$B$2</f>
        <v>33886.6666666668</v>
      </c>
      <c r="M103" s="634" t="n">
        <f aca="false">M102*$B$2</f>
        <v>38080.0000000002</v>
      </c>
      <c r="N103" s="634" t="n">
        <f aca="false">N102*$B$2</f>
        <v>42273.3333333337</v>
      </c>
      <c r="O103" s="634" t="n">
        <f aca="false">O102*$B$2</f>
        <v>46466.6666666671</v>
      </c>
      <c r="Q103" s="636" t="s">
        <v>794</v>
      </c>
      <c r="R103" s="635" t="n">
        <f aca="false">$AA$102</f>
        <v>3800</v>
      </c>
      <c r="S103" s="635" t="n">
        <f aca="false">$AA$107</f>
        <v>800</v>
      </c>
      <c r="T103" s="635" t="n">
        <f aca="false">$AB$102</f>
        <v>7500</v>
      </c>
      <c r="U103" s="635" t="n">
        <f aca="false">$AB$107</f>
        <v>1500</v>
      </c>
      <c r="Z103" s="482" t="n">
        <v>4</v>
      </c>
      <c r="AA103" s="0" t="n">
        <f aca="false">Услуги!C7</f>
        <v>4600</v>
      </c>
      <c r="AB103" s="0" t="n">
        <f aca="false">Услуги!D7</f>
        <v>9000</v>
      </c>
      <c r="AC103" s="0"/>
    </row>
    <row r="104" customFormat="false" ht="12.8" hidden="false" customHeight="false" outlineLevel="0" collapsed="false">
      <c r="A104" s="331"/>
      <c r="B104" s="331"/>
      <c r="C104" s="0" t="n">
        <v>5</v>
      </c>
      <c r="D104" s="483" t="n">
        <v>26.67</v>
      </c>
      <c r="E104" s="483" t="n">
        <f aca="false">D104*2</f>
        <v>53.34</v>
      </c>
      <c r="F104" s="483" t="n">
        <f aca="false">E104+$D$104</f>
        <v>80.01</v>
      </c>
      <c r="G104" s="483" t="n">
        <f aca="false">F104+$D$104</f>
        <v>106.68</v>
      </c>
      <c r="H104" s="483" t="n">
        <f aca="false">G104+$D$104</f>
        <v>133.35</v>
      </c>
      <c r="I104" s="483" t="n">
        <f aca="false">H104+$D$104</f>
        <v>160.02</v>
      </c>
      <c r="J104" s="483" t="n">
        <f aca="false">I104+$D$104</f>
        <v>186.69</v>
      </c>
      <c r="K104" s="483" t="n">
        <f aca="false">J104+$D$104</f>
        <v>213.36</v>
      </c>
      <c r="L104" s="483" t="n">
        <f aca="false">K104+$D$104</f>
        <v>240.03</v>
      </c>
      <c r="M104" s="483" t="n">
        <f aca="false">L104+$D$104</f>
        <v>266.7</v>
      </c>
      <c r="N104" s="483" t="n">
        <f aca="false">M104+$D$104</f>
        <v>293.37</v>
      </c>
      <c r="O104" s="483" t="n">
        <f aca="false">N104+$D$104</f>
        <v>320.04</v>
      </c>
      <c r="Q104" s="637"/>
      <c r="Z104" s="482" t="n">
        <v>5</v>
      </c>
      <c r="AA104" s="0" t="n">
        <f aca="false">Услуги!C8</f>
        <v>5400</v>
      </c>
      <c r="AB104" s="0" t="n">
        <f aca="false">Услуги!D8</f>
        <v>10500</v>
      </c>
    </row>
    <row r="105" customFormat="false" ht="12.8" hidden="false" customHeight="false" outlineLevel="0" collapsed="false">
      <c r="A105" s="331"/>
      <c r="B105" s="331"/>
      <c r="C105" s="0" t="n">
        <v>6</v>
      </c>
      <c r="D105" s="621" t="n">
        <f aca="false">D102+D104</f>
        <v>97.336666666666</v>
      </c>
      <c r="E105" s="621" t="n">
        <f aca="false">E102+E104</f>
        <v>160.006666666666</v>
      </c>
      <c r="F105" s="621" t="n">
        <f aca="false">F102+F104</f>
        <v>222.676666666666</v>
      </c>
      <c r="G105" s="621" t="n">
        <f aca="false">G102+G104</f>
        <v>285.346666666666</v>
      </c>
      <c r="H105" s="621" t="n">
        <f aca="false">H102+H104</f>
        <v>348.016666666666</v>
      </c>
      <c r="I105" s="621" t="n">
        <f aca="false">I102+I104</f>
        <v>410.686666666666</v>
      </c>
      <c r="J105" s="621" t="n">
        <f aca="false">J102+J104</f>
        <v>486.69</v>
      </c>
      <c r="K105" s="621" t="n">
        <f aca="false">K102+K104</f>
        <v>562.693333333334</v>
      </c>
      <c r="L105" s="621" t="n">
        <f aca="false">L102+L104</f>
        <v>638.696666666668</v>
      </c>
      <c r="M105" s="621" t="n">
        <f aca="false">M102+M104</f>
        <v>714.700000000002</v>
      </c>
      <c r="N105" s="621" t="n">
        <f aca="false">N102+N104</f>
        <v>790.703333333337</v>
      </c>
      <c r="O105" s="621" t="n">
        <f aca="false">O102+O104</f>
        <v>866.706666666671</v>
      </c>
      <c r="Q105" s="637"/>
      <c r="Z105" s="482" t="n">
        <v>6</v>
      </c>
      <c r="AA105" s="0" t="n">
        <f aca="false">Услуги!C9</f>
        <v>6200</v>
      </c>
      <c r="AB105" s="0" t="n">
        <f aca="false">Услуги!D9</f>
        <v>12000</v>
      </c>
    </row>
    <row r="106" s="635" customFormat="true" ht="12.8" hidden="false" customHeight="false" outlineLevel="0" collapsed="false">
      <c r="A106" s="632" t="s">
        <v>795</v>
      </c>
      <c r="B106" s="638"/>
      <c r="C106" s="489" t="n">
        <v>7</v>
      </c>
      <c r="D106" s="634" t="n">
        <f aca="false">D105*$B$2</f>
        <v>8273.61666666661</v>
      </c>
      <c r="E106" s="634" t="n">
        <f aca="false">E105*$B$2</f>
        <v>13600.5666666666</v>
      </c>
      <c r="F106" s="634" t="n">
        <f aca="false">F105*$B$2</f>
        <v>18927.5166666666</v>
      </c>
      <c r="G106" s="634" t="n">
        <f aca="false">G105*$B$2</f>
        <v>24254.4666666666</v>
      </c>
      <c r="H106" s="634" t="n">
        <f aca="false">H105*$B$2</f>
        <v>29581.4166666666</v>
      </c>
      <c r="I106" s="634" t="n">
        <f aca="false">I105*$B$2</f>
        <v>34908.3666666666</v>
      </c>
      <c r="J106" s="634" t="n">
        <f aca="false">J105*$B$2</f>
        <v>41368.65</v>
      </c>
      <c r="K106" s="634" t="n">
        <f aca="false">K105*$B$2</f>
        <v>47828.9333333334</v>
      </c>
      <c r="L106" s="639" t="s">
        <v>166</v>
      </c>
      <c r="M106" s="639" t="s">
        <v>166</v>
      </c>
      <c r="N106" s="639" t="s">
        <v>166</v>
      </c>
      <c r="O106" s="639" t="s">
        <v>166</v>
      </c>
      <c r="Q106" s="490" t="s">
        <v>796</v>
      </c>
      <c r="R106" s="635" t="n">
        <f aca="false">$AA$102</f>
        <v>3800</v>
      </c>
      <c r="S106" s="635" t="n">
        <f aca="false">$AA$107</f>
        <v>800</v>
      </c>
      <c r="T106" s="635" t="n">
        <f aca="false">$AB$102</f>
        <v>7500</v>
      </c>
      <c r="U106" s="635" t="n">
        <f aca="false">$AB$107</f>
        <v>1500</v>
      </c>
      <c r="Z106" s="482" t="n">
        <v>7</v>
      </c>
      <c r="AA106" s="0" t="n">
        <f aca="false">Услуги!C10</f>
        <v>7000</v>
      </c>
      <c r="AB106" s="0" t="n">
        <f aca="false">Услуги!D10</f>
        <v>13500</v>
      </c>
      <c r="AC106" s="0"/>
    </row>
    <row r="107" customFormat="false" ht="12.8" hidden="false" customHeight="false" outlineLevel="0" collapsed="false">
      <c r="A107" s="331"/>
      <c r="B107" s="331"/>
      <c r="C107" s="0" t="n">
        <v>8</v>
      </c>
      <c r="D107" s="621" t="n">
        <f aca="false">D102+20</f>
        <v>90.666666666666</v>
      </c>
      <c r="E107" s="621" t="n">
        <f aca="false">E102+20</f>
        <v>126.666666666666</v>
      </c>
      <c r="F107" s="621" t="n">
        <f aca="false">F102+20</f>
        <v>162.666666666666</v>
      </c>
      <c r="G107" s="621" t="n">
        <f aca="false">G102+20</f>
        <v>198.666666666666</v>
      </c>
      <c r="H107" s="621" t="n">
        <f aca="false">H102+20</f>
        <v>234.666666666666</v>
      </c>
      <c r="I107" s="621" t="n">
        <f aca="false">I102+20</f>
        <v>270.666666666666</v>
      </c>
      <c r="J107" s="621" t="n">
        <f aca="false">J102+20</f>
        <v>320</v>
      </c>
      <c r="K107" s="621" t="n">
        <f aca="false">K102+20</f>
        <v>369.333333333334</v>
      </c>
      <c r="L107" s="621" t="n">
        <f aca="false">L102+20</f>
        <v>418.666666666668</v>
      </c>
      <c r="M107" s="621" t="n">
        <f aca="false">M102+20</f>
        <v>468.000000000002</v>
      </c>
      <c r="N107" s="621" t="n">
        <f aca="false">N102+20</f>
        <v>517.333333333337</v>
      </c>
      <c r="O107" s="621" t="n">
        <f aca="false">O102+20</f>
        <v>566.666666666671</v>
      </c>
      <c r="Q107" s="637"/>
      <c r="Z107" s="0" t="s">
        <v>797</v>
      </c>
      <c r="AA107" s="0" t="n">
        <v>800</v>
      </c>
      <c r="AB107" s="0" t="n">
        <v>1500</v>
      </c>
    </row>
    <row r="108" s="635" customFormat="true" ht="12.8" hidden="false" customHeight="false" outlineLevel="0" collapsed="false">
      <c r="A108" s="632" t="s">
        <v>798</v>
      </c>
      <c r="B108" s="638"/>
      <c r="C108" s="489" t="n">
        <v>9</v>
      </c>
      <c r="D108" s="634" t="n">
        <f aca="false">D107*$B$2</f>
        <v>7706.66666666661</v>
      </c>
      <c r="E108" s="634" t="n">
        <f aca="false">E107*$B$2</f>
        <v>10766.6666666666</v>
      </c>
      <c r="F108" s="634" t="n">
        <f aca="false">F107*$B$2</f>
        <v>13826.6666666666</v>
      </c>
      <c r="G108" s="634" t="n">
        <f aca="false">G107*$B$2</f>
        <v>16886.6666666666</v>
      </c>
      <c r="H108" s="634" t="n">
        <f aca="false">H107*$B$2</f>
        <v>19946.6666666666</v>
      </c>
      <c r="I108" s="634" t="n">
        <f aca="false">I107*$B$2</f>
        <v>23006.6666666666</v>
      </c>
      <c r="J108" s="634" t="n">
        <f aca="false">J107*$B$2</f>
        <v>27200</v>
      </c>
      <c r="K108" s="634" t="n">
        <f aca="false">K107*$B$2</f>
        <v>31393.3333333334</v>
      </c>
      <c r="L108" s="634" t="n">
        <f aca="false">L107*$B$2</f>
        <v>35586.6666666668</v>
      </c>
      <c r="M108" s="634" t="n">
        <f aca="false">M107*$B$2</f>
        <v>39780.0000000002</v>
      </c>
      <c r="N108" s="634" t="n">
        <f aca="false">N107*$B$2</f>
        <v>43973.3333333337</v>
      </c>
      <c r="O108" s="634" t="n">
        <f aca="false">O107*$B$2</f>
        <v>48166.666666667</v>
      </c>
      <c r="Q108" s="490" t="s">
        <v>799</v>
      </c>
      <c r="R108" s="635" t="n">
        <f aca="false">$AA$102</f>
        <v>3800</v>
      </c>
      <c r="S108" s="635" t="n">
        <f aca="false">$AA$107</f>
        <v>800</v>
      </c>
      <c r="T108" s="635" t="n">
        <f aca="false">$AB$102</f>
        <v>7500</v>
      </c>
      <c r="U108" s="635" t="n">
        <f aca="false">$AB$107</f>
        <v>1500</v>
      </c>
      <c r="Z108" s="629" t="s">
        <v>800</v>
      </c>
      <c r="AA108" s="629"/>
      <c r="AB108" s="629"/>
      <c r="AC108" s="0"/>
    </row>
    <row r="109" customFormat="false" ht="12.8" hidden="false" customHeight="false" outlineLevel="0" collapsed="false">
      <c r="A109" s="331"/>
      <c r="B109" s="331"/>
      <c r="C109" s="0" t="n">
        <v>10</v>
      </c>
      <c r="Q109" s="637"/>
      <c r="AA109" s="631" t="n">
        <v>1</v>
      </c>
      <c r="AB109" s="631" t="n">
        <v>2</v>
      </c>
    </row>
    <row r="110" s="635" customFormat="true" ht="12.8" hidden="false" customHeight="false" outlineLevel="0" collapsed="false">
      <c r="A110" s="632" t="s">
        <v>801</v>
      </c>
      <c r="B110" s="638"/>
      <c r="C110" s="489" t="n">
        <v>11</v>
      </c>
      <c r="D110" s="634" t="n">
        <f aca="false">D108</f>
        <v>7706.66666666661</v>
      </c>
      <c r="E110" s="634" t="n">
        <f aca="false">E108</f>
        <v>10766.6666666666</v>
      </c>
      <c r="F110" s="634" t="n">
        <f aca="false">F108</f>
        <v>13826.6666666666</v>
      </c>
      <c r="G110" s="634" t="n">
        <f aca="false">G108</f>
        <v>16886.6666666666</v>
      </c>
      <c r="H110" s="634" t="n">
        <f aca="false">H108</f>
        <v>19946.6666666666</v>
      </c>
      <c r="I110" s="634" t="n">
        <f aca="false">I108</f>
        <v>23006.6666666666</v>
      </c>
      <c r="J110" s="634" t="n">
        <f aca="false">J108</f>
        <v>27200</v>
      </c>
      <c r="K110" s="634" t="n">
        <f aca="false">K108</f>
        <v>31393.3333333334</v>
      </c>
      <c r="L110" s="634" t="n">
        <f aca="false">L108</f>
        <v>35586.6666666668</v>
      </c>
      <c r="M110" s="634" t="n">
        <f aca="false">M108</f>
        <v>39780.0000000002</v>
      </c>
      <c r="N110" s="634" t="n">
        <f aca="false">N108</f>
        <v>43973.3333333337</v>
      </c>
      <c r="O110" s="634" t="n">
        <f aca="false">O108</f>
        <v>48166.666666667</v>
      </c>
      <c r="Q110" s="490" t="s">
        <v>802</v>
      </c>
      <c r="R110" s="635" t="n">
        <f aca="false">$AA$102</f>
        <v>3800</v>
      </c>
      <c r="S110" s="635" t="n">
        <f aca="false">$AA$107</f>
        <v>800</v>
      </c>
      <c r="T110" s="635" t="n">
        <f aca="false">$AB$102</f>
        <v>7500</v>
      </c>
      <c r="U110" s="635" t="n">
        <f aca="false">$AB$107</f>
        <v>1500</v>
      </c>
      <c r="Z110" s="482" t="n">
        <v>3</v>
      </c>
      <c r="AA110" s="0" t="n">
        <f aca="false">Услуги!C14</f>
        <v>2000</v>
      </c>
      <c r="AB110" s="0" t="n">
        <f aca="false">Услуги!D14</f>
        <v>3000</v>
      </c>
      <c r="AC110" s="0"/>
    </row>
    <row r="111" customFormat="false" ht="12.8" hidden="false" customHeight="false" outlineLevel="0" collapsed="false">
      <c r="A111" s="637"/>
      <c r="B111" s="331"/>
      <c r="C111" s="0" t="n">
        <v>12</v>
      </c>
      <c r="D111" s="621" t="n">
        <f aca="false">5.333+D102</f>
        <v>75.999666666666</v>
      </c>
      <c r="E111" s="621" t="n">
        <f aca="false">5.333+E102</f>
        <v>111.999666666666</v>
      </c>
      <c r="F111" s="621" t="n">
        <f aca="false">5.333+F102</f>
        <v>147.999666666666</v>
      </c>
      <c r="G111" s="621" t="n">
        <f aca="false">5.333+G102</f>
        <v>183.999666666666</v>
      </c>
      <c r="H111" s="621" t="n">
        <f aca="false">5.333+H102</f>
        <v>219.999666666666</v>
      </c>
      <c r="I111" s="621" t="n">
        <f aca="false">5.333+I102</f>
        <v>255.999666666666</v>
      </c>
      <c r="J111" s="621" t="n">
        <f aca="false">5.333+J102</f>
        <v>305.333</v>
      </c>
      <c r="K111" s="621" t="n">
        <f aca="false">5.333+K102</f>
        <v>354.666333333334</v>
      </c>
      <c r="L111" s="621" t="n">
        <f aca="false">5.333+L102</f>
        <v>403.999666666668</v>
      </c>
      <c r="M111" s="621" t="n">
        <f aca="false">5.333+M102</f>
        <v>453.333000000002</v>
      </c>
      <c r="N111" s="621" t="n">
        <f aca="false">5.333+N102</f>
        <v>502.666333333337</v>
      </c>
      <c r="O111" s="621" t="n">
        <f aca="false">5.333+O102</f>
        <v>551.999666666671</v>
      </c>
      <c r="Q111" s="637"/>
      <c r="Z111" s="482" t="n">
        <v>4</v>
      </c>
      <c r="AA111" s="0" t="n">
        <f aca="false">Услуги!C15</f>
        <v>2300</v>
      </c>
      <c r="AB111" s="0" t="n">
        <f aca="false">Услуги!D15</f>
        <v>4500</v>
      </c>
    </row>
    <row r="112" s="635" customFormat="true" ht="12.8" hidden="false" customHeight="false" outlineLevel="0" collapsed="false">
      <c r="A112" s="632" t="s">
        <v>803</v>
      </c>
      <c r="B112" s="638"/>
      <c r="C112" s="489" t="n">
        <v>13</v>
      </c>
      <c r="D112" s="634" t="n">
        <f aca="false">D111*$B$2</f>
        <v>6459.97166666661</v>
      </c>
      <c r="E112" s="634" t="n">
        <f aca="false">E111*$B$2</f>
        <v>9519.97166666661</v>
      </c>
      <c r="F112" s="634" t="n">
        <f aca="false">F111*$B$2</f>
        <v>12579.9716666666</v>
      </c>
      <c r="G112" s="634" t="n">
        <f aca="false">G111*$B$2</f>
        <v>15639.9716666666</v>
      </c>
      <c r="H112" s="634" t="n">
        <f aca="false">H111*$B$2</f>
        <v>18699.9716666666</v>
      </c>
      <c r="I112" s="634" t="n">
        <f aca="false">I111*$B$2</f>
        <v>21759.9716666666</v>
      </c>
      <c r="J112" s="634" t="n">
        <f aca="false">J111*$B$2</f>
        <v>25953.305</v>
      </c>
      <c r="K112" s="634" t="n">
        <f aca="false">K111*$B$2</f>
        <v>30146.6383333334</v>
      </c>
      <c r="L112" s="634" t="n">
        <f aca="false">L111*$B$2</f>
        <v>34339.9716666668</v>
      </c>
      <c r="M112" s="634" t="n">
        <f aca="false">M111*$B$2</f>
        <v>38533.3050000002</v>
      </c>
      <c r="N112" s="634" t="n">
        <f aca="false">N111*$B$2</f>
        <v>42726.6383333336</v>
      </c>
      <c r="O112" s="634" t="n">
        <f aca="false">O111*$B$2</f>
        <v>46919.971666667</v>
      </c>
      <c r="Q112" s="490" t="s">
        <v>804</v>
      </c>
      <c r="R112" s="635" t="n">
        <f aca="false">$AA$102</f>
        <v>3800</v>
      </c>
      <c r="S112" s="635" t="n">
        <f aca="false">$AA$107</f>
        <v>800</v>
      </c>
      <c r="T112" s="635" t="n">
        <f aca="false">$AB$102</f>
        <v>7500</v>
      </c>
      <c r="U112" s="635" t="n">
        <f aca="false">$AB$107</f>
        <v>1500</v>
      </c>
      <c r="Z112" s="482" t="n">
        <v>5</v>
      </c>
      <c r="AA112" s="0" t="n">
        <f aca="false">Услуги!C16</f>
        <v>3100</v>
      </c>
      <c r="AB112" s="0" t="n">
        <f aca="false">Услуги!D16</f>
        <v>6000</v>
      </c>
      <c r="AC112" s="0"/>
    </row>
    <row r="113" customFormat="false" ht="12.8" hidden="false" customHeight="false" outlineLevel="0" collapsed="false">
      <c r="A113" s="637"/>
      <c r="B113" s="331"/>
      <c r="C113" s="0" t="n">
        <v>14</v>
      </c>
      <c r="D113" s="616" t="n">
        <v>209.47</v>
      </c>
      <c r="E113" s="616" t="n">
        <v>276.67</v>
      </c>
      <c r="F113" s="616" t="n">
        <v>343.88</v>
      </c>
      <c r="G113" s="616" t="n">
        <v>411.09</v>
      </c>
      <c r="H113" s="616" t="n">
        <v>478.29</v>
      </c>
      <c r="I113" s="616" t="n">
        <v>545.5</v>
      </c>
      <c r="J113" s="616" t="n">
        <v>623.79</v>
      </c>
      <c r="K113" s="616" t="n">
        <v>690.99</v>
      </c>
      <c r="L113" s="616" t="n">
        <v>758.2</v>
      </c>
      <c r="M113" s="616" t="n">
        <v>825.41</v>
      </c>
      <c r="N113" s="616" t="n">
        <v>892.61</v>
      </c>
      <c r="O113" s="616" t="n">
        <v>959.82</v>
      </c>
      <c r="Q113" s="637"/>
      <c r="Z113" s="482" t="n">
        <v>6</v>
      </c>
      <c r="AA113" s="0" t="n">
        <f aca="false">Услуги!C17</f>
        <v>3900</v>
      </c>
      <c r="AB113" s="0" t="n">
        <f aca="false">Услуги!D17</f>
        <v>7500</v>
      </c>
    </row>
    <row r="114" s="635" customFormat="true" ht="12.8" hidden="false" customHeight="false" outlineLevel="0" collapsed="false">
      <c r="A114" s="632" t="s">
        <v>805</v>
      </c>
      <c r="B114" s="638"/>
      <c r="C114" s="489" t="n">
        <v>15</v>
      </c>
      <c r="D114" s="640" t="n">
        <f aca="false">D113*$C$2</f>
        <v>25136.4</v>
      </c>
      <c r="E114" s="640" t="n">
        <f aca="false">E113*$C$2</f>
        <v>33200.4</v>
      </c>
      <c r="F114" s="640" t="n">
        <f aca="false">F113*$C$2</f>
        <v>41265.6</v>
      </c>
      <c r="G114" s="640" t="n">
        <f aca="false">G113*$C$2</f>
        <v>49330.8</v>
      </c>
      <c r="H114" s="640" t="n">
        <f aca="false">H113*$C$2</f>
        <v>57394.8</v>
      </c>
      <c r="I114" s="640" t="n">
        <f aca="false">I113*$C$2</f>
        <v>65460</v>
      </c>
      <c r="J114" s="640" t="n">
        <f aca="false">J113*$C$2</f>
        <v>74854.8</v>
      </c>
      <c r="K114" s="640" t="n">
        <f aca="false">K113*$C$2</f>
        <v>82918.8</v>
      </c>
      <c r="L114" s="640" t="n">
        <f aca="false">L113*$C$2</f>
        <v>90984</v>
      </c>
      <c r="M114" s="640" t="n">
        <f aca="false">M113*$C$2</f>
        <v>99049.2</v>
      </c>
      <c r="N114" s="640" t="n">
        <f aca="false">N113*$C$2</f>
        <v>107113.2</v>
      </c>
      <c r="O114" s="640" t="n">
        <f aca="false">O113*$C$2</f>
        <v>115178.4</v>
      </c>
      <c r="Q114" s="490" t="s">
        <v>806</v>
      </c>
      <c r="R114" s="635" t="n">
        <f aca="false">$AA$102</f>
        <v>3800</v>
      </c>
      <c r="S114" s="635" t="n">
        <f aca="false">$AA$107</f>
        <v>800</v>
      </c>
      <c r="T114" s="635" t="n">
        <f aca="false">$AB$102</f>
        <v>7500</v>
      </c>
      <c r="U114" s="635" t="n">
        <f aca="false">$AB$107</f>
        <v>1500</v>
      </c>
      <c r="Z114" s="482" t="n">
        <v>7</v>
      </c>
      <c r="AA114" s="0" t="n">
        <f aca="false">Услуги!C18</f>
        <v>4700</v>
      </c>
      <c r="AB114" s="0" t="n">
        <f aca="false">Услуги!D18</f>
        <v>9000</v>
      </c>
      <c r="AC114" s="0"/>
    </row>
    <row r="115" customFormat="false" ht="12.8" hidden="false" customHeight="false" outlineLevel="0" collapsed="false">
      <c r="A115" s="637"/>
      <c r="B115" s="331"/>
      <c r="C115" s="0" t="n">
        <v>16</v>
      </c>
      <c r="D115" s="483" t="n">
        <f aca="false">D105</f>
        <v>97.336666666666</v>
      </c>
      <c r="E115" s="483" t="n">
        <f aca="false">E105</f>
        <v>160.006666666666</v>
      </c>
      <c r="F115" s="483" t="n">
        <f aca="false">F105</f>
        <v>222.676666666666</v>
      </c>
      <c r="G115" s="483" t="n">
        <f aca="false">G105</f>
        <v>285.346666666666</v>
      </c>
      <c r="H115" s="483" t="n">
        <f aca="false">H105</f>
        <v>348.016666666666</v>
      </c>
      <c r="I115" s="483" t="n">
        <f aca="false">I105</f>
        <v>410.686666666666</v>
      </c>
      <c r="J115" s="483" t="n">
        <f aca="false">J105</f>
        <v>486.69</v>
      </c>
      <c r="K115" s="483" t="n">
        <f aca="false">K105</f>
        <v>562.693333333334</v>
      </c>
      <c r="L115" s="483" t="n">
        <f aca="false">L105</f>
        <v>638.696666666668</v>
      </c>
      <c r="M115" s="483" t="n">
        <f aca="false">M105</f>
        <v>714.700000000002</v>
      </c>
      <c r="N115" s="483" t="n">
        <f aca="false">N105</f>
        <v>790.703333333337</v>
      </c>
      <c r="O115" s="483" t="n">
        <f aca="false">O105</f>
        <v>866.706666666671</v>
      </c>
      <c r="Q115" s="637"/>
      <c r="Z115" s="0" t="s">
        <v>797</v>
      </c>
      <c r="AA115" s="0" t="n">
        <v>800</v>
      </c>
      <c r="AB115" s="0" t="n">
        <v>1500</v>
      </c>
    </row>
    <row r="116" customFormat="false" ht="12.8" hidden="false" customHeight="false" outlineLevel="0" collapsed="false">
      <c r="A116" s="331" t="s">
        <v>807</v>
      </c>
      <c r="B116" s="331"/>
      <c r="C116" s="489" t="n">
        <v>17</v>
      </c>
      <c r="D116" s="483" t="n">
        <f aca="false">D103+(500*D96)</f>
        <v>6506.66666666661</v>
      </c>
      <c r="E116" s="483" t="n">
        <f aca="false">E103+(500*E96)</f>
        <v>10066.6666666666</v>
      </c>
      <c r="F116" s="483" t="n">
        <f aca="false">F103+(500*F96)</f>
        <v>13626.6666666666</v>
      </c>
      <c r="G116" s="483" t="n">
        <f aca="false">G103+(500*G96)</f>
        <v>17186.6666666666</v>
      </c>
      <c r="H116" s="483" t="n">
        <f aca="false">H103+(500*H96)</f>
        <v>20746.6666666666</v>
      </c>
      <c r="I116" s="483" t="n">
        <f aca="false">I103+(500*I96)</f>
        <v>24306.6666666666</v>
      </c>
      <c r="J116" s="483" t="n">
        <f aca="false">J103+(500*J96)</f>
        <v>29000</v>
      </c>
      <c r="K116" s="483" t="n">
        <f aca="false">K103+(500*K96)</f>
        <v>33693.3333333334</v>
      </c>
      <c r="L116" s="639" t="s">
        <v>166</v>
      </c>
      <c r="M116" s="639" t="s">
        <v>166</v>
      </c>
      <c r="N116" s="639" t="s">
        <v>166</v>
      </c>
      <c r="O116" s="639" t="s">
        <v>166</v>
      </c>
      <c r="Q116" s="331" t="s">
        <v>808</v>
      </c>
    </row>
    <row r="117" customFormat="false" ht="12.8" hidden="false" customHeight="false" outlineLevel="0" collapsed="false">
      <c r="A117" s="637"/>
      <c r="B117" s="331"/>
      <c r="C117" s="0" t="n">
        <v>18</v>
      </c>
      <c r="D117" s="483"/>
      <c r="E117" s="483"/>
      <c r="F117" s="483"/>
      <c r="G117" s="483"/>
      <c r="H117" s="483"/>
      <c r="I117" s="483"/>
      <c r="J117" s="483"/>
      <c r="K117" s="483"/>
      <c r="L117" s="483"/>
      <c r="M117" s="483"/>
      <c r="N117" s="483"/>
      <c r="O117" s="483"/>
      <c r="Q117" s="637"/>
    </row>
    <row r="118" s="635" customFormat="true" ht="12.8" hidden="false" customHeight="false" outlineLevel="0" collapsed="false">
      <c r="A118" s="632" t="s">
        <v>809</v>
      </c>
      <c r="B118" s="638"/>
      <c r="C118" s="489" t="n">
        <v>19</v>
      </c>
      <c r="D118" s="634" t="n">
        <f aca="false">D115*$B$2</f>
        <v>8273.61666666661</v>
      </c>
      <c r="E118" s="634" t="n">
        <f aca="false">E115*$B$2</f>
        <v>13600.5666666666</v>
      </c>
      <c r="F118" s="634" t="n">
        <f aca="false">F115*$B$2</f>
        <v>18927.5166666666</v>
      </c>
      <c r="G118" s="634" t="n">
        <f aca="false">G115*$B$2</f>
        <v>24254.4666666666</v>
      </c>
      <c r="H118" s="634" t="n">
        <f aca="false">H115*$B$2</f>
        <v>29581.4166666666</v>
      </c>
      <c r="I118" s="634" t="n">
        <f aca="false">I115*$B$2</f>
        <v>34908.3666666666</v>
      </c>
      <c r="J118" s="634" t="n">
        <f aca="false">J115*$B$2</f>
        <v>41368.65</v>
      </c>
      <c r="K118" s="634" t="n">
        <f aca="false">K115*$B$2</f>
        <v>47828.9333333334</v>
      </c>
      <c r="L118" s="639" t="s">
        <v>166</v>
      </c>
      <c r="M118" s="639" t="s">
        <v>166</v>
      </c>
      <c r="N118" s="639" t="s">
        <v>166</v>
      </c>
      <c r="O118" s="639" t="s">
        <v>166</v>
      </c>
      <c r="Q118" s="490" t="s">
        <v>810</v>
      </c>
      <c r="R118" s="635" t="n">
        <f aca="false">$AA$102</f>
        <v>3800</v>
      </c>
      <c r="S118" s="635" t="n">
        <f aca="false">$AA$107</f>
        <v>800</v>
      </c>
      <c r="T118" s="635" t="n">
        <f aca="false">$AB$102</f>
        <v>7500</v>
      </c>
      <c r="U118" s="635" t="n">
        <f aca="false">$AB$107</f>
        <v>1500</v>
      </c>
    </row>
    <row r="119" customFormat="false" ht="12.8" hidden="false" customHeight="false" outlineLevel="0" collapsed="false">
      <c r="B119" s="331"/>
      <c r="C119" s="0" t="n">
        <v>20</v>
      </c>
      <c r="D119" s="621" t="n">
        <f aca="false">D102+21.5</f>
        <v>92.166666666666</v>
      </c>
      <c r="E119" s="621" t="n">
        <f aca="false">E102+21.5</f>
        <v>128.166666666666</v>
      </c>
      <c r="F119" s="621" t="n">
        <f aca="false">F102+21.5</f>
        <v>164.166666666666</v>
      </c>
      <c r="G119" s="621" t="n">
        <f aca="false">G102+21.5</f>
        <v>200.166666666666</v>
      </c>
      <c r="H119" s="621" t="n">
        <f aca="false">H102+21.5</f>
        <v>236.166666666666</v>
      </c>
      <c r="I119" s="621" t="n">
        <f aca="false">I102+21.5</f>
        <v>272.166666666666</v>
      </c>
      <c r="J119" s="621" t="n">
        <f aca="false">J102+21.5</f>
        <v>321.5</v>
      </c>
      <c r="K119" s="621" t="n">
        <f aca="false">K102+21.5</f>
        <v>370.833333333334</v>
      </c>
      <c r="L119" s="621" t="n">
        <f aca="false">L102+21.5</f>
        <v>420.166666666668</v>
      </c>
      <c r="M119" s="621" t="n">
        <f aca="false">M102+21.5</f>
        <v>469.500000000002</v>
      </c>
      <c r="N119" s="621" t="n">
        <f aca="false">N102+21.5</f>
        <v>518.833333333337</v>
      </c>
      <c r="O119" s="621" t="n">
        <f aca="false">O102+21.5</f>
        <v>568.166666666671</v>
      </c>
    </row>
    <row r="120" s="489" customFormat="true" ht="12.8" hidden="false" customHeight="false" outlineLevel="0" collapsed="false">
      <c r="A120" s="632" t="s">
        <v>811</v>
      </c>
      <c r="B120" s="638"/>
      <c r="C120" s="489" t="n">
        <v>21</v>
      </c>
      <c r="D120" s="634" t="n">
        <f aca="false">D119*$B$2</f>
        <v>7834.16666666661</v>
      </c>
      <c r="E120" s="634" t="n">
        <f aca="false">E119*$B$2</f>
        <v>10894.1666666666</v>
      </c>
      <c r="F120" s="634" t="n">
        <f aca="false">F119*$B$2</f>
        <v>13954.1666666666</v>
      </c>
      <c r="G120" s="634" t="n">
        <f aca="false">G119*$B$2</f>
        <v>17014.1666666666</v>
      </c>
      <c r="H120" s="634" t="n">
        <f aca="false">H119*$B$2</f>
        <v>20074.1666666666</v>
      </c>
      <c r="I120" s="634" t="n">
        <f aca="false">I119*$B$2</f>
        <v>23134.1666666666</v>
      </c>
      <c r="J120" s="634" t="n">
        <f aca="false">J119*$B$2</f>
        <v>27327.5</v>
      </c>
      <c r="K120" s="634" t="n">
        <f aca="false">K119*$B$2</f>
        <v>31520.8333333334</v>
      </c>
      <c r="L120" s="639" t="s">
        <v>166</v>
      </c>
      <c r="M120" s="639" t="s">
        <v>166</v>
      </c>
      <c r="N120" s="639" t="s">
        <v>166</v>
      </c>
      <c r="O120" s="639" t="s">
        <v>166</v>
      </c>
      <c r="Q120" s="490" t="s">
        <v>812</v>
      </c>
      <c r="R120" s="635" t="n">
        <f aca="false">$AA$102</f>
        <v>3800</v>
      </c>
      <c r="S120" s="635" t="n">
        <f aca="false">$AA$107</f>
        <v>800</v>
      </c>
      <c r="T120" s="635" t="n">
        <f aca="false">$AB$102</f>
        <v>7500</v>
      </c>
      <c r="U120" s="635" t="n">
        <f aca="false">$AB$107</f>
        <v>1500</v>
      </c>
    </row>
    <row r="121" customFormat="false" ht="12.8" hidden="false" customHeight="false" outlineLevel="0" collapsed="false">
      <c r="A121" s="637"/>
      <c r="B121" s="331"/>
      <c r="C121" s="0" t="n">
        <v>22</v>
      </c>
      <c r="D121" s="621" t="n">
        <f aca="false">D119+24</f>
        <v>116.166666666666</v>
      </c>
      <c r="E121" s="621" t="n">
        <f aca="false">E119+24</f>
        <v>152.166666666666</v>
      </c>
      <c r="F121" s="621" t="n">
        <f aca="false">F119+24</f>
        <v>188.166666666666</v>
      </c>
      <c r="G121" s="621" t="n">
        <f aca="false">G119+24</f>
        <v>224.166666666666</v>
      </c>
      <c r="H121" s="621" t="n">
        <f aca="false">H119+24</f>
        <v>260.166666666666</v>
      </c>
      <c r="I121" s="621" t="n">
        <f aca="false">I119+24</f>
        <v>296.166666666666</v>
      </c>
      <c r="J121" s="621" t="n">
        <f aca="false">J119+24</f>
        <v>345.5</v>
      </c>
      <c r="K121" s="621" t="n">
        <f aca="false">K119+24</f>
        <v>394.833333333334</v>
      </c>
      <c r="L121" s="621" t="n">
        <f aca="false">L119+24</f>
        <v>444.166666666668</v>
      </c>
      <c r="M121" s="621" t="n">
        <f aca="false">M119+24</f>
        <v>493.500000000002</v>
      </c>
      <c r="N121" s="621" t="n">
        <f aca="false">N119+24</f>
        <v>542.833333333337</v>
      </c>
      <c r="O121" s="621" t="n">
        <f aca="false">O119+24</f>
        <v>592.166666666671</v>
      </c>
    </row>
    <row r="122" s="489" customFormat="true" ht="12.8" hidden="false" customHeight="false" outlineLevel="0" collapsed="false">
      <c r="A122" s="632" t="s">
        <v>813</v>
      </c>
      <c r="B122" s="638"/>
      <c r="C122" s="489" t="n">
        <v>23</v>
      </c>
      <c r="D122" s="634" t="n">
        <f aca="false">D121*$B$2</f>
        <v>9874.16666666661</v>
      </c>
      <c r="E122" s="634" t="n">
        <f aca="false">E121*$B$2</f>
        <v>12934.1666666666</v>
      </c>
      <c r="F122" s="634" t="n">
        <f aca="false">F121*$B$2</f>
        <v>15994.1666666666</v>
      </c>
      <c r="G122" s="634" t="n">
        <f aca="false">G121*$B$2</f>
        <v>19054.1666666666</v>
      </c>
      <c r="H122" s="634" t="n">
        <f aca="false">H121*$B$2</f>
        <v>22114.1666666666</v>
      </c>
      <c r="I122" s="634" t="n">
        <f aca="false">I121*$B$2</f>
        <v>25174.1666666666</v>
      </c>
      <c r="J122" s="634" t="n">
        <f aca="false">J121*$B$2</f>
        <v>29367.5</v>
      </c>
      <c r="K122" s="634" t="n">
        <f aca="false">K121*$B$2</f>
        <v>33560.8333333334</v>
      </c>
      <c r="L122" s="639" t="s">
        <v>166</v>
      </c>
      <c r="M122" s="639" t="s">
        <v>166</v>
      </c>
      <c r="N122" s="639" t="s">
        <v>166</v>
      </c>
      <c r="O122" s="639" t="s">
        <v>166</v>
      </c>
      <c r="Q122" s="490" t="s">
        <v>814</v>
      </c>
      <c r="R122" s="635" t="n">
        <f aca="false">$AA$102</f>
        <v>3800</v>
      </c>
      <c r="S122" s="635" t="n">
        <f aca="false">$AA$107</f>
        <v>800</v>
      </c>
      <c r="T122" s="635" t="n">
        <f aca="false">$AB$102</f>
        <v>7500</v>
      </c>
      <c r="U122" s="635" t="n">
        <f aca="false">$AB$107</f>
        <v>1500</v>
      </c>
    </row>
    <row r="123" customFormat="false" ht="12.8" hidden="false" customHeight="false" outlineLevel="0" collapsed="false">
      <c r="B123" s="331"/>
      <c r="C123" s="0" t="n">
        <v>24</v>
      </c>
      <c r="D123" s="486" t="n">
        <f aca="false">1500/75</f>
        <v>20</v>
      </c>
      <c r="E123" s="486" t="n">
        <f aca="false">D123+$D$123</f>
        <v>40</v>
      </c>
      <c r="F123" s="486" t="n">
        <f aca="false">E123+$D$123</f>
        <v>60</v>
      </c>
      <c r="G123" s="486" t="n">
        <f aca="false">F123+$D$123</f>
        <v>80</v>
      </c>
      <c r="H123" s="486" t="n">
        <f aca="false">G123+$D$123</f>
        <v>100</v>
      </c>
      <c r="I123" s="486" t="n">
        <f aca="false">H123+$D$123</f>
        <v>120</v>
      </c>
      <c r="J123" s="486" t="n">
        <f aca="false">I123+$D$123</f>
        <v>140</v>
      </c>
      <c r="K123" s="486" t="n">
        <f aca="false">J123+$D$123</f>
        <v>160</v>
      </c>
      <c r="L123" s="486" t="n">
        <f aca="false">K123+$D$123</f>
        <v>180</v>
      </c>
      <c r="M123" s="486" t="n">
        <f aca="false">L123+$D$123</f>
        <v>200</v>
      </c>
      <c r="N123" s="486" t="n">
        <f aca="false">M123+$D$123</f>
        <v>220</v>
      </c>
      <c r="O123" s="486" t="n">
        <f aca="false">N123+$D$123</f>
        <v>240</v>
      </c>
    </row>
    <row r="124" s="489" customFormat="true" ht="12.8" hidden="false" customHeight="false" outlineLevel="0" collapsed="false">
      <c r="A124" s="641" t="s">
        <v>815</v>
      </c>
      <c r="B124" s="638"/>
      <c r="C124" s="489" t="n">
        <v>25</v>
      </c>
      <c r="D124" s="642" t="n">
        <f aca="false">D123*$B$2</f>
        <v>1700</v>
      </c>
      <c r="E124" s="642" t="n">
        <f aca="false">E123*$B$2</f>
        <v>3400</v>
      </c>
      <c r="F124" s="642" t="n">
        <f aca="false">F123*$B$2</f>
        <v>5100</v>
      </c>
      <c r="G124" s="642" t="n">
        <f aca="false">G123*$B$2</f>
        <v>6800</v>
      </c>
      <c r="H124" s="642" t="n">
        <f aca="false">H123*$B$2</f>
        <v>8500</v>
      </c>
      <c r="I124" s="642" t="n">
        <f aca="false">I123*$B$2</f>
        <v>10200</v>
      </c>
      <c r="J124" s="642" t="n">
        <f aca="false">J123*$B$2</f>
        <v>11900</v>
      </c>
      <c r="K124" s="642" t="n">
        <f aca="false">K123*$B$2</f>
        <v>13600</v>
      </c>
      <c r="L124" s="642" t="n">
        <f aca="false">L123*$B$2</f>
        <v>15300</v>
      </c>
      <c r="M124" s="642" t="n">
        <f aca="false">M123*$B$2</f>
        <v>17000</v>
      </c>
      <c r="N124" s="642" t="n">
        <f aca="false">N123*$B$2</f>
        <v>18700</v>
      </c>
      <c r="O124" s="642" t="n">
        <f aca="false">O123*$B$2</f>
        <v>20400</v>
      </c>
      <c r="Q124" s="489" t="s">
        <v>815</v>
      </c>
      <c r="R124" s="635" t="n">
        <f aca="false">$AA$102</f>
        <v>3800</v>
      </c>
      <c r="S124" s="635" t="n">
        <f aca="false">$AA$107</f>
        <v>800</v>
      </c>
      <c r="T124" s="635" t="n">
        <f aca="false">$AB$102</f>
        <v>7500</v>
      </c>
      <c r="U124" s="635" t="n">
        <f aca="false">$AB$107</f>
        <v>1500</v>
      </c>
    </row>
    <row r="125" customFormat="false" ht="12.8" hidden="false" customHeight="false" outlineLevel="0" collapsed="false">
      <c r="B125" s="331"/>
      <c r="C125" s="0" t="n">
        <v>26</v>
      </c>
      <c r="D125" s="486" t="n">
        <f aca="false">1500/75</f>
        <v>20</v>
      </c>
      <c r="E125" s="486" t="n">
        <f aca="false">D125+D125</f>
        <v>40</v>
      </c>
      <c r="F125" s="486" t="n">
        <f aca="false">E125+$D$125</f>
        <v>60</v>
      </c>
      <c r="G125" s="486" t="n">
        <f aca="false">F125+$D$125</f>
        <v>80</v>
      </c>
      <c r="H125" s="486" t="n">
        <f aca="false">G125+$D$125</f>
        <v>100</v>
      </c>
      <c r="I125" s="486" t="n">
        <f aca="false">H125+$D$125</f>
        <v>120</v>
      </c>
      <c r="J125" s="486" t="n">
        <f aca="false">I125+$D$125</f>
        <v>140</v>
      </c>
      <c r="K125" s="486" t="n">
        <f aca="false">J125+$D$125</f>
        <v>160</v>
      </c>
      <c r="L125" s="486" t="n">
        <f aca="false">K125+$D$125</f>
        <v>180</v>
      </c>
      <c r="M125" s="486" t="n">
        <f aca="false">L125+$D$125</f>
        <v>200</v>
      </c>
      <c r="N125" s="486" t="n">
        <f aca="false">M125+$D$125</f>
        <v>220</v>
      </c>
      <c r="O125" s="486" t="n">
        <f aca="false">N125+$D$125</f>
        <v>240</v>
      </c>
    </row>
    <row r="126" s="489" customFormat="true" ht="12.8" hidden="false" customHeight="false" outlineLevel="0" collapsed="false">
      <c r="A126" s="641" t="s">
        <v>816</v>
      </c>
      <c r="B126" s="638"/>
      <c r="C126" s="489" t="n">
        <v>27</v>
      </c>
      <c r="D126" s="642" t="n">
        <f aca="false">D125*$B$2</f>
        <v>1700</v>
      </c>
      <c r="E126" s="642" t="n">
        <f aca="false">E125*$B$2</f>
        <v>3400</v>
      </c>
      <c r="F126" s="642" t="n">
        <f aca="false">F125*$B$2</f>
        <v>5100</v>
      </c>
      <c r="G126" s="642" t="n">
        <f aca="false">G125*$B$2</f>
        <v>6800</v>
      </c>
      <c r="H126" s="642" t="n">
        <f aca="false">H125*$B$2</f>
        <v>8500</v>
      </c>
      <c r="I126" s="642" t="n">
        <f aca="false">I125*$B$2</f>
        <v>10200</v>
      </c>
      <c r="J126" s="642" t="n">
        <f aca="false">J125*$B$2</f>
        <v>11900</v>
      </c>
      <c r="K126" s="642" t="n">
        <f aca="false">K125*$B$2</f>
        <v>13600</v>
      </c>
      <c r="L126" s="642" t="n">
        <f aca="false">L125*$B$2</f>
        <v>15300</v>
      </c>
      <c r="M126" s="642" t="n">
        <f aca="false">M125*$B$2</f>
        <v>17000</v>
      </c>
      <c r="N126" s="642" t="n">
        <f aca="false">N125*$B$2</f>
        <v>18700</v>
      </c>
      <c r="O126" s="642" t="n">
        <f aca="false">O125*$B$2</f>
        <v>20400</v>
      </c>
      <c r="Q126" s="489" t="s">
        <v>816</v>
      </c>
      <c r="R126" s="635" t="n">
        <f aca="false">$AA$102</f>
        <v>3800</v>
      </c>
      <c r="S126" s="635" t="n">
        <f aca="false">$AA$107</f>
        <v>800</v>
      </c>
      <c r="T126" s="635" t="n">
        <f aca="false">$AB$102</f>
        <v>7500</v>
      </c>
      <c r="U126" s="635" t="n">
        <f aca="false">$AB$107</f>
        <v>1500</v>
      </c>
    </row>
    <row r="132" customFormat="false" ht="12.8" hidden="false" customHeight="false" outlineLevel="0" collapsed="false">
      <c r="A132" s="0" t="s">
        <v>512</v>
      </c>
      <c r="B132" s="0" t="s">
        <v>817</v>
      </c>
    </row>
    <row r="134" customFormat="false" ht="12.8" hidden="false" customHeight="false" outlineLevel="0" collapsed="false">
      <c r="A134" s="0" t="s">
        <v>131</v>
      </c>
      <c r="B134" s="0" t="n">
        <v>200</v>
      </c>
    </row>
    <row r="135" customFormat="false" ht="12.8" hidden="false" customHeight="false" outlineLevel="0" collapsed="false">
      <c r="A135" s="0" t="s">
        <v>132</v>
      </c>
      <c r="B135" s="0" t="n">
        <v>260</v>
      </c>
    </row>
  </sheetData>
  <mergeCells count="2">
    <mergeCell ref="Z99:AB99"/>
    <mergeCell ref="Z108:AB10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7" width="28.98"/>
    <col collapsed="false" customWidth="true" hidden="false" outlineLevel="0" max="2" min="2" style="307" width="14.55"/>
    <col collapsed="false" customWidth="false" hidden="false" outlineLevel="0" max="3" min="3" style="307" width="11.48"/>
    <col collapsed="false" customWidth="true" hidden="false" outlineLevel="0" max="4" min="4" style="307" width="8.67"/>
    <col collapsed="false" customWidth="false" hidden="false" outlineLevel="0" max="5" min="5" style="307" width="11.48"/>
    <col collapsed="false" customWidth="true" hidden="false" outlineLevel="0" max="6" min="6" style="307" width="71.79"/>
    <col collapsed="false" customWidth="false" hidden="false" outlineLevel="0" max="64" min="7" style="307" width="11.48"/>
  </cols>
  <sheetData>
    <row r="1" customFormat="false" ht="12.8" hidden="false" customHeight="true" outlineLevel="0" collapsed="false">
      <c r="B1" s="4" t="s">
        <v>0</v>
      </c>
      <c r="C1" s="5" t="s">
        <v>1</v>
      </c>
      <c r="D1" s="6" t="s">
        <v>2</v>
      </c>
      <c r="E1" s="0"/>
    </row>
    <row r="2" customFormat="false" ht="12.8" hidden="false" customHeight="true" outlineLevel="0" collapsed="false">
      <c r="A2" s="307" t="s">
        <v>818</v>
      </c>
      <c r="B2" s="0" t="n">
        <f aca="false">'ШАБЛОН РАСЧЁТА'!B2</f>
        <v>85</v>
      </c>
      <c r="C2" s="0" t="n">
        <f aca="false">'ШАБЛОН РАСЧЁТА'!C2</f>
        <v>120</v>
      </c>
      <c r="D2" s="0" t="n">
        <f aca="false">'ШАБЛОН РАСЧЁТА'!D2</f>
        <v>12.54</v>
      </c>
      <c r="E2" s="0"/>
    </row>
    <row r="4" customFormat="false" ht="14.65" hidden="false" customHeight="true" outlineLevel="0" collapsed="false">
      <c r="A4" s="643" t="s">
        <v>819</v>
      </c>
      <c r="B4" s="311" t="s">
        <v>820</v>
      </c>
    </row>
    <row r="5" customFormat="false" ht="14.65" hidden="false" customHeight="true" outlineLevel="0" collapsed="false">
      <c r="A5" s="307" t="s">
        <v>821</v>
      </c>
      <c r="B5" s="311" t="n">
        <v>0</v>
      </c>
      <c r="F5" s="0" t="s">
        <v>822</v>
      </c>
      <c r="G5" s="307" t="s">
        <v>823</v>
      </c>
    </row>
    <row r="6" customFormat="false" ht="14.65" hidden="false" customHeight="true" outlineLevel="0" collapsed="false">
      <c r="A6" s="307" t="s">
        <v>561</v>
      </c>
      <c r="B6" s="308" t="n">
        <f aca="false">C6*$B$2</f>
        <v>10148.15</v>
      </c>
      <c r="C6" s="644" t="n">
        <v>119.39</v>
      </c>
      <c r="D6" s="645"/>
      <c r="F6" s="307" t="s">
        <v>562</v>
      </c>
      <c r="G6" s="307" t="s">
        <v>824</v>
      </c>
    </row>
    <row r="7" customFormat="false" ht="14.65" hidden="false" customHeight="true" outlineLevel="0" collapsed="false">
      <c r="A7" s="307" t="s">
        <v>563</v>
      </c>
      <c r="B7" s="308" t="n">
        <f aca="false">C7*$B$2</f>
        <v>6137</v>
      </c>
      <c r="C7" s="644" t="n">
        <v>72.2</v>
      </c>
      <c r="D7" s="645"/>
      <c r="F7" s="307" t="s">
        <v>564</v>
      </c>
      <c r="G7" s="307" t="s">
        <v>824</v>
      </c>
    </row>
    <row r="8" customFormat="false" ht="14.65" hidden="false" customHeight="true" outlineLevel="0" collapsed="false">
      <c r="A8" s="307" t="s">
        <v>565</v>
      </c>
      <c r="B8" s="308" t="n">
        <f aca="false">C8*$B$2</f>
        <v>8677.65</v>
      </c>
      <c r="C8" s="644" t="n">
        <v>102.09</v>
      </c>
      <c r="D8" s="645"/>
      <c r="F8" s="307" t="s">
        <v>566</v>
      </c>
      <c r="G8" s="307" t="s">
        <v>824</v>
      </c>
    </row>
    <row r="9" customFormat="false" ht="14.65" hidden="false" customHeight="true" outlineLevel="0" collapsed="false">
      <c r="A9" s="307" t="s">
        <v>567</v>
      </c>
      <c r="B9" s="308" t="n">
        <f aca="false">C9*$B$2</f>
        <v>15801.5</v>
      </c>
      <c r="C9" s="644" t="n">
        <v>185.9</v>
      </c>
      <c r="D9" s="645"/>
      <c r="F9" s="307" t="s">
        <v>568</v>
      </c>
      <c r="G9" s="307" t="s">
        <v>824</v>
      </c>
    </row>
    <row r="10" customFormat="false" ht="14.65" hidden="false" customHeight="true" outlineLevel="0" collapsed="false">
      <c r="A10" s="307" t="s">
        <v>569</v>
      </c>
      <c r="B10" s="308" t="n">
        <f aca="false">C10*$B$2</f>
        <v>15843.15</v>
      </c>
      <c r="C10" s="644" t="n">
        <f aca="false">C6+67</f>
        <v>186.39</v>
      </c>
      <c r="D10" s="645"/>
      <c r="F10" s="307" t="s">
        <v>570</v>
      </c>
      <c r="G10" s="307" t="s">
        <v>824</v>
      </c>
    </row>
    <row r="11" customFormat="false" ht="12.8" hidden="false" customHeight="true" outlineLevel="0" collapsed="false">
      <c r="A11" s="307" t="s">
        <v>825</v>
      </c>
      <c r="B11" s="308" t="n">
        <f aca="false">C11*$B$2</f>
        <v>10161.75</v>
      </c>
      <c r="C11" s="644" t="n">
        <v>119.55</v>
      </c>
      <c r="D11" s="645"/>
      <c r="F11" s="307" t="s">
        <v>826</v>
      </c>
      <c r="G11" s="307" t="s">
        <v>824</v>
      </c>
    </row>
    <row r="12" customFormat="false" ht="12.8" hidden="false" customHeight="true" outlineLevel="0" collapsed="false">
      <c r="A12" s="307" t="s">
        <v>827</v>
      </c>
      <c r="B12" s="308" t="n">
        <f aca="false">C12*$B$2</f>
        <v>15215</v>
      </c>
      <c r="C12" s="644" t="n">
        <v>179</v>
      </c>
      <c r="D12" s="645"/>
      <c r="F12" s="307" t="s">
        <v>828</v>
      </c>
      <c r="G12" s="307" t="s">
        <v>824</v>
      </c>
    </row>
    <row r="13" customFormat="false" ht="12.8" hidden="false" customHeight="true" outlineLevel="0" collapsed="false">
      <c r="A13" s="307" t="s">
        <v>829</v>
      </c>
      <c r="B13" s="308" t="n">
        <f aca="false">C13*$B$2</f>
        <v>11231.05</v>
      </c>
      <c r="C13" s="644" t="n">
        <v>132.13</v>
      </c>
      <c r="D13" s="645"/>
      <c r="F13" s="307" t="s">
        <v>830</v>
      </c>
      <c r="G13" s="307" t="s">
        <v>824</v>
      </c>
    </row>
    <row r="14" customFormat="false" ht="12.8" hidden="false" customHeight="true" outlineLevel="0" collapsed="false">
      <c r="A14" s="307" t="s">
        <v>831</v>
      </c>
      <c r="B14" s="308" t="n">
        <f aca="false">C14*$B$2</f>
        <v>14586</v>
      </c>
      <c r="C14" s="644" t="n">
        <v>171.6</v>
      </c>
      <c r="D14" s="645"/>
      <c r="F14" s="307" t="s">
        <v>832</v>
      </c>
      <c r="G14" s="307" t="s">
        <v>824</v>
      </c>
    </row>
    <row r="15" customFormat="false" ht="14.65" hidden="false" customHeight="true" outlineLevel="0" collapsed="false">
      <c r="A15" s="307" t="s">
        <v>833</v>
      </c>
      <c r="B15" s="308" t="n">
        <f aca="false">C15*$B$2*2</f>
        <v>18096.5</v>
      </c>
      <c r="C15" s="644" t="n">
        <v>106.45</v>
      </c>
      <c r="D15" s="645"/>
      <c r="F15" s="307" t="s">
        <v>834</v>
      </c>
      <c r="G15" s="307" t="s">
        <v>824</v>
      </c>
    </row>
    <row r="16" customFormat="false" ht="14.65" hidden="false" customHeight="true" outlineLevel="0" collapsed="false">
      <c r="A16" s="307" t="s">
        <v>835</v>
      </c>
      <c r="B16" s="308" t="n">
        <f aca="false">C16*$B$2*2</f>
        <v>23808.5</v>
      </c>
      <c r="C16" s="644" t="n">
        <v>140.05</v>
      </c>
      <c r="D16" s="645"/>
      <c r="F16" s="307" t="s">
        <v>836</v>
      </c>
      <c r="G16" s="307" t="s">
        <v>824</v>
      </c>
    </row>
    <row r="17" customFormat="false" ht="14.65" hidden="false" customHeight="true" outlineLevel="0" collapsed="false">
      <c r="A17" s="307" t="s">
        <v>837</v>
      </c>
      <c r="B17" s="308" t="n">
        <f aca="false">C17*$B$2*2</f>
        <v>9860</v>
      </c>
      <c r="C17" s="307" t="n">
        <v>58</v>
      </c>
      <c r="F17" s="307" t="s">
        <v>838</v>
      </c>
      <c r="G17" s="307" t="s">
        <v>824</v>
      </c>
    </row>
    <row r="18" customFormat="false" ht="14.75" hidden="false" customHeight="true" outlineLevel="0" collapsed="false">
      <c r="A18" s="307" t="s">
        <v>661</v>
      </c>
      <c r="B18" s="308" t="n">
        <f aca="false">C18*$B$2*2</f>
        <v>15733.5</v>
      </c>
      <c r="C18" s="307" t="n">
        <v>92.55</v>
      </c>
      <c r="D18" s="505"/>
      <c r="E18" s="308"/>
      <c r="F18" s="307" t="s">
        <v>839</v>
      </c>
      <c r="G18" s="307" t="s">
        <v>824</v>
      </c>
    </row>
    <row r="19" customFormat="false" ht="14.75" hidden="false" customHeight="true" outlineLevel="0" collapsed="false">
      <c r="A19" s="307" t="s">
        <v>663</v>
      </c>
      <c r="B19" s="308" t="n">
        <f aca="false">C19*$B$2*2</f>
        <v>25656.4</v>
      </c>
      <c r="C19" s="307" t="n">
        <v>150.92</v>
      </c>
      <c r="D19" s="505"/>
      <c r="E19" s="646" t="s">
        <v>840</v>
      </c>
      <c r="F19" s="307" t="s">
        <v>841</v>
      </c>
      <c r="G19" s="307" t="s">
        <v>824</v>
      </c>
    </row>
    <row r="20" customFormat="false" ht="12.8" hidden="false" customHeight="true" outlineLevel="0" collapsed="false">
      <c r="A20" s="307" t="s">
        <v>571</v>
      </c>
      <c r="B20" s="308" t="n">
        <f aca="false">C20*$B$2</f>
        <v>42974.9936</v>
      </c>
      <c r="C20" s="645" t="n">
        <v>505.58816</v>
      </c>
      <c r="D20" s="308" t="n">
        <v>15918</v>
      </c>
      <c r="E20" s="647" t="n">
        <f aca="false">'_Somfy для рулонок (каталожные)'!E27</f>
        <v>18910</v>
      </c>
      <c r="F20" s="307" t="s">
        <v>572</v>
      </c>
      <c r="G20" s="307" t="s">
        <v>824</v>
      </c>
      <c r="L20" s="308" t="n">
        <v>19670</v>
      </c>
      <c r="M20" s="307" t="n">
        <f aca="false">L20*1.3</f>
        <v>25571</v>
      </c>
    </row>
    <row r="21" customFormat="false" ht="12.8" hidden="false" customHeight="true" outlineLevel="0" collapsed="false">
      <c r="A21" s="307" t="s">
        <v>573</v>
      </c>
      <c r="B21" s="308" t="n">
        <f aca="false">C21*$B$2</f>
        <v>44154.698825</v>
      </c>
      <c r="C21" s="645" t="n">
        <v>519.467045</v>
      </c>
      <c r="D21" s="308" t="n">
        <v>15884</v>
      </c>
      <c r="E21" s="647" t="n">
        <f aca="false">'_Somfy для рулонок (каталожные)'!E28</f>
        <v>18910</v>
      </c>
      <c r="F21" s="307" t="s">
        <v>574</v>
      </c>
      <c r="G21" s="307" t="s">
        <v>824</v>
      </c>
      <c r="L21" s="308" t="n">
        <v>19670</v>
      </c>
      <c r="M21" s="307" t="n">
        <f aca="false">L21*1.3</f>
        <v>25571</v>
      </c>
    </row>
    <row r="22" customFormat="false" ht="12.8" hidden="false" customHeight="true" outlineLevel="0" collapsed="false">
      <c r="A22" s="307" t="s">
        <v>575</v>
      </c>
      <c r="B22" s="308" t="n">
        <f aca="false">C22*$B$2</f>
        <v>63619.842985</v>
      </c>
      <c r="C22" s="645" t="n">
        <v>748.468741</v>
      </c>
      <c r="D22" s="308" t="n">
        <v>23766</v>
      </c>
      <c r="E22" s="647" t="n">
        <f aca="false">'_Somfy для рулонок (каталожные)'!E31</f>
        <v>28320</v>
      </c>
      <c r="F22" s="307" t="s">
        <v>576</v>
      </c>
      <c r="G22" s="307" t="s">
        <v>824</v>
      </c>
      <c r="L22" s="308" t="n">
        <v>29450</v>
      </c>
      <c r="M22" s="307" t="n">
        <f aca="false">L22*1.3</f>
        <v>38285</v>
      </c>
    </row>
    <row r="23" customFormat="false" ht="12.8" hidden="false" customHeight="true" outlineLevel="0" collapsed="false">
      <c r="A23" s="307" t="s">
        <v>577</v>
      </c>
      <c r="B23" s="308" t="n">
        <f aca="false">C23*$B$2</f>
        <v>67467.93145</v>
      </c>
      <c r="C23" s="645" t="n">
        <v>793.74037</v>
      </c>
      <c r="D23" s="308" t="n">
        <v>22869</v>
      </c>
      <c r="E23" s="647" t="n">
        <f aca="false">'_Somfy для рулонок (каталожные)'!E32</f>
        <v>27190</v>
      </c>
      <c r="F23" s="307" t="s">
        <v>578</v>
      </c>
      <c r="G23" s="307" t="s">
        <v>824</v>
      </c>
      <c r="L23" s="308" t="n">
        <v>28280</v>
      </c>
      <c r="M23" s="307" t="n">
        <f aca="false">L23*1.3</f>
        <v>36764</v>
      </c>
    </row>
    <row r="24" customFormat="false" ht="12.8" hidden="false" customHeight="true" outlineLevel="0" collapsed="false">
      <c r="A24" s="648" t="s">
        <v>842</v>
      </c>
      <c r="B24" s="308" t="n">
        <f aca="false">C24*$B$2</f>
        <v>53684.64</v>
      </c>
      <c r="C24" s="645" t="n">
        <v>631.584</v>
      </c>
      <c r="D24" s="308" t="n">
        <v>17312</v>
      </c>
      <c r="E24" s="649" t="n">
        <v>24320</v>
      </c>
      <c r="F24" s="307" t="s">
        <v>843</v>
      </c>
      <c r="G24" s="307" t="s">
        <v>824</v>
      </c>
      <c r="L24" s="308" t="n">
        <v>25800</v>
      </c>
      <c r="M24" s="307" t="n">
        <f aca="false">L24*1.3</f>
        <v>33540</v>
      </c>
    </row>
    <row r="25" customFormat="false" ht="12.8" hidden="false" customHeight="true" outlineLevel="0" collapsed="false">
      <c r="A25" s="650" t="s">
        <v>844</v>
      </c>
      <c r="B25" s="308" t="s">
        <v>29</v>
      </c>
      <c r="C25" s="645"/>
      <c r="D25" s="308"/>
      <c r="E25" s="647"/>
      <c r="F25" s="307" t="s">
        <v>845</v>
      </c>
      <c r="G25" s="307" t="s">
        <v>824</v>
      </c>
      <c r="L25" s="649" t="n">
        <f aca="false">20180*1.05</f>
        <v>21189</v>
      </c>
      <c r="M25" s="307" t="n">
        <f aca="false">L25*1.3</f>
        <v>27545.7</v>
      </c>
    </row>
    <row r="26" customFormat="false" ht="12.8" hidden="false" customHeight="true" outlineLevel="0" collapsed="false">
      <c r="A26" s="650" t="s">
        <v>846</v>
      </c>
      <c r="B26" s="308" t="s">
        <v>29</v>
      </c>
      <c r="C26" s="645"/>
      <c r="D26" s="308"/>
      <c r="E26" s="647"/>
      <c r="F26" s="307" t="s">
        <v>847</v>
      </c>
      <c r="G26" s="307" t="s">
        <v>824</v>
      </c>
      <c r="L26" s="649" t="n">
        <f aca="false">18410*1.05</f>
        <v>19330.5</v>
      </c>
      <c r="M26" s="307" t="n">
        <f aca="false">L26*1.3</f>
        <v>25129.65</v>
      </c>
    </row>
    <row r="27" customFormat="false" ht="12.8" hidden="false" customHeight="true" outlineLevel="0" collapsed="false">
      <c r="A27" s="307" t="s">
        <v>579</v>
      </c>
      <c r="B27" s="308" t="n">
        <f aca="false">C27*$C$2</f>
        <v>15261.6</v>
      </c>
      <c r="C27" s="307" t="n">
        <v>127.18</v>
      </c>
      <c r="E27" s="307" t="n">
        <v>10190</v>
      </c>
      <c r="F27" s="307" t="s">
        <v>580</v>
      </c>
      <c r="G27" s="307" t="s">
        <v>824</v>
      </c>
      <c r="L27" s="651" t="n">
        <v>8000</v>
      </c>
      <c r="M27" s="307" t="n">
        <f aca="false">L27*1.3</f>
        <v>10400</v>
      </c>
    </row>
    <row r="28" customFormat="false" ht="12.8" hidden="false" customHeight="true" outlineLevel="0" collapsed="false">
      <c r="A28" s="307" t="s">
        <v>848</v>
      </c>
      <c r="B28" s="308" t="n">
        <f aca="false">C28*$B$2</f>
        <v>51728.688</v>
      </c>
      <c r="C28" s="307" t="n">
        <v>608.5728</v>
      </c>
      <c r="F28" s="307" t="s">
        <v>849</v>
      </c>
      <c r="G28" s="307" t="s">
        <v>824</v>
      </c>
      <c r="L28" s="308" t="n">
        <v>35340</v>
      </c>
      <c r="M28" s="307" t="n">
        <f aca="false">L28*1.3</f>
        <v>45942</v>
      </c>
    </row>
    <row r="29" customFormat="false" ht="12.8" hidden="false" customHeight="true" outlineLevel="0" collapsed="false">
      <c r="A29" s="307" t="s">
        <v>850</v>
      </c>
      <c r="B29" s="308" t="n">
        <f aca="false">C29*$B$2</f>
        <v>64338.336</v>
      </c>
      <c r="C29" s="307" t="n">
        <v>756.9216</v>
      </c>
      <c r="F29" s="307" t="s">
        <v>851</v>
      </c>
      <c r="G29" s="307" t="s">
        <v>824</v>
      </c>
      <c r="L29" s="308" t="n">
        <v>40820</v>
      </c>
      <c r="M29" s="307" t="n">
        <f aca="false">L29*1.3</f>
        <v>53066</v>
      </c>
    </row>
    <row r="30" customFormat="false" ht="12.8" hidden="false" customHeight="true" outlineLevel="0" collapsed="false">
      <c r="B30" s="308"/>
      <c r="C30" s="645"/>
      <c r="D30" s="308"/>
      <c r="L30" s="308" t="n">
        <v>540</v>
      </c>
      <c r="M30" s="307" t="n">
        <f aca="false">L30*1.3</f>
        <v>702</v>
      </c>
    </row>
    <row r="31" customFormat="false" ht="14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52"/>
    <col collapsed="false" customWidth="true" hidden="false" outlineLevel="0" max="2" min="2" style="0" width="49.77"/>
  </cols>
  <sheetData>
    <row r="1" customFormat="false" ht="12.8" hidden="false" customHeight="false" outlineLevel="0" collapsed="false">
      <c r="A1" s="0" t="s">
        <v>852</v>
      </c>
      <c r="B1" s="0" t="s">
        <v>853</v>
      </c>
      <c r="C1" s="0" t="s">
        <v>854</v>
      </c>
      <c r="D1" s="0" t="s">
        <v>855</v>
      </c>
      <c r="E1" s="0" t="s">
        <v>856</v>
      </c>
      <c r="F1" s="0" t="s">
        <v>857</v>
      </c>
      <c r="G1" s="0" t="s">
        <v>858</v>
      </c>
      <c r="H1" s="0" t="s">
        <v>859</v>
      </c>
      <c r="I1" s="0" t="s">
        <v>860</v>
      </c>
    </row>
    <row r="2" customFormat="false" ht="12.8" hidden="false" customHeight="false" outlineLevel="0" collapsed="false">
      <c r="A2" s="0" t="s">
        <v>861</v>
      </c>
      <c r="B2" s="0" t="s">
        <v>862</v>
      </c>
      <c r="C2" s="0" t="n">
        <v>480.914823529412</v>
      </c>
      <c r="D2" s="0" t="n">
        <v>466.487378823529</v>
      </c>
      <c r="E2" s="0" t="n">
        <v>452.059934117647</v>
      </c>
      <c r="F2" s="0" t="n">
        <v>437.632489411765</v>
      </c>
      <c r="G2" s="0" t="n">
        <v>423.205044705882</v>
      </c>
      <c r="H2" s="0" t="n">
        <v>408.7776</v>
      </c>
      <c r="I2" s="0" t="n">
        <f aca="false">H2*2</f>
        <v>817.5552</v>
      </c>
    </row>
    <row r="3" customFormat="false" ht="12.8" hidden="false" customHeight="false" outlineLevel="0" collapsed="false">
      <c r="A3" s="0" t="s">
        <v>863</v>
      </c>
      <c r="B3" s="0" t="s">
        <v>864</v>
      </c>
      <c r="C3" s="0" t="n">
        <v>480.914823529412</v>
      </c>
      <c r="D3" s="0" t="n">
        <v>466.487378823529</v>
      </c>
      <c r="E3" s="0" t="n">
        <v>452.059934117647</v>
      </c>
      <c r="F3" s="0" t="n">
        <v>437.632489411765</v>
      </c>
      <c r="G3" s="0" t="n">
        <v>423.205044705882</v>
      </c>
      <c r="H3" s="0" t="n">
        <v>408.7776</v>
      </c>
      <c r="I3" s="0" t="n">
        <f aca="false">H3*2</f>
        <v>817.5552</v>
      </c>
    </row>
    <row r="4" customFormat="false" ht="12.8" hidden="false" customHeight="false" outlineLevel="0" collapsed="false">
      <c r="A4" s="0" t="s">
        <v>865</v>
      </c>
      <c r="B4" s="0" t="s">
        <v>862</v>
      </c>
      <c r="C4" s="0" t="n">
        <v>558.530823529412</v>
      </c>
      <c r="D4" s="0" t="n">
        <v>541.774898823529</v>
      </c>
      <c r="E4" s="0" t="n">
        <v>525.018974117647</v>
      </c>
      <c r="F4" s="0" t="n">
        <v>508.263049411765</v>
      </c>
      <c r="G4" s="0" t="n">
        <v>491.507124705882</v>
      </c>
      <c r="H4" s="0" t="n">
        <v>474.7512</v>
      </c>
      <c r="I4" s="0" t="n">
        <f aca="false">H4*2</f>
        <v>949.5024</v>
      </c>
    </row>
    <row r="5" customFormat="false" ht="12.8" hidden="false" customHeight="false" outlineLevel="0" collapsed="false">
      <c r="A5" s="0" t="s">
        <v>866</v>
      </c>
      <c r="B5" s="0" t="s">
        <v>867</v>
      </c>
      <c r="C5" s="0" t="n">
        <v>496.687058823529</v>
      </c>
      <c r="D5" s="0" t="n">
        <v>481.786447058824</v>
      </c>
      <c r="E5" s="0" t="n">
        <v>466.885835294118</v>
      </c>
      <c r="F5" s="0" t="n">
        <v>451.985223529412</v>
      </c>
      <c r="G5" s="0" t="n">
        <v>437.084611764706</v>
      </c>
      <c r="H5" s="0" t="n">
        <v>422.184</v>
      </c>
      <c r="I5" s="0" t="n">
        <f aca="false">H5*2</f>
        <v>844.368</v>
      </c>
    </row>
    <row r="6" customFormat="false" ht="12.8" hidden="false" customHeight="false" outlineLevel="0" collapsed="false">
      <c r="A6" s="0" t="s">
        <v>868</v>
      </c>
      <c r="B6" s="0" t="s">
        <v>869</v>
      </c>
      <c r="C6" s="0" t="n">
        <v>543.78957</v>
      </c>
      <c r="D6" s="0" t="n">
        <v>527.4758829</v>
      </c>
      <c r="E6" s="0" t="n">
        <v>511.1621958</v>
      </c>
      <c r="F6" s="0" t="n">
        <v>494.8485087</v>
      </c>
      <c r="G6" s="0" t="n">
        <v>478.5348216</v>
      </c>
      <c r="H6" s="0" t="n">
        <v>462.2211345</v>
      </c>
      <c r="I6" s="0" t="n">
        <f aca="false">H6*2</f>
        <v>924.442269</v>
      </c>
    </row>
    <row r="7" customFormat="false" ht="12.8" hidden="false" customHeight="false" outlineLevel="0" collapsed="false">
      <c r="A7" s="0" t="s">
        <v>870</v>
      </c>
      <c r="B7" s="0" t="s">
        <v>867</v>
      </c>
      <c r="C7" s="0" t="n">
        <v>628.9395</v>
      </c>
      <c r="D7" s="0" t="n">
        <v>610.071315</v>
      </c>
      <c r="E7" s="0" t="n">
        <v>591.20313</v>
      </c>
      <c r="F7" s="0" t="n">
        <v>572.334945</v>
      </c>
      <c r="G7" s="0" t="n">
        <v>553.46676</v>
      </c>
      <c r="H7" s="0" t="n">
        <v>534.598575</v>
      </c>
      <c r="I7" s="0" t="n">
        <f aca="false">H7*2</f>
        <v>1069.19715</v>
      </c>
    </row>
    <row r="8" customFormat="false" ht="12.8" hidden="false" customHeight="false" outlineLevel="0" collapsed="false">
      <c r="A8" s="0" t="s">
        <v>871</v>
      </c>
      <c r="B8" s="0" t="s">
        <v>864</v>
      </c>
      <c r="C8" s="0" t="n">
        <v>232.73914</v>
      </c>
      <c r="D8" s="0" t="n">
        <v>225.7569658</v>
      </c>
      <c r="E8" s="0" t="n">
        <v>218.7747916</v>
      </c>
      <c r="F8" s="0" t="n">
        <v>211.7926174</v>
      </c>
      <c r="G8" s="0" t="n">
        <v>204.8104432</v>
      </c>
      <c r="H8" s="0" t="n">
        <v>197.828269</v>
      </c>
      <c r="I8" s="0" t="n">
        <f aca="false">H8*2</f>
        <v>395.656538</v>
      </c>
    </row>
    <row r="9" customFormat="false" ht="12.8" hidden="false" customHeight="false" outlineLevel="0" collapsed="false">
      <c r="A9" s="0" t="s">
        <v>872</v>
      </c>
      <c r="B9" s="0" t="s">
        <v>862</v>
      </c>
      <c r="C9" s="0" t="n">
        <v>206.699294117647</v>
      </c>
      <c r="D9" s="0" t="n">
        <v>200.498315294118</v>
      </c>
      <c r="E9" s="0" t="n">
        <v>194.297336470588</v>
      </c>
      <c r="F9" s="0" t="n">
        <v>188.096357647059</v>
      </c>
      <c r="G9" s="0" t="n">
        <v>181.895378823529</v>
      </c>
      <c r="H9" s="0" t="n">
        <v>175.6944</v>
      </c>
      <c r="I9" s="0" t="n">
        <f aca="false">H9*2</f>
        <v>351.3888</v>
      </c>
    </row>
    <row r="10" customFormat="false" ht="12.8" hidden="false" customHeight="false" outlineLevel="0" collapsed="false">
      <c r="A10" s="0" t="s">
        <v>873</v>
      </c>
      <c r="B10" s="0" t="s">
        <v>862</v>
      </c>
      <c r="C10" s="0" t="n">
        <v>279.5287</v>
      </c>
      <c r="D10" s="0" t="n">
        <v>271.142839</v>
      </c>
      <c r="E10" s="0" t="n">
        <v>262.756978</v>
      </c>
      <c r="F10" s="0" t="n">
        <v>254.371117</v>
      </c>
      <c r="G10" s="0" t="n">
        <v>245.985256</v>
      </c>
      <c r="H10" s="0" t="n">
        <v>237.599395</v>
      </c>
      <c r="I10" s="0" t="n">
        <f aca="false">H10*2</f>
        <v>475.19879</v>
      </c>
    </row>
    <row r="11" customFormat="false" ht="12.8" hidden="false" customHeight="false" outlineLevel="0" collapsed="false">
      <c r="A11" s="0" t="s">
        <v>874</v>
      </c>
      <c r="B11" s="0" t="s">
        <v>875</v>
      </c>
      <c r="C11" s="0" t="n">
        <v>555.348705882353</v>
      </c>
      <c r="D11" s="0" t="n">
        <v>538.688244705882</v>
      </c>
      <c r="E11" s="0" t="n">
        <v>522.027783529412</v>
      </c>
      <c r="F11" s="0" t="n">
        <v>505.367322352941</v>
      </c>
      <c r="G11" s="0" t="n">
        <v>488.706861176471</v>
      </c>
      <c r="H11" s="0" t="n">
        <v>472.0464</v>
      </c>
      <c r="I11" s="0" t="n">
        <f aca="false">H11*2</f>
        <v>944.0928</v>
      </c>
    </row>
    <row r="12" customFormat="false" ht="12.8" hidden="false" customHeight="false" outlineLevel="0" collapsed="false">
      <c r="A12" s="0" t="s">
        <v>876</v>
      </c>
      <c r="B12" s="0" t="s">
        <v>877</v>
      </c>
      <c r="C12" s="0" t="n">
        <v>100.444235294118</v>
      </c>
      <c r="D12" s="0" t="n">
        <v>97.4309082352941</v>
      </c>
      <c r="E12" s="0" t="n">
        <v>94.4175811764706</v>
      </c>
      <c r="F12" s="0" t="n">
        <v>91.404254117647</v>
      </c>
      <c r="G12" s="0" t="n">
        <v>88.3909270588235</v>
      </c>
      <c r="H12" s="0" t="n">
        <v>85.3776</v>
      </c>
      <c r="I12" s="0" t="n">
        <f aca="false">H12*2</f>
        <v>170.7552</v>
      </c>
    </row>
    <row r="13" customFormat="false" ht="12.8" hidden="false" customHeight="false" outlineLevel="0" collapsed="false">
      <c r="A13" s="0" t="s">
        <v>878</v>
      </c>
      <c r="B13" s="0" t="s">
        <v>879</v>
      </c>
      <c r="C13" s="0" t="n">
        <v>308.112</v>
      </c>
      <c r="D13" s="0" t="n">
        <v>298.86864</v>
      </c>
      <c r="E13" s="0" t="n">
        <v>289.62528</v>
      </c>
      <c r="F13" s="0" t="n">
        <v>280.38192</v>
      </c>
      <c r="G13" s="0" t="n">
        <v>271.13856</v>
      </c>
      <c r="H13" s="0" t="n">
        <v>261.8952</v>
      </c>
      <c r="I13" s="0" t="n">
        <f aca="false">H13*2</f>
        <v>523.7904</v>
      </c>
    </row>
    <row r="15" customFormat="false" ht="12.8" hidden="false" customHeight="false" outlineLevel="0" collapsed="false">
      <c r="A15" s="0" t="s">
        <v>880</v>
      </c>
      <c r="B15" s="0" t="s">
        <v>881</v>
      </c>
      <c r="C15" s="0" t="n">
        <v>297.4048</v>
      </c>
      <c r="D15" s="0" t="n">
        <v>288.482656</v>
      </c>
      <c r="E15" s="0" t="n">
        <v>279.560512</v>
      </c>
      <c r="F15" s="0" t="n">
        <v>270.638368</v>
      </c>
      <c r="G15" s="0" t="n">
        <v>261.716224</v>
      </c>
      <c r="H15" s="0" t="n">
        <v>252.79408</v>
      </c>
      <c r="I15" s="0" t="n">
        <f aca="false">H15*2</f>
        <v>505.58816</v>
      </c>
    </row>
    <row r="16" customFormat="false" ht="12.8" hidden="false" customHeight="false" outlineLevel="0" collapsed="false">
      <c r="A16" s="0" t="s">
        <v>882</v>
      </c>
      <c r="B16" s="0" t="s">
        <v>881</v>
      </c>
      <c r="C16" s="0" t="n">
        <v>305.56885</v>
      </c>
      <c r="D16" s="0" t="n">
        <v>296.4017845</v>
      </c>
      <c r="E16" s="0" t="n">
        <v>287.234719</v>
      </c>
      <c r="F16" s="0" t="n">
        <v>278.0676535</v>
      </c>
      <c r="G16" s="0" t="n">
        <v>268.900588</v>
      </c>
      <c r="H16" s="0" t="n">
        <v>259.7335225</v>
      </c>
      <c r="I16" s="0" t="n">
        <f aca="false">H16*2</f>
        <v>519.467045</v>
      </c>
    </row>
    <row r="17" customFormat="false" ht="12.8" hidden="false" customHeight="false" outlineLevel="0" collapsed="false">
      <c r="A17" s="0" t="s">
        <v>883</v>
      </c>
      <c r="B17" s="0" t="s">
        <v>884</v>
      </c>
      <c r="C17" s="0" t="n">
        <v>440.27573</v>
      </c>
      <c r="D17" s="0" t="n">
        <v>427.0674581</v>
      </c>
      <c r="E17" s="0" t="n">
        <v>413.8591862</v>
      </c>
      <c r="F17" s="0" t="n">
        <v>400.6509143</v>
      </c>
      <c r="G17" s="0" t="n">
        <v>387.4426424</v>
      </c>
      <c r="H17" s="0" t="n">
        <v>374.2343705</v>
      </c>
      <c r="I17" s="0" t="n">
        <f aca="false">H17*2</f>
        <v>748.468741</v>
      </c>
    </row>
    <row r="18" customFormat="false" ht="12.8" hidden="false" customHeight="false" outlineLevel="0" collapsed="false">
      <c r="A18" s="0" t="s">
        <v>885</v>
      </c>
      <c r="B18" s="0" t="s">
        <v>884</v>
      </c>
      <c r="C18" s="0" t="n">
        <v>466.9061</v>
      </c>
      <c r="D18" s="0" t="n">
        <v>452.898917</v>
      </c>
      <c r="E18" s="0" t="n">
        <v>438.891734</v>
      </c>
      <c r="F18" s="0" t="n">
        <v>424.884551</v>
      </c>
      <c r="G18" s="0" t="n">
        <v>410.877368</v>
      </c>
      <c r="H18" s="0" t="n">
        <v>396.870185</v>
      </c>
      <c r="I18" s="0" t="n">
        <f aca="false">H18*2</f>
        <v>793.74037</v>
      </c>
    </row>
    <row r="20" customFormat="false" ht="12.8" hidden="false" customHeight="false" outlineLevel="0" collapsed="false">
      <c r="A20" s="0" t="s">
        <v>882</v>
      </c>
      <c r="B20" s="0" t="s">
        <v>881</v>
      </c>
      <c r="C20" s="0" t="n">
        <v>305.56885</v>
      </c>
      <c r="D20" s="0" t="n">
        <v>296.4017845</v>
      </c>
      <c r="E20" s="0" t="n">
        <v>287.234719</v>
      </c>
      <c r="F20" s="0" t="n">
        <v>278.0676535</v>
      </c>
      <c r="G20" s="0" t="n">
        <v>268.900588</v>
      </c>
      <c r="H20" s="0" t="n">
        <v>259.7335225</v>
      </c>
      <c r="I20" s="0" t="n">
        <f aca="false">H20*2</f>
        <v>519.467045</v>
      </c>
    </row>
    <row r="21" customFormat="false" ht="12.8" hidden="false" customHeight="false" outlineLevel="0" collapsed="false">
      <c r="A21" s="0" t="s">
        <v>886</v>
      </c>
      <c r="B21" s="0" t="s">
        <v>887</v>
      </c>
      <c r="C21" s="0" t="n">
        <v>290.016</v>
      </c>
      <c r="D21" s="0" t="n">
        <v>281.31552</v>
      </c>
      <c r="E21" s="0" t="n">
        <v>272.61504</v>
      </c>
      <c r="F21" s="0" t="n">
        <v>263.91456</v>
      </c>
      <c r="G21" s="0" t="n">
        <v>255.21408</v>
      </c>
      <c r="H21" s="0" t="n">
        <v>246.5136</v>
      </c>
      <c r="I21" s="0" t="n">
        <f aca="false">H21*2</f>
        <v>493.0272</v>
      </c>
    </row>
    <row r="22" customFormat="false" ht="12.8" hidden="false" customHeight="false" outlineLevel="0" collapsed="false">
      <c r="A22" s="0" t="s">
        <v>885</v>
      </c>
      <c r="B22" s="0" t="s">
        <v>884</v>
      </c>
      <c r="C22" s="0" t="n">
        <v>466.9061</v>
      </c>
      <c r="D22" s="0" t="n">
        <v>452.898917</v>
      </c>
      <c r="E22" s="0" t="n">
        <v>438.891734</v>
      </c>
      <c r="F22" s="0" t="n">
        <v>424.884551</v>
      </c>
      <c r="G22" s="0" t="n">
        <v>410.877368</v>
      </c>
      <c r="H22" s="0" t="n">
        <v>396.870185</v>
      </c>
      <c r="I22" s="0" t="n">
        <f aca="false">H22*2</f>
        <v>793.74037</v>
      </c>
    </row>
    <row r="23" customFormat="false" ht="12.8" hidden="false" customHeight="false" outlineLevel="0" collapsed="false">
      <c r="A23" s="0" t="s">
        <v>888</v>
      </c>
      <c r="B23" s="0" t="s">
        <v>884</v>
      </c>
      <c r="C23" s="0" t="n">
        <v>415.584</v>
      </c>
      <c r="D23" s="0" t="n">
        <v>403.11648</v>
      </c>
      <c r="E23" s="0" t="n">
        <v>390.64896</v>
      </c>
      <c r="F23" s="0" t="n">
        <v>378.18144</v>
      </c>
      <c r="G23" s="0" t="n">
        <v>365.71392</v>
      </c>
      <c r="H23" s="0" t="n">
        <v>353.2464</v>
      </c>
      <c r="I23" s="0" t="n">
        <f aca="false">H23*2</f>
        <v>706.4928</v>
      </c>
    </row>
    <row r="25" customFormat="false" ht="12.8" hidden="false" customHeight="false" outlineLevel="0" collapsed="false">
      <c r="A25" s="0" t="s">
        <v>889</v>
      </c>
      <c r="B25" s="0" t="s">
        <v>890</v>
      </c>
      <c r="C25" s="0" t="n">
        <v>371.52</v>
      </c>
      <c r="D25" s="0" t="n">
        <v>360.3744</v>
      </c>
      <c r="E25" s="0" t="n">
        <v>349.2288</v>
      </c>
      <c r="F25" s="0" t="n">
        <v>338.0832</v>
      </c>
      <c r="G25" s="0" t="n">
        <v>326.9376</v>
      </c>
      <c r="H25" s="0" t="n">
        <v>315.792</v>
      </c>
      <c r="I25" s="0" t="n">
        <f aca="false">H25*2</f>
        <v>631.584</v>
      </c>
    </row>
    <row r="27" customFormat="false" ht="12.8" hidden="false" customHeight="false" outlineLevel="0" collapsed="false">
      <c r="A27" s="0" t="s">
        <v>891</v>
      </c>
      <c r="B27" s="0" t="s">
        <v>892</v>
      </c>
      <c r="C27" s="0" t="n">
        <v>357.984</v>
      </c>
      <c r="D27" s="0" t="n">
        <v>347.24448</v>
      </c>
      <c r="E27" s="0" t="n">
        <v>336.50496</v>
      </c>
      <c r="F27" s="0" t="n">
        <v>325.76544</v>
      </c>
      <c r="G27" s="0" t="n">
        <v>315.02592</v>
      </c>
      <c r="H27" s="0" t="n">
        <v>304.2864</v>
      </c>
      <c r="I27" s="0" t="n">
        <f aca="false">H27*2</f>
        <v>608.5728</v>
      </c>
    </row>
    <row r="28" customFormat="false" ht="12.8" hidden="false" customHeight="false" outlineLevel="0" collapsed="false">
      <c r="A28" s="0" t="s">
        <v>893</v>
      </c>
      <c r="B28" s="0" t="s">
        <v>894</v>
      </c>
      <c r="C28" s="0" t="n">
        <v>445.248</v>
      </c>
      <c r="D28" s="0" t="n">
        <v>431.89056</v>
      </c>
      <c r="E28" s="0" t="n">
        <v>418.53312</v>
      </c>
      <c r="F28" s="0" t="n">
        <v>405.17568</v>
      </c>
      <c r="G28" s="0" t="n">
        <v>391.81824</v>
      </c>
      <c r="H28" s="0" t="n">
        <v>378.4608</v>
      </c>
      <c r="I28" s="0" t="n">
        <f aca="false">H28*2</f>
        <v>756.9216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&amp;C&amp;"Arial,Обычный"&amp;A</oddHeader>
    <oddFooter>&amp;C&amp;"Arial,Обычный"Страница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2023-07-01T18:48:12Z</dcterms:created>
  <dc:creator/>
  <dc:description/>
  <dc:language>ru-RU</dc:language>
  <cp:lastModifiedBy/>
  <cp:revision>1</cp:revision>
  <dc:subject/>
  <dc:title>расчёт стоимости рулонок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