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unya tin\SKRIPSI\EXCEL\"/>
    </mc:Choice>
  </mc:AlternateContent>
  <xr:revisionPtr revIDLastSave="0" documentId="13_ncr:1_{63AEECDB-C40E-49A4-9E84-94CD8EFEA0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ektrolisis" sheetId="28" r:id="rId1"/>
    <sheet name="revisi" sheetId="49" state="hidden" r:id="rId2"/>
    <sheet name="REAKSI" sheetId="30" r:id="rId3"/>
    <sheet name="RUMUS" sheetId="34" r:id="rId4"/>
    <sheet name="bagan" sheetId="50" state="hidden" r:id="rId5"/>
    <sheet name="CONTOH REAKSI" sheetId="48" r:id="rId6"/>
  </sheets>
  <definedNames>
    <definedName name="ANODA2">IF(Elektrolisis!$AJ$6="Error",IF(AND(Elektrolisis!$W$14=1,Elektrolisis!$E$8&gt;=7,Elektrolisis!$R$22=TRUE,Elektrolisis!$C$12=TRUE),INDEX(REAKSI!$I$2:$I$172,MATCH(3,REAKSI!$B$2:$B$172,1)),IF(OR(Elektrolisis!$W$14&lt;&gt;1,Elektrolisis!$E$8&lt;7,Elektrolisis!$R$22=FALSE,Elektrolisis!$C$12=FALSE),INDEX(REAKSI!$L$2:$L$172,MATCH(3,REAKSI!$B$2:$B$172,1)))),IF(AND(Elektrolisis!$W$14=1,Elektrolisis!$E$8&gt;=7,Elektrolisis!$R$22=TRUE,Elektrolisis!$C$12=TRUE),INDEX(REAKSI!$I$2:$I$172,MATCH(Elektrolisis!$M$7,REAKSI!$B$2:$B$172,1)),IF(OR(Elektrolisis!$W$14&lt;&gt;1,Elektrolisis!$E$8&lt;7,Elektrolisis!$R$22=FALSE,Elektrolisis!$C$12=FALSE),INDEX(REAKSI!$L$2:$L$172,MATCH(Elektrolisis!$M$7,REAKSI!$B$2:$B$172,1)))))</definedName>
    <definedName name="ANODA3">IF(Elektrolisis!$AJ$6="Error",IF(AND(Elektrolisis!$W$14=1,Elektrolisis!$E$8&gt;=7,Elektrolisis!$R$22=TRUE),INDEX(REAKSI!$AC$3:$AC$172,MATCH(3,REAKSI!$B$3:$B$172,1)),IF(OR(Elektrolisis!$W$14&lt;&gt;1,Elektrolisis!$E$8&lt;7,Elektrolisis!$R$23=FALSE),INDEX(REAKSI!$AG$3:$AG$172,MATCH(3,REAKSI!$B$3:$B$172,1)))),IF(AND(Elektrolisis!$W$14=1,Elektrolisis!$E$8&gt;=7,Elektrolisis!$R$22=TRUE),INDEX(REAKSI!$AC$3:$AC$172,MATCH(Elektrolisis!$M$7,REAKSI!$B$3:$B$172,1)),IF(OR(Elektrolisis!$W$14&lt;&gt;1,Elektrolisis!$E$8&lt;7,Elektrolisis!$R$23=FALSE),INDEX(REAKSI!$AG$3:$AG$172,MATCH(Elektrolisis!$L$7,REAKSI!$B$3:$B$172,1)))))</definedName>
    <definedName name="ANODA4">IF(Elektrolisis!$AJ$6="Error",IF(AND(Elektrolisis!$W$14=1,Elektrolisis!$E$8&gt;=7,Elektrolisis!$R$22=TRUE),INDEX(REAKSI!$AD$3:$AD$172,MATCH(3,REAKSI!$B$3:$B$172,1)),IF(OR(Elektrolisis!$W$14&lt;&gt;1,Elektrolisis!$E$8&lt;7,Elektrolisis!$R$23=FALSE),INDEX(REAKSI!$AG$3:$AG$172,MATCH(3,REAKSI!$B$3:$B$172,1)))),IF(AND(Elektrolisis!$W$14=1,Elektrolisis!$E$8&gt;=7,Elektrolisis!$R$22=TRUE),INDEX(REAKSI!$AD$3:$AD$172,MATCH(Elektrolisis!$M$7,REAKSI!$B$3:$B$172,1)),IF(OR(Elektrolisis!$W$14&lt;&gt;1,Elektrolisis!$E$8&lt;7,Elektrolisis!$R$23=FALSE),INDEX(REAKSI!$AG$3:$AG$172,MATCH(Elektrolisis!$L$7,REAKSI!$B$3:$B$172,1)))))</definedName>
    <definedName name="ANOION">IF(AND(Elektrolisis!$W$14=1,Elektrolisis!$E$8&gt;=7,Elektrolisis!$R$22=TRUE),INDEX(REAKSI!$W$3:$W$172,MATCH(Elektrolisis!$M$7,REAKSI!$B$3:$B$172,1)),IF(OR(Elektrolisis!$W$14&lt;&gt;1,Elektrolisis!$E$8&lt;7,Elektrolisis!$R$22=FALSE),INDEX(REAKSI!$AH$3:$AH$172,MATCH(Elektrolisis!$M$7,REAKSI!$B$3:$B$172,1))))</definedName>
    <definedName name="ANOION2">IF(Elektrolisis!$AJ$6="Error",IF(AND(Elektrolisis!$W$14=1,Elektrolisis!$E$8&gt;=7,Elektrolisis!$R$22=TRUE),INDEX(REAKSI!$X$3:$X$172,MATCH(3,REAKSI!$B$3:$B$172,1)),IF(OR(Elektrolisis!$W$14&lt;&gt;1,Elektrolisis!$E$8&lt;7,Elektrolisis!$R$22=FALSE),INDEX(REAKSI!$AH$3:$AH$172,MATCH(3,REAKSI!$B$3:$B$172,1)))),IF(AND(Elektrolisis!$W$14=1,Elektrolisis!$E$8&gt;=7,Elektrolisis!$R$22=TRUE),INDEX(REAKSI!$X$3:$X$172,MATCH(Elektrolisis!$M$7,REAKSI!$B$3:$B$172,1)),IF(OR(Elektrolisis!$W$14&lt;&gt;1,Elektrolisis!$E$8&lt;7,Elektrolisis!$R$22=FALSE),INDEX(REAKSI!$AH$3:$AH$172,MATCH(Elektrolisis!$M$7,REAKSI!$B$3:$B$172,1)))))</definedName>
    <definedName name="ANOION3">IF(AND(Elektrolisis!$W$14=1,Elektrolisis!$E$8&gt;=7,Elektrolisis!$R$22=TRUE),INDEX(REAKSI!$Y$2:$Y$172,MATCH(Elektrolisis!$M$7,REAKSI!$B$2:$B$172,1)),IF(OR(Elektrolisis!$W$14&lt;&gt;1,Elektrolisis!$E$8&lt;7,Elektrolisis!$R$22=FALSE),INDEX(REAKSI!$AH$2:$AH$172,MATCH(Elektrolisis!$M$7,REAKSI!$B$2:$B$172,1))))</definedName>
    <definedName name="BASA">IF(AND(Elektrolisis!$W$14=1,Elektrolisis!$E$8&gt;=7,Elektrolisis!$R$22=TRUE),INDEX(REAKSI!$F$3:$F$172,MATCH(Elektrolisis!$M$7,REAKSI!$B$3:$B$172,1)),IF(OR(Elektrolisis!$W$14&lt;&gt;1,Elektrolisis!$E$8&lt;7,Elektrolisis!$R$22=FALSE),INDEX(REAKSI!$D$3:$D$172,MATCH(Elektrolisis!$M$7,REAKSI!$B$3:$B$172,1))))</definedName>
    <definedName name="HASIL5">IF(Elektrolisis!$AJ$6="error",INDEX(REAKSI!$K$3:$K$170,MATCH(3,REAKSI!$B$3:$B$172,1)),IF(OR(Elektrolisis!$Q$24=FALSE,Elektrolisis!$W$14&lt;&gt;1,Elektrolisis!$Y$21=0,Elektrolisis!$C$12=FALSE),INDEX(REAKSI!$AV$3:$AV$172,MATCH(Elektrolisis!$M$7,REAKSI!$B$3:$B$172,1)),IF(AND(Elektrolisis!$Q$24=TRUE,Elektrolisis!$W$14=1,Elektrolisis!$Y$21=1,Elektrolisis!$C$12=TRUE),INDEX(REAKSI!$K$3:$K$172,MATCH(Elektrolisis!$M$7,REAKSI!$B$3:$B$172,1)),IF(AND(Elektrolisis!$Q$24=TRUE,Elektrolisis!$W$14=1,Elektrolisis!$Y$21=2,Elektrolisis!$C$12=TRUE),INDEX(REAKSI!$AU$3:$AU$172,MATCH(Elektrolisis!$M$7,REAKSI!$B$3:$B$172,1))))))</definedName>
    <definedName name="ion">IF(Elektrolisis!$R$20=TRUE,INDEX(REAKSI!$C$3:$C$170,MATCH(Elektrolisis!$M$7,REAKSI!$B$3:$B$170,1)),IF(Elektrolisis!$R$20=FALSE,INDEX(REAKSI!$D$3:$D$170,MATCH(Elektrolisis!$M$7,REAKSI!$B$3:$B$170,1))))</definedName>
    <definedName name="IONISASI">IF(Elektrolisis!$AJ$6="Error",IF(AND(Elektrolisis!$W$14=1,Elektrolisis!$E$8&gt;=7,Elektrolisis!$R$20=TRUE,Elektrolisis!$C$12=TRUE),INDEX(REAKSI!$H$2:$H$172,MATCH(3,REAKSI!$B$2:$B$172,1)),IF(OR(Elektrolisis!$W$14&lt;&gt;1,Elektrolisis!$E$8&lt;7,Elektrolisis!$R$20=FALSE,Elektrolisis!$C$12=FALSE),INDEX(REAKSI!$L$2:$L$172,MATCH(3,REAKSI!$B$2:$B$172,1)))),IF(AND(Elektrolisis!$W$14=1,Elektrolisis!$E$8&gt;=7,Elektrolisis!$R$20=TRUE,Elektrolisis!$C$12=TRUE),INDEX(REAKSI!$H$2:$H$172,MATCH(Elektrolisis!$M$7,REAKSI!$B$2:$B$172,1)),IF(OR(Elektrolisis!$W$14&lt;&gt;1,Elektrolisis!$E$8&lt;7,Elektrolisis!$R$20=FALSE,Elektrolisis!$C$12=FALSE),INDEX(REAKSI!$L$2:$L$172,MATCH(Elektrolisis!$M$7,REAKSI!$B$2:$B$172,1)))))</definedName>
    <definedName name="KATION2">IF(AND(Elektrolisis!$W$14=1,Elektrolisis!$E$8&gt;=7,Elektrolisis!$R$23=TRUE),INDEX(REAKSI!$Z$3:$Z$172,MATCH(Elektrolisis!$M$7,REAKSI!$B$3:$B$172,1)),IF(OR(Elektrolisis!$W$14&lt;&gt;1,Elektrolisis!$E$8&lt;7,Elektrolisis!$R$23=FALSE),INDEX(REAKSI!$AH$3:$AH$172,MATCH(Elektrolisis!$M$7,REAKSI!$B$3:$B$172,1))))</definedName>
    <definedName name="KATION3">IF(Elektrolisis!$AJ$6="Error",IF(AND(Elektrolisis!$W$14=1,Elektrolisis!$E$8&gt;=7,Elektrolisis!$R$23=TRUE),INDEX(REAKSI!$AA$3:$AA$172,MATCH(3,REAKSI!$B$3:$B$172,1)),IF(OR(Elektrolisis!$W$14&lt;&gt;1,Elektrolisis!$E$8&lt;7,Elektrolisis!$R$23=FALSE),INDEX(REAKSI!$AH$3:$AH$172,MATCH(3,REAKSI!$B$3:$B$172,1)))),IF(AND(Elektrolisis!$W$14=1,Elektrolisis!$E$8&gt;=7,Elektrolisis!$R$23=TRUE),INDEX(REAKSI!$AA$3:$AA$172,MATCH(Elektrolisis!$M$7,REAKSI!$B$3:$B$172,1)),IF(OR(Elektrolisis!$W$14&lt;&gt;1,Elektrolisis!$E$8&lt;7,Elektrolisis!$R$23=FALSE),INDEX(REAKSI!$AH$3:$AH$172,MATCH(Elektrolisis!$M$7,REAKSI!$B$3:$B$172,1)))))</definedName>
    <definedName name="KATODA2">IF(Elektrolisis!$AJ$6="Error",IF(AND(Elektrolisis!$W$14=1,Elektrolisis!$E$8&gt;=7,Elektrolisis!$R$23=TRUE,Elektrolisis!$C$12=TRUE),INDEX(REAKSI!$J$2:$J$172,MATCH(3,REAKSI!$B$2:$B$172,1)),IF(OR(Elektrolisis!$W$14&lt;&gt;1,Elektrolisis!$E$8&lt;7,Elektrolisis!$R$23=FALSE,Elektrolisis!$C$12=FALSE),INDEX(REAKSI!$L$2:$L$172,MATCH(3,REAKSI!$B$2:$B$172,1)))),IF(AND(Elektrolisis!$W$14=1,Elektrolisis!$E$8&gt;=7,Elektrolisis!$R$23=TRUE,Elektrolisis!$C$12=TRUE),INDEX(REAKSI!$J$2:$J$172,MATCH(Elektrolisis!$M$7,REAKSI!$B$2:$B$172,1)),IF(OR(Elektrolisis!$W$14&lt;&gt;1,Elektrolisis!$E$8&lt;7,Elektrolisis!$R$23=FALSE,Elektrolisis!$C$12=FALSE),INDEX(REAKSI!$L$2:$L$172,MATCH(Elektrolisis!$M$7,REAKSI!$B$2:$B$172,1)))))</definedName>
    <definedName name="KATODA3">IF(Elektrolisis!$AJ$6="Error",IF(AND(Elektrolisis!$W$14=1,Elektrolisis!$E$8&gt;=7,Elektrolisis!$R$23=TRUE),INDEX(REAKSI!$AE$3:$AE$172,MATCH(3,REAKSI!$B$3:$B$172,1)),IF(OR(Elektrolisis!$W$14&lt;&gt;1,Elektrolisis!$E$8&lt;7,Elektrolisis!$R$23=FALSE),INDEX(REAKSI!$AG$3:$AG$172,MATCH(3,REAKSI!$B$3:$B$172,1)))),IF(AND(Elektrolisis!$W$14=1,Elektrolisis!$E$8&gt;=7,Elektrolisis!$R$23=TRUE),INDEX(REAKSI!$AE$3:$AE$172,MATCH(Elektrolisis!$M$7,REAKSI!$B$3:$B$172,1)),IF(OR(Elektrolisis!$W$14&lt;&gt;1,Elektrolisis!$E$8&lt;7,Elektrolisis!$R$23=FALSE),INDEX(REAKSI!$AG$3:$AG$172,MATCH(Elektrolisis!$L$7,REAKSI!$B$3:$B$172,1)))))</definedName>
    <definedName name="KATODA4">IF(Elektrolisis!$AJ$6="Error",IF(AND(Elektrolisis!$W$14=1,Elektrolisis!$E$8&gt;=7,Elektrolisis!$R$23=TRUE),INDEX(REAKSI!$AF$3:$AF$172,MATCH(3,REAKSI!$B$3:$B$172,1)),IF(OR(Elektrolisis!$W$14&lt;&gt;1,Elektrolisis!$E$8&lt;7,Elektrolisis!$R$23=FALSE),INDEX(REAKSI!$AG$3:$AG$172,MATCH(3,REAKSI!$B$3:$B$172,1)))),IF(AND(Elektrolisis!$W$14=1,Elektrolisis!$E$8&gt;=7,Elektrolisis!$R$23=TRUE),INDEX(REAKSI!$AF$3:$AF$172,MATCH(Elektrolisis!$M$7,REAKSI!$B$3:$B$172,1)),IF(OR(Elektrolisis!$W$14&lt;&gt;1,Elektrolisis!$E$8&lt;7,Elektrolisis!$R$23=FALSE),INDEX(REAKSI!$AG$3:$AG$172,MATCH(Elektrolisis!$M$7,REAKSI!$B$3:$B$172,1)))))</definedName>
    <definedName name="PANAH1">IF(AND(Elektrolisis!$W$14=1,Elektrolisis!$E$8&gt;=7,Elektrolisis!$R$22=TRUE),INDEX(REAKSI!$AM$2:$AM$172,MATCH(Elektrolisis!$M$7,REAKSI!$B$2:$B$172,1)),IF(OR(Elektrolisis!$W$14&lt;&gt;1,Elektrolisis!$E$8&lt;7,Elektrolisis!$R$22=FALSE),INDEX(REAKSI!$AK$2:$AK$172,MATCH(Elektrolisis!$M$7,REAKSI!$B$2:$B$172,1))))</definedName>
    <definedName name="PANAH2">IF(AND(Elektrolisis!$W$14=1,Elektrolisis!$E$8&gt;=7,Elektrolisis!$R$23=TRUE),INDEX(REAKSI!$AM$2:$AM$172,MATCH(Elektrolisis!$M$7,REAKSI!$B$2:$B$172,1)),IF(OR(Elektrolisis!$W$14&lt;&gt;1,Elektrolisis!$E$8&lt;7,Elektrolisis!$R$23=FALSE),INDEX(REAKSI!$AK$2:$AK$172,MATCH(Elektrolisis!$M$7,REAKSI!$B$2:$B$172,1))))</definedName>
    <definedName name="PANAH3">IF(Elektrolisis!$E$8&gt;=7,INDEX(REAKSI!$AO$3:$AO$170,MATCH(Elektrolisis!$AX$39,REAKSI!$B$3:$B$170,1)),IF(Elektrolisis!$E$8&lt;7,INDEX(REAKSI!$AN$3:$AN$170,MATCH(Elektrolisis!$AX$39,REAKSI!$B$3:$B$170,1))))</definedName>
    <definedName name="PANAH4">IF(AND(Elektrolisis!$W$14=1,Elektrolisis!$E$8&gt;=7),INDEX(REAKSI!$AS$174:$AS$341,MATCH(Elektrolisis!$E$8,REAKSI!$B$174:$B$341,1)),IF(OR(Elektrolisis!$W$14=2,Elektrolisis!$E$8&lt;7),INDEX(REAKSI!$AR$174:$AR$341,MATCH(Elektrolisis!$E$8,REAKSI!$B$174:$B$341,1))))</definedName>
    <definedName name="PANAH5">IF(AND(Elektrolisis!$W$14=1,Elektrolisis!$E$8&gt;=7),INDEX(REAKSI!$AR$174:$AR$341,MATCH(Elektrolisis!$E$8,REAKSI!$B$174:$B$341,1)),IF(OR(Elektrolisis!$W$14=2,Elektrolisis!$E$8&lt;7),INDEX(REAKSI!$AS$174:$AS$341,MATCH(Elektrolisis!$E$8,REAKSI!$B$174:$B$341,1))))</definedName>
    <definedName name="PANAH6">IF(AND(Elektrolisis!$W$14=1,Elektrolisis!$E$9=5),INDEX(REAKSI!$AR$174:$AR$341,MATCH(3,REAKSI!$B$174:$B$341,1)),IF(OR(Elektrolisis!$W$14&lt;&gt;1,Elektrolisis!$E$9&lt;&gt;5),INDEX(REAKSI!$AS$174:$AS$341,MATCH(3,REAKSI!$B$174:$B$341,1))))</definedName>
    <definedName name="RUMUS">IF(Elektrolisis!$E$21&gt;=1,INDEX(RUMUS!$C$3:$C$19,MATCH(Elektrolisis!$E$21,RUMUS!$B$3:$B$19,1)),IF(Elektrolisis!$E$21=0,INDEX(RUMUS!$D$3:$D$19,MATCH(Elektrolisis!$E$21,RUMUS!$B$3:$B$19,1))))</definedName>
    <definedName name="SAMPEL">IF(Elektrolisis!$AJ$6="Error",IF(AND(Elektrolisis!$W$14=1,Elektrolisis!$E$9&gt;=7,Elektrolisis!$D$10&gt;1),INDEX(REAKSI!$E$2:$E$172,MATCH(3,REAKSI!$B$2:$B$172,1)),IF(OR(Elektrolisis!$W$14&lt;&gt;1,Elektrolisis!$E$9&lt;7,Elektrolisis!$D$10&lt;=1),INDEX(REAKSI!$AJ$2:$AJ$172,MATCH(3,REAKSI!$B$2:$B$172,1)))),IF(AND(Elektrolisis!$W$14=1,Elektrolisis!$E$9&gt;=7,Elektrolisis!$D$10&gt;1),INDEX(REAKSI!$E$2:$E$172,MATCH(Elektrolisis!$M$7,REAKSI!$B$2:$B$172,1)),IF(OR(Elektrolisis!$W$14&lt;&gt;1,Elektrolisis!$E$9&lt;7,Elektrolisis!$D$10&lt;=1),INDEX(REAKSI!$AJ$2:$AJ$172,MATCH(Elektrolisis!$M$7,REAKSI!$B$2:$B$172,1)))))</definedName>
    <definedName name="WARNA">IF(AND(Elektrolisis!$E$8=8,Elektrolisis!$R$20=TRUE),INDEX(REAKSI!$AH$3:$AH$170,MATCH(Elektrolisis!$M$7,REAKSI!$B$3:$B$170,1)),IF(OR(Elektrolisis!$E$8&lt;&gt;8,Elektrolisis!$R$20=FALSE),INDEX(REAKSI!$AJ$3:$AJ$170,MATCH(Elektrolisis!$L$7,REAKSI!$B$3:$B$170,1))))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8" l="1"/>
  <c r="AJ10" i="28"/>
  <c r="AJ9" i="28"/>
  <c r="AJ8" i="28"/>
  <c r="AJ11" i="28"/>
  <c r="AJ19" i="28"/>
  <c r="AJ18" i="28"/>
  <c r="AJ17" i="28"/>
  <c r="AJ16" i="28"/>
  <c r="AJ15" i="28"/>
  <c r="AJ14" i="28"/>
  <c r="E9" i="28" l="1"/>
  <c r="AI8" i="28" l="1"/>
  <c r="BA9" i="30" l="1"/>
  <c r="BA10" i="30"/>
  <c r="BA11" i="30"/>
  <c r="BA12" i="30"/>
  <c r="BA13" i="30"/>
  <c r="BA14" i="30"/>
  <c r="BA15" i="30"/>
  <c r="BA16" i="30"/>
  <c r="BA17" i="30"/>
  <c r="BA18" i="30"/>
  <c r="BA19" i="30"/>
  <c r="BA20" i="30"/>
  <c r="BA21" i="30"/>
  <c r="BA22" i="30"/>
  <c r="BA23" i="30"/>
  <c r="BA24" i="30"/>
  <c r="BA25" i="30"/>
  <c r="BA26" i="30"/>
  <c r="BA27" i="30"/>
  <c r="BA28" i="30"/>
  <c r="BA29" i="30"/>
  <c r="BA30" i="30"/>
  <c r="BA31" i="30"/>
  <c r="BA32" i="30"/>
  <c r="BA33" i="30"/>
  <c r="BA34" i="30"/>
  <c r="BA35" i="30"/>
  <c r="BA36" i="30"/>
  <c r="BA37" i="30"/>
  <c r="BA38" i="30"/>
  <c r="BA39" i="30"/>
  <c r="BA40" i="30"/>
  <c r="BA41" i="30"/>
  <c r="BA42" i="30"/>
  <c r="BA43" i="30"/>
  <c r="BA44" i="30"/>
  <c r="BA45" i="30"/>
  <c r="BA46" i="30"/>
  <c r="BA47" i="30"/>
  <c r="BA48" i="30"/>
  <c r="BA49" i="30"/>
  <c r="BA50" i="30"/>
  <c r="BA51" i="30"/>
  <c r="BA52" i="30"/>
  <c r="BA53" i="30"/>
  <c r="BA54" i="30"/>
  <c r="BA55" i="30"/>
  <c r="BA56" i="30"/>
  <c r="BA57" i="30"/>
  <c r="BA58" i="30"/>
  <c r="BA59" i="30"/>
  <c r="BA60" i="30"/>
  <c r="BA61" i="30"/>
  <c r="BA62" i="30"/>
  <c r="BA63" i="30"/>
  <c r="BA64" i="30"/>
  <c r="BA65" i="30"/>
  <c r="BA66" i="30"/>
  <c r="BA67" i="30"/>
  <c r="BA68" i="30"/>
  <c r="BA69" i="30"/>
  <c r="BA70" i="30"/>
  <c r="BA71" i="30"/>
  <c r="BA72" i="30"/>
  <c r="BA73" i="30"/>
  <c r="BA74" i="30"/>
  <c r="BA75" i="30"/>
  <c r="BA76" i="30"/>
  <c r="BA77" i="30"/>
  <c r="BA78" i="30"/>
  <c r="BA79" i="30"/>
  <c r="BA80" i="30"/>
  <c r="BA81" i="30"/>
  <c r="BA82" i="30"/>
  <c r="BA83" i="30"/>
  <c r="BA84" i="30"/>
  <c r="BA85" i="30"/>
  <c r="BA86" i="30"/>
  <c r="BA87" i="30"/>
  <c r="BA88" i="30"/>
  <c r="BA89" i="30"/>
  <c r="BA90" i="30"/>
  <c r="BA91" i="30"/>
  <c r="BA92" i="30"/>
  <c r="BA93" i="30"/>
  <c r="BA94" i="30"/>
  <c r="BA95" i="30"/>
  <c r="BA96" i="30"/>
  <c r="BA97" i="30"/>
  <c r="BA98" i="30"/>
  <c r="BA99" i="30"/>
  <c r="BA100" i="30"/>
  <c r="BA101" i="30"/>
  <c r="BA102" i="30"/>
  <c r="BA103" i="30"/>
  <c r="BA104" i="30"/>
  <c r="BA105" i="30"/>
  <c r="BA106" i="30"/>
  <c r="BA107" i="30"/>
  <c r="BA108" i="30"/>
  <c r="BA109" i="30"/>
  <c r="BA110" i="30"/>
  <c r="BA111" i="30"/>
  <c r="BA112" i="30"/>
  <c r="BA113" i="30"/>
  <c r="BA114" i="30"/>
  <c r="BA115" i="30"/>
  <c r="BA116" i="30"/>
  <c r="BA117" i="30"/>
  <c r="BA118" i="30"/>
  <c r="BA119" i="30"/>
  <c r="BA120" i="30"/>
  <c r="BA121" i="30"/>
  <c r="BA122" i="30"/>
  <c r="BA123" i="30"/>
  <c r="BA124" i="30"/>
  <c r="BA125" i="30"/>
  <c r="BA126" i="30"/>
  <c r="BA127" i="30"/>
  <c r="BA128" i="30"/>
  <c r="BA129" i="30"/>
  <c r="BA130" i="30"/>
  <c r="BA131" i="30"/>
  <c r="BA132" i="30"/>
  <c r="BA133" i="30"/>
  <c r="BA134" i="30"/>
  <c r="BA135" i="30"/>
  <c r="BA136" i="30"/>
  <c r="BA137" i="30"/>
  <c r="BA138" i="30"/>
  <c r="BA139" i="30"/>
  <c r="BA140" i="30"/>
  <c r="BA141" i="30"/>
  <c r="BA142" i="30"/>
  <c r="BA143" i="30"/>
  <c r="BA144" i="30"/>
  <c r="BA145" i="30"/>
  <c r="BA146" i="30"/>
  <c r="BA147" i="30"/>
  <c r="BA148" i="30"/>
  <c r="BA149" i="30"/>
  <c r="BA150" i="30"/>
  <c r="BA151" i="30"/>
  <c r="BA152" i="30"/>
  <c r="BA153" i="30"/>
  <c r="BA154" i="30"/>
  <c r="BA155" i="30"/>
  <c r="BA156" i="30"/>
  <c r="BA157" i="30"/>
  <c r="BA158" i="30"/>
  <c r="BA159" i="30"/>
  <c r="BA160" i="30"/>
  <c r="BA161" i="30"/>
  <c r="BA162" i="30"/>
  <c r="BA163" i="30"/>
  <c r="BA164" i="30"/>
  <c r="BA165" i="30"/>
  <c r="BA166" i="30"/>
  <c r="BA167" i="30"/>
  <c r="BA168" i="30"/>
  <c r="BA169" i="30"/>
  <c r="BA170" i="30"/>
  <c r="BA4" i="30"/>
  <c r="BA5" i="30"/>
  <c r="BA6" i="30"/>
  <c r="BA7" i="30"/>
  <c r="BA8" i="30"/>
  <c r="BA3" i="30"/>
  <c r="AZ8" i="30" l="1"/>
  <c r="AZ9" i="30"/>
  <c r="AZ10" i="30"/>
  <c r="AZ11" i="30"/>
  <c r="AZ12" i="30"/>
  <c r="AZ13" i="30"/>
  <c r="AZ14" i="30"/>
  <c r="AZ15" i="30"/>
  <c r="AZ16" i="30"/>
  <c r="AZ17" i="30"/>
  <c r="AZ18" i="30"/>
  <c r="AZ19" i="30"/>
  <c r="AZ20" i="30"/>
  <c r="AZ21" i="30"/>
  <c r="AZ22" i="30"/>
  <c r="AZ23" i="30"/>
  <c r="AZ24" i="30"/>
  <c r="AZ25" i="30"/>
  <c r="AZ26" i="30"/>
  <c r="AZ27" i="30"/>
  <c r="AZ28" i="30"/>
  <c r="AZ29" i="30"/>
  <c r="AZ30" i="30"/>
  <c r="AZ31" i="30"/>
  <c r="AZ32" i="30"/>
  <c r="AZ33" i="30"/>
  <c r="AZ34" i="30"/>
  <c r="AZ35" i="30"/>
  <c r="AZ36" i="30"/>
  <c r="AZ37" i="30"/>
  <c r="AZ38" i="30"/>
  <c r="AZ39" i="30"/>
  <c r="AZ40" i="30"/>
  <c r="AZ41" i="30"/>
  <c r="AZ42" i="30"/>
  <c r="AZ43" i="30"/>
  <c r="AZ44" i="30"/>
  <c r="AZ45" i="30"/>
  <c r="AZ46" i="30"/>
  <c r="AZ47" i="30"/>
  <c r="AZ48" i="30"/>
  <c r="AZ49" i="30"/>
  <c r="AZ50" i="30"/>
  <c r="AZ51" i="30"/>
  <c r="AZ52" i="30"/>
  <c r="AZ53" i="30"/>
  <c r="AZ54" i="30"/>
  <c r="AZ55" i="30"/>
  <c r="AZ56" i="30"/>
  <c r="AZ57" i="30"/>
  <c r="AZ58" i="30"/>
  <c r="AZ59" i="30"/>
  <c r="AZ60" i="30"/>
  <c r="AZ61" i="30"/>
  <c r="AZ62" i="30"/>
  <c r="AZ63" i="30"/>
  <c r="AZ64" i="30"/>
  <c r="AZ65" i="30"/>
  <c r="AZ66" i="30"/>
  <c r="AZ67" i="30"/>
  <c r="AZ68" i="30"/>
  <c r="AZ69" i="30"/>
  <c r="AZ70" i="30"/>
  <c r="AZ71" i="30"/>
  <c r="AZ72" i="30"/>
  <c r="AZ73" i="30"/>
  <c r="AZ74" i="30"/>
  <c r="AZ75" i="30"/>
  <c r="AZ76" i="30"/>
  <c r="AZ77" i="30"/>
  <c r="AZ78" i="30"/>
  <c r="AZ79" i="30"/>
  <c r="AZ80" i="30"/>
  <c r="AZ81" i="30"/>
  <c r="AZ82" i="30"/>
  <c r="AZ83" i="30"/>
  <c r="AZ84" i="30"/>
  <c r="AZ85" i="30"/>
  <c r="AZ86" i="30"/>
  <c r="AZ87" i="30"/>
  <c r="AZ88" i="30"/>
  <c r="AZ89" i="30"/>
  <c r="AZ90" i="30"/>
  <c r="AZ91" i="30"/>
  <c r="AZ92" i="30"/>
  <c r="AZ93" i="30"/>
  <c r="AZ94" i="30"/>
  <c r="AZ95" i="30"/>
  <c r="AZ96" i="30"/>
  <c r="AZ97" i="30"/>
  <c r="AZ98" i="30"/>
  <c r="AZ99" i="30"/>
  <c r="AZ100" i="30"/>
  <c r="AZ101" i="30"/>
  <c r="AZ102" i="30"/>
  <c r="AZ103" i="30"/>
  <c r="AZ104" i="30"/>
  <c r="AZ105" i="30"/>
  <c r="AZ106" i="30"/>
  <c r="AZ107" i="30"/>
  <c r="AZ108" i="30"/>
  <c r="AZ109" i="30"/>
  <c r="AZ110" i="30"/>
  <c r="AZ111" i="30"/>
  <c r="AZ112" i="30"/>
  <c r="AZ113" i="30"/>
  <c r="AZ114" i="30"/>
  <c r="AZ115" i="30"/>
  <c r="AZ116" i="30"/>
  <c r="AZ117" i="30"/>
  <c r="AZ118" i="30"/>
  <c r="AZ119" i="30"/>
  <c r="AZ120" i="30"/>
  <c r="AZ121" i="30"/>
  <c r="AZ122" i="30"/>
  <c r="AZ123" i="30"/>
  <c r="AZ124" i="30"/>
  <c r="AZ125" i="30"/>
  <c r="AZ126" i="30"/>
  <c r="AZ127" i="30"/>
  <c r="AZ128" i="30"/>
  <c r="AZ129" i="30"/>
  <c r="AZ130" i="30"/>
  <c r="AZ131" i="30"/>
  <c r="AZ132" i="30"/>
  <c r="AZ133" i="30"/>
  <c r="AZ134" i="30"/>
  <c r="AZ135" i="30"/>
  <c r="AZ136" i="30"/>
  <c r="AZ137" i="30"/>
  <c r="AZ138" i="30"/>
  <c r="AZ139" i="30"/>
  <c r="AZ140" i="30"/>
  <c r="AZ141" i="30"/>
  <c r="AZ142" i="30"/>
  <c r="AZ143" i="30"/>
  <c r="AZ144" i="30"/>
  <c r="AZ145" i="30"/>
  <c r="AZ146" i="30"/>
  <c r="AZ147" i="30"/>
  <c r="AZ148" i="30"/>
  <c r="AZ149" i="30"/>
  <c r="AZ150" i="30"/>
  <c r="AZ151" i="30"/>
  <c r="AZ152" i="30"/>
  <c r="AZ153" i="30"/>
  <c r="AZ154" i="30"/>
  <c r="AZ155" i="30"/>
  <c r="AZ156" i="30"/>
  <c r="AZ157" i="30"/>
  <c r="AZ158" i="30"/>
  <c r="AZ159" i="30"/>
  <c r="AZ160" i="30"/>
  <c r="AZ161" i="30"/>
  <c r="AZ162" i="30"/>
  <c r="AZ163" i="30"/>
  <c r="AZ164" i="30"/>
  <c r="AZ165" i="30"/>
  <c r="AZ166" i="30"/>
  <c r="AZ167" i="30"/>
  <c r="AZ168" i="30"/>
  <c r="AZ169" i="30"/>
  <c r="AZ170" i="30"/>
  <c r="AZ4" i="30"/>
  <c r="AZ5" i="30"/>
  <c r="AZ6" i="30"/>
  <c r="AZ7" i="30"/>
  <c r="AZ3" i="30"/>
  <c r="U10" i="30" l="1"/>
  <c r="U6" i="30"/>
  <c r="AJ24" i="28" l="1"/>
  <c r="D22" i="28"/>
  <c r="D21" i="28"/>
  <c r="D20" i="28"/>
  <c r="AO12" i="28" l="1"/>
  <c r="U171" i="30" l="1"/>
  <c r="AH171" i="30" s="1"/>
  <c r="U122" i="30"/>
  <c r="AH122" i="30" s="1"/>
  <c r="U123" i="30"/>
  <c r="AH123" i="30" s="1"/>
  <c r="U172" i="30" l="1"/>
  <c r="AH172" i="30" s="1"/>
  <c r="J5" i="28" l="1"/>
  <c r="D12" i="28"/>
  <c r="AL22" i="28" l="1"/>
  <c r="AL24" i="28" l="1"/>
  <c r="AL23" i="28"/>
  <c r="AT51" i="28" l="1"/>
  <c r="AT50" i="28"/>
  <c r="E8" i="28" l="1"/>
  <c r="G8" i="28" l="1"/>
  <c r="AX50" i="28"/>
  <c r="AY50" i="28"/>
  <c r="AW50" i="28"/>
  <c r="U68" i="30" l="1"/>
  <c r="U43" i="30" l="1"/>
  <c r="AH43" i="30" s="1"/>
  <c r="U40" i="30"/>
  <c r="AH40" i="30" s="1"/>
  <c r="U39" i="30"/>
  <c r="AH39" i="30" s="1"/>
  <c r="U3" i="30"/>
  <c r="AH3" i="30" s="1"/>
  <c r="AO6" i="28"/>
  <c r="AO5" i="28"/>
  <c r="Y21" i="28" l="1"/>
  <c r="AV32" i="28" l="1"/>
  <c r="AW47" i="28"/>
  <c r="AN41" i="28"/>
  <c r="AL42" i="28"/>
  <c r="AV49" i="28"/>
  <c r="AL44" i="28"/>
  <c r="AL40" i="28"/>
  <c r="AL43" i="28"/>
  <c r="AL41" i="28"/>
  <c r="AL28" i="28"/>
  <c r="AW49" i="28"/>
  <c r="AX49" i="28"/>
  <c r="E17" i="28" l="1"/>
  <c r="AN44" i="28" l="1"/>
  <c r="AN24" i="28"/>
  <c r="AN23" i="28"/>
  <c r="E15" i="28"/>
  <c r="W14" i="28"/>
  <c r="K17" i="28" s="1"/>
  <c r="AJ4" i="28" l="1"/>
  <c r="AF26" i="28"/>
  <c r="AJ5" i="28"/>
  <c r="AG24" i="28"/>
  <c r="AF27" i="28"/>
  <c r="AF28" i="28"/>
  <c r="AG23" i="28"/>
  <c r="AF21" i="28"/>
  <c r="AF20" i="28"/>
  <c r="L17" i="28"/>
  <c r="M14" i="28"/>
  <c r="A4" i="28"/>
  <c r="A7" i="28"/>
  <c r="P12" i="28"/>
  <c r="AO23" i="28"/>
  <c r="AL50" i="28"/>
  <c r="AO31" i="28"/>
  <c r="AL35" i="28"/>
  <c r="AO30" i="28"/>
  <c r="AO27" i="28"/>
  <c r="AY40" i="28"/>
  <c r="AY41" i="28"/>
  <c r="A5" i="28"/>
  <c r="A11" i="28"/>
  <c r="A6" i="28"/>
  <c r="A16" i="28"/>
  <c r="A18" i="28"/>
  <c r="AO24" i="28"/>
  <c r="P13" i="28"/>
  <c r="R13" i="28"/>
  <c r="R12" i="28"/>
  <c r="AZ36" i="28"/>
  <c r="AV40" i="28"/>
  <c r="AP49" i="28"/>
  <c r="AC12" i="28"/>
  <c r="AC10" i="28"/>
  <c r="AC8" i="28"/>
  <c r="AC6" i="28"/>
  <c r="AC4" i="28"/>
  <c r="AC11" i="28"/>
  <c r="AC9" i="28"/>
  <c r="AC7" i="28"/>
  <c r="AC5" i="28"/>
  <c r="AP15" i="28"/>
  <c r="AN3" i="28"/>
  <c r="AQ13" i="28"/>
  <c r="AQ9" i="28"/>
  <c r="AQ5" i="28"/>
  <c r="AL12" i="28"/>
  <c r="AG21" i="28" s="1"/>
  <c r="AQ10" i="28"/>
  <c r="AQ6" i="28"/>
  <c r="AQ11" i="28"/>
  <c r="AQ7" i="28"/>
  <c r="AL33" i="28"/>
  <c r="AQ12" i="28"/>
  <c r="AQ8" i="28"/>
  <c r="AQ4" i="28"/>
  <c r="AY49" i="28"/>
  <c r="AY48" i="28"/>
  <c r="R15" i="28"/>
  <c r="R14" i="28"/>
  <c r="P14" i="28"/>
  <c r="AO13" i="28"/>
  <c r="AP37" i="28" l="1"/>
  <c r="J6" i="28" l="1"/>
  <c r="J3" i="28"/>
  <c r="D19" i="28" s="1"/>
  <c r="K15" i="28" l="1"/>
  <c r="AG9" i="28" s="1"/>
  <c r="AG11" i="28"/>
  <c r="K16" i="28"/>
  <c r="AG10" i="28" s="1"/>
  <c r="AO2" i="28"/>
  <c r="AO11" i="28" l="1"/>
  <c r="AO8" i="28"/>
  <c r="AH10" i="30" l="1"/>
  <c r="AH154" i="30"/>
  <c r="U9" i="30" l="1"/>
  <c r="AH9" i="30" s="1"/>
  <c r="AH68" i="30"/>
  <c r="U69" i="30"/>
  <c r="AH69" i="30" s="1"/>
  <c r="U70" i="30"/>
  <c r="AH70" i="30" s="1"/>
  <c r="U71" i="30"/>
  <c r="AH71" i="30" s="1"/>
  <c r="U72" i="30"/>
  <c r="AH72" i="30" s="1"/>
  <c r="U73" i="30"/>
  <c r="AH73" i="30" s="1"/>
  <c r="U74" i="30"/>
  <c r="AH74" i="30" s="1"/>
  <c r="U75" i="30"/>
  <c r="AH75" i="30" s="1"/>
  <c r="U11" i="30"/>
  <c r="AH11" i="30" s="1"/>
  <c r="U12" i="30"/>
  <c r="AH12" i="30" s="1"/>
  <c r="U13" i="30" l="1"/>
  <c r="AH13" i="30" s="1"/>
  <c r="U14" i="30"/>
  <c r="AH14" i="30" s="1"/>
  <c r="U15" i="30"/>
  <c r="AH15" i="30" s="1"/>
  <c r="U16" i="30"/>
  <c r="AH16" i="30" s="1"/>
  <c r="U17" i="30"/>
  <c r="AH17" i="30" s="1"/>
  <c r="U18" i="30"/>
  <c r="AH18" i="30" s="1"/>
  <c r="U19" i="30"/>
  <c r="AH19" i="30" s="1"/>
  <c r="U20" i="30"/>
  <c r="AH20" i="30" s="1"/>
  <c r="U21" i="30"/>
  <c r="AH21" i="30" s="1"/>
  <c r="U22" i="30"/>
  <c r="AH22" i="30" s="1"/>
  <c r="U23" i="30"/>
  <c r="AH23" i="30" s="1"/>
  <c r="U24" i="30"/>
  <c r="AH24" i="30" s="1"/>
  <c r="U25" i="30"/>
  <c r="AH25" i="30" s="1"/>
  <c r="U26" i="30"/>
  <c r="AH26" i="30" s="1"/>
  <c r="U27" i="30"/>
  <c r="AH27" i="30" s="1"/>
  <c r="U28" i="30"/>
  <c r="AH28" i="30" s="1"/>
  <c r="U29" i="30"/>
  <c r="AH29" i="30" s="1"/>
  <c r="U30" i="30"/>
  <c r="AH30" i="30" s="1"/>
  <c r="U31" i="30"/>
  <c r="AH31" i="30" s="1"/>
  <c r="U32" i="30"/>
  <c r="AH32" i="30" s="1"/>
  <c r="U33" i="30"/>
  <c r="AH33" i="30" s="1"/>
  <c r="U34" i="30"/>
  <c r="AH34" i="30" s="1"/>
  <c r="U35" i="30"/>
  <c r="AH35" i="30" s="1"/>
  <c r="U36" i="30"/>
  <c r="AH36" i="30" s="1"/>
  <c r="U37" i="30"/>
  <c r="AH37" i="30" s="1"/>
  <c r="U38" i="30"/>
  <c r="AH38" i="30" s="1"/>
  <c r="U41" i="30"/>
  <c r="AH41" i="30" s="1"/>
  <c r="U42" i="30"/>
  <c r="AH42" i="30" s="1"/>
  <c r="U44" i="30"/>
  <c r="AH44" i="30" s="1"/>
  <c r="U45" i="30"/>
  <c r="AH45" i="30" s="1"/>
  <c r="U46" i="30"/>
  <c r="AH46" i="30" s="1"/>
  <c r="U47" i="30"/>
  <c r="AH47" i="30" s="1"/>
  <c r="U48" i="30"/>
  <c r="AH48" i="30" s="1"/>
  <c r="U49" i="30"/>
  <c r="AH49" i="30" s="1"/>
  <c r="U50" i="30"/>
  <c r="AH50" i="30" s="1"/>
  <c r="U51" i="30"/>
  <c r="AH51" i="30" s="1"/>
  <c r="U52" i="30"/>
  <c r="AH52" i="30" s="1"/>
  <c r="U53" i="30"/>
  <c r="AH53" i="30" s="1"/>
  <c r="U54" i="30"/>
  <c r="AH54" i="30" s="1"/>
  <c r="U55" i="30"/>
  <c r="AH55" i="30" s="1"/>
  <c r="U56" i="30"/>
  <c r="AH56" i="30" s="1"/>
  <c r="U57" i="30"/>
  <c r="AH57" i="30" s="1"/>
  <c r="U58" i="30"/>
  <c r="AH58" i="30" s="1"/>
  <c r="U59" i="30"/>
  <c r="AH59" i="30" s="1"/>
  <c r="U60" i="30"/>
  <c r="AH60" i="30" s="1"/>
  <c r="U61" i="30"/>
  <c r="AH61" i="30" s="1"/>
  <c r="U62" i="30"/>
  <c r="AH62" i="30" s="1"/>
  <c r="U63" i="30"/>
  <c r="AH63" i="30" s="1"/>
  <c r="U64" i="30"/>
  <c r="AH64" i="30" s="1"/>
  <c r="U65" i="30"/>
  <c r="AH65" i="30" s="1"/>
  <c r="U66" i="30"/>
  <c r="AH66" i="30" s="1"/>
  <c r="U67" i="30"/>
  <c r="AH67" i="30" s="1"/>
  <c r="U76" i="30"/>
  <c r="AH76" i="30" s="1"/>
  <c r="U77" i="30"/>
  <c r="AH77" i="30" s="1"/>
  <c r="U78" i="30"/>
  <c r="AH78" i="30" s="1"/>
  <c r="U79" i="30"/>
  <c r="AH79" i="30" s="1"/>
  <c r="U80" i="30"/>
  <c r="AH80" i="30" s="1"/>
  <c r="AH81" i="30"/>
  <c r="U82" i="30"/>
  <c r="AH82" i="30" s="1"/>
  <c r="U83" i="30"/>
  <c r="AH83" i="30" s="1"/>
  <c r="U84" i="30"/>
  <c r="AH84" i="30" s="1"/>
  <c r="U85" i="30"/>
  <c r="AH85" i="30" s="1"/>
  <c r="U86" i="30"/>
  <c r="AH86" i="30" s="1"/>
  <c r="U87" i="30"/>
  <c r="AH87" i="30" s="1"/>
  <c r="U88" i="30"/>
  <c r="AH88" i="30" s="1"/>
  <c r="U89" i="30"/>
  <c r="AH89" i="30" s="1"/>
  <c r="U90" i="30"/>
  <c r="AH90" i="30" s="1"/>
  <c r="U91" i="30"/>
  <c r="AH91" i="30" s="1"/>
  <c r="U92" i="30"/>
  <c r="AH92" i="30" s="1"/>
  <c r="U93" i="30"/>
  <c r="AH93" i="30" s="1"/>
  <c r="U94" i="30"/>
  <c r="AH94" i="30" s="1"/>
  <c r="U95" i="30"/>
  <c r="AH95" i="30" s="1"/>
  <c r="U96" i="30"/>
  <c r="AH96" i="30" s="1"/>
  <c r="U97" i="30"/>
  <c r="AH97" i="30" s="1"/>
  <c r="U98" i="30"/>
  <c r="AH98" i="30" s="1"/>
  <c r="U99" i="30"/>
  <c r="AH99" i="30" s="1"/>
  <c r="U100" i="30"/>
  <c r="AH100" i="30" s="1"/>
  <c r="U101" i="30"/>
  <c r="AH101" i="30" s="1"/>
  <c r="U102" i="30"/>
  <c r="AH102" i="30" s="1"/>
  <c r="U103" i="30"/>
  <c r="AH103" i="30" s="1"/>
  <c r="U104" i="30"/>
  <c r="AH104" i="30" s="1"/>
  <c r="U105" i="30"/>
  <c r="AH105" i="30" s="1"/>
  <c r="U106" i="30"/>
  <c r="AH106" i="30" s="1"/>
  <c r="U107" i="30"/>
  <c r="AH107" i="30" s="1"/>
  <c r="U108" i="30"/>
  <c r="AH108" i="30" s="1"/>
  <c r="U109" i="30"/>
  <c r="AH109" i="30" s="1"/>
  <c r="U110" i="30"/>
  <c r="AH110" i="30" s="1"/>
  <c r="U111" i="30"/>
  <c r="AH111" i="30" s="1"/>
  <c r="U112" i="30"/>
  <c r="AH112" i="30" s="1"/>
  <c r="U113" i="30"/>
  <c r="AH113" i="30" s="1"/>
  <c r="U114" i="30"/>
  <c r="AH114" i="30" s="1"/>
  <c r="U115" i="30"/>
  <c r="AH115" i="30" s="1"/>
  <c r="U116" i="30"/>
  <c r="AH116" i="30" s="1"/>
  <c r="U117" i="30"/>
  <c r="AH117" i="30" s="1"/>
  <c r="U118" i="30"/>
  <c r="AH118" i="30" s="1"/>
  <c r="U119" i="30"/>
  <c r="AH119" i="30" s="1"/>
  <c r="U120" i="30"/>
  <c r="AH120" i="30" s="1"/>
  <c r="U121" i="30"/>
  <c r="AH121" i="30" s="1"/>
  <c r="U124" i="30"/>
  <c r="AH124" i="30" s="1"/>
  <c r="U125" i="30"/>
  <c r="AH125" i="30" s="1"/>
  <c r="U126" i="30"/>
  <c r="AH126" i="30" s="1"/>
  <c r="U127" i="30"/>
  <c r="AH127" i="30" s="1"/>
  <c r="U128" i="30"/>
  <c r="AH128" i="30" s="1"/>
  <c r="U129" i="30"/>
  <c r="AH129" i="30" s="1"/>
  <c r="U130" i="30"/>
  <c r="AH130" i="30" s="1"/>
  <c r="U131" i="30"/>
  <c r="AH131" i="30" s="1"/>
  <c r="U132" i="30"/>
  <c r="AH132" i="30" s="1"/>
  <c r="U133" i="30"/>
  <c r="AH133" i="30" s="1"/>
  <c r="U134" i="30"/>
  <c r="AH134" i="30" s="1"/>
  <c r="U135" i="30"/>
  <c r="AH135" i="30" s="1"/>
  <c r="U136" i="30"/>
  <c r="AH136" i="30" s="1"/>
  <c r="U137" i="30"/>
  <c r="AH137" i="30" s="1"/>
  <c r="U138" i="30"/>
  <c r="AH138" i="30" s="1"/>
  <c r="U139" i="30"/>
  <c r="AH139" i="30" s="1"/>
  <c r="U140" i="30"/>
  <c r="AH140" i="30" s="1"/>
  <c r="U141" i="30"/>
  <c r="AH141" i="30" s="1"/>
  <c r="U142" i="30"/>
  <c r="AH142" i="30" s="1"/>
  <c r="U143" i="30"/>
  <c r="AH143" i="30" s="1"/>
  <c r="U144" i="30"/>
  <c r="AH144" i="30" s="1"/>
  <c r="U145" i="30"/>
  <c r="AH145" i="30" s="1"/>
  <c r="U146" i="30"/>
  <c r="AH146" i="30" s="1"/>
  <c r="U147" i="30"/>
  <c r="AH147" i="30" s="1"/>
  <c r="U148" i="30"/>
  <c r="AH148" i="30" s="1"/>
  <c r="U149" i="30"/>
  <c r="AH149" i="30" s="1"/>
  <c r="U150" i="30"/>
  <c r="AH150" i="30" s="1"/>
  <c r="U151" i="30"/>
  <c r="AH151" i="30" s="1"/>
  <c r="U152" i="30"/>
  <c r="AH152" i="30" s="1"/>
  <c r="U153" i="30"/>
  <c r="AH153" i="30" s="1"/>
  <c r="U155" i="30"/>
  <c r="AH155" i="30" s="1"/>
  <c r="U156" i="30"/>
  <c r="AH156" i="30" s="1"/>
  <c r="U157" i="30"/>
  <c r="AH157" i="30" s="1"/>
  <c r="U158" i="30"/>
  <c r="AH158" i="30" s="1"/>
  <c r="U159" i="30"/>
  <c r="AH159" i="30" s="1"/>
  <c r="U160" i="30"/>
  <c r="AH160" i="30" s="1"/>
  <c r="U161" i="30"/>
  <c r="AH161" i="30" s="1"/>
  <c r="U162" i="30"/>
  <c r="AH162" i="30" s="1"/>
  <c r="U163" i="30"/>
  <c r="AH163" i="30" s="1"/>
  <c r="U164" i="30"/>
  <c r="AH164" i="30" s="1"/>
  <c r="U165" i="30"/>
  <c r="AH165" i="30" s="1"/>
  <c r="U166" i="30"/>
  <c r="AH166" i="30" s="1"/>
  <c r="U167" i="30"/>
  <c r="AH167" i="30" s="1"/>
  <c r="U168" i="30"/>
  <c r="AH168" i="30" s="1"/>
  <c r="U169" i="30"/>
  <c r="AH169" i="30" s="1"/>
  <c r="U170" i="30"/>
  <c r="AH170" i="30" s="1"/>
  <c r="U4" i="30"/>
  <c r="AH4" i="30" s="1"/>
  <c r="U5" i="30"/>
  <c r="AH5" i="30" s="1"/>
  <c r="AH6" i="30"/>
  <c r="U7" i="30"/>
  <c r="AH7" i="30" s="1"/>
  <c r="U8" i="30"/>
  <c r="AH8" i="30" s="1"/>
  <c r="AO10" i="28" l="1"/>
  <c r="AO9" i="28"/>
  <c r="AN45" i="28" l="1"/>
  <c r="AL31" i="28"/>
  <c r="AL29" i="28"/>
  <c r="AL30" i="28"/>
  <c r="AL9" i="28"/>
  <c r="AL8" i="28"/>
  <c r="AL34" i="28"/>
  <c r="AN14" i="28"/>
  <c r="AL3" i="28"/>
  <c r="AL13" i="28"/>
  <c r="AL11" i="28"/>
  <c r="AG22" i="28" s="1"/>
  <c r="AM4" i="28"/>
  <c r="AL4" i="28"/>
  <c r="AY38" i="28"/>
  <c r="AL5" i="28"/>
  <c r="AM6" i="28"/>
  <c r="AM5" i="28"/>
  <c r="AL6" i="28"/>
  <c r="AO17" i="28" l="1"/>
  <c r="AO16" i="28"/>
  <c r="M4" i="28"/>
  <c r="M5" i="28"/>
  <c r="M6" i="28"/>
  <c r="M3" i="28"/>
  <c r="G13" i="28" l="1"/>
  <c r="G18" i="28"/>
  <c r="AI5" i="28"/>
  <c r="AI6" i="28"/>
  <c r="AH6" i="28"/>
  <c r="AG19" i="28"/>
  <c r="AG7" i="28"/>
  <c r="AG15" i="28"/>
  <c r="AI7" i="28"/>
  <c r="AH7" i="28"/>
  <c r="AI4" i="28"/>
  <c r="AH4" i="28"/>
  <c r="AG14" i="28"/>
  <c r="AG6" i="28"/>
  <c r="D16" i="28"/>
  <c r="M16" i="28"/>
  <c r="M17" i="28"/>
  <c r="M15" i="28"/>
  <c r="AM20" i="28"/>
  <c r="D15" i="28"/>
  <c r="D14" i="28"/>
  <c r="D17" i="28"/>
  <c r="L7" i="28"/>
  <c r="D6" i="28" s="1"/>
  <c r="AM15" i="28"/>
  <c r="AL20" i="28"/>
  <c r="AL18" i="28"/>
  <c r="AL16" i="28"/>
  <c r="AL21" i="28"/>
  <c r="AL19" i="28"/>
  <c r="AL17" i="28"/>
  <c r="AL15" i="28"/>
  <c r="AO51" i="28"/>
  <c r="AO50" i="28"/>
  <c r="AN8" i="28"/>
  <c r="AN12" i="28"/>
  <c r="AN7" i="28"/>
  <c r="AN11" i="28"/>
  <c r="AN6" i="28"/>
  <c r="AN10" i="28"/>
  <c r="AN5" i="28"/>
  <c r="AN9" i="28"/>
  <c r="AN13" i="28"/>
  <c r="AM47" i="28"/>
  <c r="AQ48" i="28"/>
  <c r="AN47" i="28"/>
  <c r="I18" i="28"/>
  <c r="AM18" i="28"/>
  <c r="AM17" i="28"/>
  <c r="AM16" i="28"/>
  <c r="AM8" i="28"/>
  <c r="AR44" i="28"/>
  <c r="AM19" i="28"/>
  <c r="AM21" i="28"/>
  <c r="AN2" i="28"/>
  <c r="L15" i="28" l="1"/>
  <c r="L16" i="28" s="1"/>
  <c r="D7" i="28"/>
  <c r="D8" i="28"/>
  <c r="AM7" i="28"/>
  <c r="AP34" i="28"/>
  <c r="C13" i="28"/>
  <c r="AX27" i="28"/>
  <c r="M7" i="28" l="1"/>
  <c r="AX6" i="28" s="1"/>
  <c r="AM9" i="28"/>
  <c r="AO15" i="28"/>
  <c r="K14" i="28" s="1"/>
  <c r="AG8" i="28" s="1"/>
  <c r="AN25" i="28" l="1"/>
  <c r="AJ13" i="28"/>
  <c r="AJ12" i="28"/>
  <c r="AK13" i="28"/>
  <c r="AK12" i="28"/>
  <c r="AN22" i="28"/>
  <c r="AO44" i="28"/>
  <c r="AP44" i="28"/>
  <c r="AO45" i="28"/>
  <c r="AN51" i="28" s="1"/>
  <c r="AP45" i="28"/>
  <c r="AO43" i="28"/>
  <c r="AX43" i="28" s="1"/>
  <c r="AJ29" i="28"/>
  <c r="AG5" i="28" s="1"/>
  <c r="AJ26" i="28"/>
  <c r="AN43" i="28"/>
  <c r="AJ30" i="28"/>
  <c r="AJ27" i="28"/>
  <c r="AJ28" i="28" s="1"/>
  <c r="AG20" i="28"/>
  <c r="AF13" i="28"/>
  <c r="AF10" i="28"/>
  <c r="AF7" i="28"/>
  <c r="AF19" i="28"/>
  <c r="AF18" i="28"/>
  <c r="AF9" i="28"/>
  <c r="AX9" i="28"/>
  <c r="BE32" i="30"/>
  <c r="BE34" i="30"/>
  <c r="BE69" i="30"/>
  <c r="BE75" i="30"/>
  <c r="BF75" i="30" s="1"/>
  <c r="BE77" i="30"/>
  <c r="BF77" i="30" s="1"/>
  <c r="BE93" i="30"/>
  <c r="BE95" i="30"/>
  <c r="BE99" i="30"/>
  <c r="BE101" i="30"/>
  <c r="BE127" i="30"/>
  <c r="BE145" i="30"/>
  <c r="BE147" i="30"/>
  <c r="BE165" i="30"/>
  <c r="BE19" i="30"/>
  <c r="BE35" i="30"/>
  <c r="BE84" i="30"/>
  <c r="BE88" i="30"/>
  <c r="BE92" i="30"/>
  <c r="BE100" i="30"/>
  <c r="BE140" i="30"/>
  <c r="BE144" i="30"/>
  <c r="BE168" i="30"/>
  <c r="BE17" i="30"/>
  <c r="BE94" i="30"/>
  <c r="BE154" i="30"/>
  <c r="BE166" i="30"/>
  <c r="BF6" i="30"/>
  <c r="BF10" i="30"/>
  <c r="BF12" i="30"/>
  <c r="BF14" i="30"/>
  <c r="BF16" i="30"/>
  <c r="BF18" i="30"/>
  <c r="BF20" i="30"/>
  <c r="BF24" i="30"/>
  <c r="BF28" i="30"/>
  <c r="BF30" i="30"/>
  <c r="BF32" i="30"/>
  <c r="BF34" i="30"/>
  <c r="BF36" i="30"/>
  <c r="BF38" i="30"/>
  <c r="BF44" i="30"/>
  <c r="BF46" i="30"/>
  <c r="BF48" i="30"/>
  <c r="BF50" i="30"/>
  <c r="BF52" i="30"/>
  <c r="BF54" i="30"/>
  <c r="BF62" i="30"/>
  <c r="BF64" i="30"/>
  <c r="BF66" i="30"/>
  <c r="BF68" i="30"/>
  <c r="BF70" i="30"/>
  <c r="BF72" i="30"/>
  <c r="BF84" i="30"/>
  <c r="BF86" i="30"/>
  <c r="BF88" i="30"/>
  <c r="BF90" i="30"/>
  <c r="BF92" i="30"/>
  <c r="BF94" i="30"/>
  <c r="BF96" i="30"/>
  <c r="BF100" i="30"/>
  <c r="BF104" i="30"/>
  <c r="BF106" i="30"/>
  <c r="BF108" i="30"/>
  <c r="BF110" i="30"/>
  <c r="BF112" i="30"/>
  <c r="BF114" i="30"/>
  <c r="BF128" i="30"/>
  <c r="BF130" i="30"/>
  <c r="BF132" i="30"/>
  <c r="BF134" i="30"/>
  <c r="BF136" i="30"/>
  <c r="BF138" i="30"/>
  <c r="BF140" i="30"/>
  <c r="BF144" i="30"/>
  <c r="BF150" i="30"/>
  <c r="BF152" i="30"/>
  <c r="BF154" i="30"/>
  <c r="BF156" i="30"/>
  <c r="BF158" i="30"/>
  <c r="BF160" i="30"/>
  <c r="BF162" i="30"/>
  <c r="BF166" i="30"/>
  <c r="BF168" i="30"/>
  <c r="BF170" i="30"/>
  <c r="BF7" i="30"/>
  <c r="BF15" i="30"/>
  <c r="BF19" i="30"/>
  <c r="BF23" i="30"/>
  <c r="BF27" i="30"/>
  <c r="BF31" i="30"/>
  <c r="BF35" i="30"/>
  <c r="BF47" i="30"/>
  <c r="BF51" i="30"/>
  <c r="BF55" i="30"/>
  <c r="BF63" i="30"/>
  <c r="BF67" i="30"/>
  <c r="BF71" i="30"/>
  <c r="BF87" i="30"/>
  <c r="BF91" i="30"/>
  <c r="BF95" i="30"/>
  <c r="BF99" i="30"/>
  <c r="BF103" i="30"/>
  <c r="BF107" i="30"/>
  <c r="BF111" i="30"/>
  <c r="BF127" i="30"/>
  <c r="BF131" i="30"/>
  <c r="BF135" i="30"/>
  <c r="BF139" i="30"/>
  <c r="BF147" i="30"/>
  <c r="BF151" i="30"/>
  <c r="BF155" i="30"/>
  <c r="BF159" i="30"/>
  <c r="BF5" i="30"/>
  <c r="BF9" i="30"/>
  <c r="BF13" i="30"/>
  <c r="BF17" i="30"/>
  <c r="BF25" i="30"/>
  <c r="BF33" i="30"/>
  <c r="BF37" i="30"/>
  <c r="BF45" i="30"/>
  <c r="BF49" i="30"/>
  <c r="BF53" i="30"/>
  <c r="BF65" i="30"/>
  <c r="BF69" i="30"/>
  <c r="BF73" i="30"/>
  <c r="BF85" i="30"/>
  <c r="BF89" i="30"/>
  <c r="BF93" i="30"/>
  <c r="BF101" i="30"/>
  <c r="BF105" i="30"/>
  <c r="BF109" i="30"/>
  <c r="BF113" i="30"/>
  <c r="BF129" i="30"/>
  <c r="BF133" i="30"/>
  <c r="BF137" i="30"/>
  <c r="BF141" i="30"/>
  <c r="BF145" i="30"/>
  <c r="BF149" i="30"/>
  <c r="BF153" i="30"/>
  <c r="BF157" i="30"/>
  <c r="BF161" i="30"/>
  <c r="BF165" i="30"/>
  <c r="BD5" i="30"/>
  <c r="BE5" i="30" s="1"/>
  <c r="BD7" i="30"/>
  <c r="BE7" i="30" s="1"/>
  <c r="BD9" i="30"/>
  <c r="BE9" i="30" s="1"/>
  <c r="BD11" i="30"/>
  <c r="BE11" i="30" s="1"/>
  <c r="BF11" i="30" s="1"/>
  <c r="BD13" i="30"/>
  <c r="BE13" i="30" s="1"/>
  <c r="BD15" i="30"/>
  <c r="BE15" i="30" s="1"/>
  <c r="BD17" i="30"/>
  <c r="BD19" i="30"/>
  <c r="BD21" i="30"/>
  <c r="BE21" i="30" s="1"/>
  <c r="BF21" i="30" s="1"/>
  <c r="BD23" i="30"/>
  <c r="BE23" i="30" s="1"/>
  <c r="BD25" i="30"/>
  <c r="BE25" i="30" s="1"/>
  <c r="BD27" i="30"/>
  <c r="BE27" i="30" s="1"/>
  <c r="BD29" i="30"/>
  <c r="BE29" i="30" s="1"/>
  <c r="BF29" i="30" s="1"/>
  <c r="BD31" i="30"/>
  <c r="BE31" i="30" s="1"/>
  <c r="BD33" i="30"/>
  <c r="BE33" i="30" s="1"/>
  <c r="BD35" i="30"/>
  <c r="BD37" i="30"/>
  <c r="BE37" i="30" s="1"/>
  <c r="BD39" i="30"/>
  <c r="BD41" i="30"/>
  <c r="BE41" i="30" s="1"/>
  <c r="BF41" i="30" s="1"/>
  <c r="BD43" i="30"/>
  <c r="BE43" i="30" s="1"/>
  <c r="BF43" i="30" s="1"/>
  <c r="BD45" i="30"/>
  <c r="BE45" i="30" s="1"/>
  <c r="BD47" i="30"/>
  <c r="BE47" i="30" s="1"/>
  <c r="BD49" i="30"/>
  <c r="BE49" i="30" s="1"/>
  <c r="BD51" i="30"/>
  <c r="BE51" i="30" s="1"/>
  <c r="BD53" i="30"/>
  <c r="BE53" i="30" s="1"/>
  <c r="BD55" i="30"/>
  <c r="BE55" i="30" s="1"/>
  <c r="BD57" i="30"/>
  <c r="BE57" i="30" s="1"/>
  <c r="BF57" i="30" s="1"/>
  <c r="BD59" i="30"/>
  <c r="BE59" i="30" s="1"/>
  <c r="BF59" i="30" s="1"/>
  <c r="BD61" i="30"/>
  <c r="BE61" i="30" s="1"/>
  <c r="BF61" i="30" s="1"/>
  <c r="BD63" i="30"/>
  <c r="BE63" i="30" s="1"/>
  <c r="BD65" i="30"/>
  <c r="BE65" i="30" s="1"/>
  <c r="BD67" i="30"/>
  <c r="BE67" i="30" s="1"/>
  <c r="BD69" i="30"/>
  <c r="BD71" i="30"/>
  <c r="BE71" i="30" s="1"/>
  <c r="BD73" i="30"/>
  <c r="BE73" i="30" s="1"/>
  <c r="BD75" i="30"/>
  <c r="BD77" i="30"/>
  <c r="BD79" i="30"/>
  <c r="BE79" i="30" s="1"/>
  <c r="BF79" i="30" s="1"/>
  <c r="BD81" i="30"/>
  <c r="BE81" i="30" s="1"/>
  <c r="BF81" i="30" s="1"/>
  <c r="BD83" i="30"/>
  <c r="BE83" i="30" s="1"/>
  <c r="BF83" i="30" s="1"/>
  <c r="BD85" i="30"/>
  <c r="BE85" i="30" s="1"/>
  <c r="BD87" i="30"/>
  <c r="BE87" i="30" s="1"/>
  <c r="BD89" i="30"/>
  <c r="BE89" i="30" s="1"/>
  <c r="BD91" i="30"/>
  <c r="BE91" i="30" s="1"/>
  <c r="BD93" i="30"/>
  <c r="BD95" i="30"/>
  <c r="BD97" i="30"/>
  <c r="BE97" i="30" s="1"/>
  <c r="BF97" i="30" s="1"/>
  <c r="BD99" i="30"/>
  <c r="BD101" i="30"/>
  <c r="BD103" i="30"/>
  <c r="BE103" i="30" s="1"/>
  <c r="BD105" i="30"/>
  <c r="BE105" i="30" s="1"/>
  <c r="BD107" i="30"/>
  <c r="BE107" i="30" s="1"/>
  <c r="BD109" i="30"/>
  <c r="BE109" i="30" s="1"/>
  <c r="BD111" i="30"/>
  <c r="BE111" i="30" s="1"/>
  <c r="BD113" i="30"/>
  <c r="BE113" i="30" s="1"/>
  <c r="BD115" i="30"/>
  <c r="BE115" i="30" s="1"/>
  <c r="BF115" i="30" s="1"/>
  <c r="BD117" i="30"/>
  <c r="BE117" i="30" s="1"/>
  <c r="BF117" i="30" s="1"/>
  <c r="BD119" i="30"/>
  <c r="BE119" i="30" s="1"/>
  <c r="BF119" i="30" s="1"/>
  <c r="BD121" i="30"/>
  <c r="BE121" i="30" s="1"/>
  <c r="BF121" i="30" s="1"/>
  <c r="BD123" i="30"/>
  <c r="BE123" i="30" s="1"/>
  <c r="BF123" i="30" s="1"/>
  <c r="BD125" i="30"/>
  <c r="BE125" i="30" s="1"/>
  <c r="BF125" i="30" s="1"/>
  <c r="BD127" i="30"/>
  <c r="BD129" i="30"/>
  <c r="BE129" i="30" s="1"/>
  <c r="BD131" i="30"/>
  <c r="BE131" i="30" s="1"/>
  <c r="BD133" i="30"/>
  <c r="BE133" i="30" s="1"/>
  <c r="BD135" i="30"/>
  <c r="BE135" i="30" s="1"/>
  <c r="BD137" i="30"/>
  <c r="BE137" i="30" s="1"/>
  <c r="BD139" i="30"/>
  <c r="BE139" i="30" s="1"/>
  <c r="BD141" i="30"/>
  <c r="BE141" i="30" s="1"/>
  <c r="BD143" i="30"/>
  <c r="BE143" i="30" s="1"/>
  <c r="BF143" i="30" s="1"/>
  <c r="BD145" i="30"/>
  <c r="BD147" i="30"/>
  <c r="BD149" i="30"/>
  <c r="BE149" i="30" s="1"/>
  <c r="BD151" i="30"/>
  <c r="BE151" i="30" s="1"/>
  <c r="BD153" i="30"/>
  <c r="BE153" i="30" s="1"/>
  <c r="BD155" i="30"/>
  <c r="BE155" i="30" s="1"/>
  <c r="BD157" i="30"/>
  <c r="BE157" i="30" s="1"/>
  <c r="BD159" i="30"/>
  <c r="BE159" i="30" s="1"/>
  <c r="BD161" i="30"/>
  <c r="BE161" i="30" s="1"/>
  <c r="BD163" i="30"/>
  <c r="BE163" i="30" s="1"/>
  <c r="BF163" i="30" s="1"/>
  <c r="BD165" i="30"/>
  <c r="BD167" i="30"/>
  <c r="BE167" i="30" s="1"/>
  <c r="BF167" i="30" s="1"/>
  <c r="BD169" i="30"/>
  <c r="BE169" i="30" s="1"/>
  <c r="BF169" i="30" s="1"/>
  <c r="BC3" i="30"/>
  <c r="BC5" i="30"/>
  <c r="BC7" i="30"/>
  <c r="BC9" i="30"/>
  <c r="BC11" i="30"/>
  <c r="BC13" i="30"/>
  <c r="BC15" i="30"/>
  <c r="BC17" i="30"/>
  <c r="BC19" i="30"/>
  <c r="BC21" i="30"/>
  <c r="BC23" i="30"/>
  <c r="BC25" i="30"/>
  <c r="BC27" i="30"/>
  <c r="BC29" i="30"/>
  <c r="BC31" i="30"/>
  <c r="BC33" i="30"/>
  <c r="BC35" i="30"/>
  <c r="BC37" i="30"/>
  <c r="BC39" i="30"/>
  <c r="BC41" i="30"/>
  <c r="BC43" i="30"/>
  <c r="BC45" i="30"/>
  <c r="BC47" i="30"/>
  <c r="BC49" i="30"/>
  <c r="BC51" i="30"/>
  <c r="BC53" i="30"/>
  <c r="BC55" i="30"/>
  <c r="BC57" i="30"/>
  <c r="BC59" i="30"/>
  <c r="BC61" i="30"/>
  <c r="BC63" i="30"/>
  <c r="BC65" i="30"/>
  <c r="BC67" i="30"/>
  <c r="BC69" i="30"/>
  <c r="BC71" i="30"/>
  <c r="BC73" i="30"/>
  <c r="BD4" i="30"/>
  <c r="BE4" i="30" s="1"/>
  <c r="BF4" i="30" s="1"/>
  <c r="BD6" i="30"/>
  <c r="BE6" i="30" s="1"/>
  <c r="BD8" i="30"/>
  <c r="BE8" i="30" s="1"/>
  <c r="BF8" i="30" s="1"/>
  <c r="BD10" i="30"/>
  <c r="BE10" i="30" s="1"/>
  <c r="BD12" i="30"/>
  <c r="BE12" i="30" s="1"/>
  <c r="BD14" i="30"/>
  <c r="BE14" i="30" s="1"/>
  <c r="BD16" i="30"/>
  <c r="BE16" i="30" s="1"/>
  <c r="BD18" i="30"/>
  <c r="BE18" i="30" s="1"/>
  <c r="BD20" i="30"/>
  <c r="BE20" i="30" s="1"/>
  <c r="BD22" i="30"/>
  <c r="BE22" i="30" s="1"/>
  <c r="BF22" i="30" s="1"/>
  <c r="BD24" i="30"/>
  <c r="BE24" i="30" s="1"/>
  <c r="BD26" i="30"/>
  <c r="BE26" i="30" s="1"/>
  <c r="BF26" i="30" s="1"/>
  <c r="BD28" i="30"/>
  <c r="BE28" i="30" s="1"/>
  <c r="BD30" i="30"/>
  <c r="BE30" i="30" s="1"/>
  <c r="BD32" i="30"/>
  <c r="BD34" i="30"/>
  <c r="BD36" i="30"/>
  <c r="BE36" i="30" s="1"/>
  <c r="BD38" i="30"/>
  <c r="BE38" i="30" s="1"/>
  <c r="BD40" i="30"/>
  <c r="BE40" i="30" s="1"/>
  <c r="BF40" i="30" s="1"/>
  <c r="BD42" i="30"/>
  <c r="BE42" i="30" s="1"/>
  <c r="BF42" i="30" s="1"/>
  <c r="BD44" i="30"/>
  <c r="BE44" i="30" s="1"/>
  <c r="BD46" i="30"/>
  <c r="BE46" i="30" s="1"/>
  <c r="BD48" i="30"/>
  <c r="BE48" i="30" s="1"/>
  <c r="BD50" i="30"/>
  <c r="BE50" i="30" s="1"/>
  <c r="BD52" i="30"/>
  <c r="BE52" i="30" s="1"/>
  <c r="BD54" i="30"/>
  <c r="BE54" i="30" s="1"/>
  <c r="BD56" i="30"/>
  <c r="BE56" i="30" s="1"/>
  <c r="BF56" i="30" s="1"/>
  <c r="BD58" i="30"/>
  <c r="BE58" i="30" s="1"/>
  <c r="BF58" i="30" s="1"/>
  <c r="BD60" i="30"/>
  <c r="BE60" i="30" s="1"/>
  <c r="BF60" i="30" s="1"/>
  <c r="BD62" i="30"/>
  <c r="BE62" i="30" s="1"/>
  <c r="BD64" i="30"/>
  <c r="BE64" i="30" s="1"/>
  <c r="BD66" i="30"/>
  <c r="BE66" i="30" s="1"/>
  <c r="BD68" i="30"/>
  <c r="BE68" i="30" s="1"/>
  <c r="BD70" i="30"/>
  <c r="BE70" i="30" s="1"/>
  <c r="BD72" i="30"/>
  <c r="BE72" i="30" s="1"/>
  <c r="BD74" i="30"/>
  <c r="BE74" i="30" s="1"/>
  <c r="BF74" i="30" s="1"/>
  <c r="BD76" i="30"/>
  <c r="BE76" i="30" s="1"/>
  <c r="BF76" i="30" s="1"/>
  <c r="BD78" i="30"/>
  <c r="BE78" i="30" s="1"/>
  <c r="BF78" i="30" s="1"/>
  <c r="BD80" i="30"/>
  <c r="BE80" i="30" s="1"/>
  <c r="BF80" i="30" s="1"/>
  <c r="BD82" i="30"/>
  <c r="BE82" i="30" s="1"/>
  <c r="BF82" i="30" s="1"/>
  <c r="BD84" i="30"/>
  <c r="BD86" i="30"/>
  <c r="BE86" i="30" s="1"/>
  <c r="BD88" i="30"/>
  <c r="BD90" i="30"/>
  <c r="BE90" i="30" s="1"/>
  <c r="BD92" i="30"/>
  <c r="BD94" i="30"/>
  <c r="BD96" i="30"/>
  <c r="BE96" i="30" s="1"/>
  <c r="BD98" i="30"/>
  <c r="BE98" i="30" s="1"/>
  <c r="BF98" i="30" s="1"/>
  <c r="BD100" i="30"/>
  <c r="BD102" i="30"/>
  <c r="BE102" i="30" s="1"/>
  <c r="BF102" i="30" s="1"/>
  <c r="BD104" i="30"/>
  <c r="BE104" i="30" s="1"/>
  <c r="BD106" i="30"/>
  <c r="BE106" i="30" s="1"/>
  <c r="BD108" i="30"/>
  <c r="BE108" i="30" s="1"/>
  <c r="BD110" i="30"/>
  <c r="BE110" i="30" s="1"/>
  <c r="BD112" i="30"/>
  <c r="BE112" i="30" s="1"/>
  <c r="BD114" i="30"/>
  <c r="BE114" i="30" s="1"/>
  <c r="BD116" i="30"/>
  <c r="BE116" i="30" s="1"/>
  <c r="BF116" i="30" s="1"/>
  <c r="BD118" i="30"/>
  <c r="BE118" i="30" s="1"/>
  <c r="BF118" i="30" s="1"/>
  <c r="BD120" i="30"/>
  <c r="BE120" i="30" s="1"/>
  <c r="BF120" i="30" s="1"/>
  <c r="BD122" i="30"/>
  <c r="BE122" i="30" s="1"/>
  <c r="BF122" i="30" s="1"/>
  <c r="BD124" i="30"/>
  <c r="BE124" i="30" s="1"/>
  <c r="BF124" i="30" s="1"/>
  <c r="BD126" i="30"/>
  <c r="BE126" i="30" s="1"/>
  <c r="BF126" i="30" s="1"/>
  <c r="BD128" i="30"/>
  <c r="BE128" i="30" s="1"/>
  <c r="BD130" i="30"/>
  <c r="BE130" i="30" s="1"/>
  <c r="BD132" i="30"/>
  <c r="BE132" i="30" s="1"/>
  <c r="BD134" i="30"/>
  <c r="BE134" i="30" s="1"/>
  <c r="BD136" i="30"/>
  <c r="BE136" i="30" s="1"/>
  <c r="BD138" i="30"/>
  <c r="BE138" i="30" s="1"/>
  <c r="BD140" i="30"/>
  <c r="BD142" i="30"/>
  <c r="BE142" i="30" s="1"/>
  <c r="BF142" i="30" s="1"/>
  <c r="BD144" i="30"/>
  <c r="BD146" i="30"/>
  <c r="BE146" i="30" s="1"/>
  <c r="BF146" i="30" s="1"/>
  <c r="BD148" i="30"/>
  <c r="BE148" i="30" s="1"/>
  <c r="BF148" i="30" s="1"/>
  <c r="BD150" i="30"/>
  <c r="BE150" i="30" s="1"/>
  <c r="BD152" i="30"/>
  <c r="BE152" i="30" s="1"/>
  <c r="BD154" i="30"/>
  <c r="BD156" i="30"/>
  <c r="BE156" i="30" s="1"/>
  <c r="BD158" i="30"/>
  <c r="BE158" i="30" s="1"/>
  <c r="BD160" i="30"/>
  <c r="BE160" i="30" s="1"/>
  <c r="BD162" i="30"/>
  <c r="BE162" i="30" s="1"/>
  <c r="BD164" i="30"/>
  <c r="BE164" i="30" s="1"/>
  <c r="BF164" i="30" s="1"/>
  <c r="BD166" i="30"/>
  <c r="BD168" i="30"/>
  <c r="BD170" i="30"/>
  <c r="BE170" i="30" s="1"/>
  <c r="BC4" i="30"/>
  <c r="BC6" i="30"/>
  <c r="BC8" i="30"/>
  <c r="BC10" i="30"/>
  <c r="BC12" i="30"/>
  <c r="BC14" i="30"/>
  <c r="BC16" i="30"/>
  <c r="BC18" i="30"/>
  <c r="BC20" i="30"/>
  <c r="BC22" i="30"/>
  <c r="BC24" i="30"/>
  <c r="BC26" i="30"/>
  <c r="BC28" i="30"/>
  <c r="BC30" i="30"/>
  <c r="BC32" i="30"/>
  <c r="BC34" i="30"/>
  <c r="BC36" i="30"/>
  <c r="BC38" i="30"/>
  <c r="BC40" i="30"/>
  <c r="BC42" i="30"/>
  <c r="BC44" i="30"/>
  <c r="BC46" i="30"/>
  <c r="BC48" i="30"/>
  <c r="BC50" i="30"/>
  <c r="BC52" i="30"/>
  <c r="BC54" i="30"/>
  <c r="BC56" i="30"/>
  <c r="BC58" i="30"/>
  <c r="BC60" i="30"/>
  <c r="BC62" i="30"/>
  <c r="BC64" i="30"/>
  <c r="BC66" i="30"/>
  <c r="BC68" i="30"/>
  <c r="BC70" i="30"/>
  <c r="BC72" i="30"/>
  <c r="BC74" i="30"/>
  <c r="BC75" i="30"/>
  <c r="BC77" i="30"/>
  <c r="BC79" i="30"/>
  <c r="BC81" i="30"/>
  <c r="BC83" i="30"/>
  <c r="BC85" i="30"/>
  <c r="BC87" i="30"/>
  <c r="BC89" i="30"/>
  <c r="BC91" i="30"/>
  <c r="BC93" i="30"/>
  <c r="BC95" i="30"/>
  <c r="BC97" i="30"/>
  <c r="BC99" i="30"/>
  <c r="BC101" i="30"/>
  <c r="BC103" i="30"/>
  <c r="BC105" i="30"/>
  <c r="BC107" i="30"/>
  <c r="BC109" i="30"/>
  <c r="BC111" i="30"/>
  <c r="BC113" i="30"/>
  <c r="BC115" i="30"/>
  <c r="BC117" i="30"/>
  <c r="BC119" i="30"/>
  <c r="BC121" i="30"/>
  <c r="BC123" i="30"/>
  <c r="BC125" i="30"/>
  <c r="BC127" i="30"/>
  <c r="BC129" i="30"/>
  <c r="BC131" i="30"/>
  <c r="BC133" i="30"/>
  <c r="BC135" i="30"/>
  <c r="BC137" i="30"/>
  <c r="BC139" i="30"/>
  <c r="BC141" i="30"/>
  <c r="BC143" i="30"/>
  <c r="BC145" i="30"/>
  <c r="BC147" i="30"/>
  <c r="BC149" i="30"/>
  <c r="BC151" i="30"/>
  <c r="BC153" i="30"/>
  <c r="BC155" i="30"/>
  <c r="BC157" i="30"/>
  <c r="BC159" i="30"/>
  <c r="BC161" i="30"/>
  <c r="BC163" i="30"/>
  <c r="BC165" i="30"/>
  <c r="BC167" i="30"/>
  <c r="BC169" i="30"/>
  <c r="BC76" i="30"/>
  <c r="BC78" i="30"/>
  <c r="BC80" i="30"/>
  <c r="BC82" i="30"/>
  <c r="BC84" i="30"/>
  <c r="BC86" i="30"/>
  <c r="BC88" i="30"/>
  <c r="BC90" i="30"/>
  <c r="BC92" i="30"/>
  <c r="BC94" i="30"/>
  <c r="BC96" i="30"/>
  <c r="BC98" i="30"/>
  <c r="BC100" i="30"/>
  <c r="BC102" i="30"/>
  <c r="BC104" i="30"/>
  <c r="BC106" i="30"/>
  <c r="BC108" i="30"/>
  <c r="BC110" i="30"/>
  <c r="BC112" i="30"/>
  <c r="BC114" i="30"/>
  <c r="BC116" i="30"/>
  <c r="BC118" i="30"/>
  <c r="BC120" i="30"/>
  <c r="BC122" i="30"/>
  <c r="BC124" i="30"/>
  <c r="BC126" i="30"/>
  <c r="BC128" i="30"/>
  <c r="BC130" i="30"/>
  <c r="BC132" i="30"/>
  <c r="BC134" i="30"/>
  <c r="BC136" i="30"/>
  <c r="BC138" i="30"/>
  <c r="BC140" i="30"/>
  <c r="BC142" i="30"/>
  <c r="BC144" i="30"/>
  <c r="BC146" i="30"/>
  <c r="BC148" i="30"/>
  <c r="BC150" i="30"/>
  <c r="BC152" i="30"/>
  <c r="BC154" i="30"/>
  <c r="BC156" i="30"/>
  <c r="BC158" i="30"/>
  <c r="BC160" i="30"/>
  <c r="BC162" i="30"/>
  <c r="BC164" i="30"/>
  <c r="BC166" i="30"/>
  <c r="BC168" i="30"/>
  <c r="BC170" i="30"/>
  <c r="BD3" i="30"/>
  <c r="BE3" i="30" s="1"/>
  <c r="BF3" i="30" s="1"/>
  <c r="W22" i="28"/>
  <c r="O3" i="28"/>
  <c r="AW48" i="28"/>
  <c r="AS44" i="28"/>
  <c r="AT44" i="28"/>
  <c r="AT47" i="28" s="1"/>
  <c r="AX4" i="28"/>
  <c r="AP43" i="28"/>
  <c r="AV33" i="28"/>
  <c r="AO29" i="28"/>
  <c r="AG4" i="28" s="1"/>
  <c r="AY37" i="28"/>
  <c r="AY36" i="28"/>
  <c r="AL26" i="28"/>
  <c r="AM51" i="28"/>
  <c r="AL25" i="28"/>
  <c r="AO28" i="28"/>
  <c r="AO26" i="28"/>
  <c r="AO38" i="28"/>
  <c r="AM45" i="28"/>
  <c r="AO18" i="28"/>
  <c r="AO20" i="28"/>
  <c r="AP33" i="28"/>
  <c r="AN19" i="28"/>
  <c r="AY9" i="28"/>
  <c r="AO19" i="28"/>
  <c r="AY6" i="28"/>
  <c r="AJ31" i="28" l="1"/>
  <c r="AS50" i="28"/>
  <c r="AJ20" i="28"/>
  <c r="AW44" i="28"/>
  <c r="AG16" i="28"/>
  <c r="AG12" i="28"/>
  <c r="AG17" i="28"/>
  <c r="AG13" i="28"/>
  <c r="BD173" i="30"/>
  <c r="BE39" i="30"/>
  <c r="BE173" i="30" s="1"/>
  <c r="BC173" i="30"/>
  <c r="AO52" i="28"/>
  <c r="AQ52" i="28" s="1"/>
  <c r="AN53" i="28"/>
  <c r="AP53" i="28" s="1"/>
  <c r="AN54" i="28"/>
  <c r="AP54" i="28" s="1"/>
  <c r="AN52" i="28"/>
  <c r="AP52" i="28" s="1"/>
  <c r="J16" i="28"/>
  <c r="AN17" i="28" s="1"/>
  <c r="J17" i="28"/>
  <c r="J14" i="28"/>
  <c r="AN15" i="28" s="1"/>
  <c r="J15" i="28"/>
  <c r="AN16" i="28" s="1"/>
  <c r="AM50" i="28"/>
  <c r="AH5" i="28" s="1"/>
  <c r="L14" i="28" s="1"/>
  <c r="AT45" i="28"/>
  <c r="AP50" i="28"/>
  <c r="AV50" i="28"/>
  <c r="AU50" i="28"/>
  <c r="AN50" i="28"/>
  <c r="AP51" i="28"/>
  <c r="AH17" i="28" s="1"/>
  <c r="AM44" i="28"/>
  <c r="AU51" i="28"/>
  <c r="AH16" i="28" s="1"/>
  <c r="AX42" i="28"/>
  <c r="G11" i="28" s="1"/>
  <c r="AS47" i="28"/>
  <c r="AV47" i="28"/>
  <c r="AS46" i="28"/>
  <c r="AR46" i="28"/>
  <c r="AR47" i="28"/>
  <c r="AT46" i="28"/>
  <c r="AU47" i="28"/>
  <c r="E21" i="28" l="1"/>
  <c r="AF22" i="28" s="1"/>
  <c r="AH14" i="28"/>
  <c r="AQ50" i="28" s="1"/>
  <c r="BF39" i="30"/>
  <c r="BF173" i="30" s="1"/>
  <c r="AH19" i="28" s="1"/>
  <c r="AR53" i="28"/>
  <c r="AO46" i="28"/>
  <c r="G19" i="28" s="1"/>
  <c r="AN18" i="28"/>
  <c r="G9" i="28" s="1"/>
  <c r="AJ6" i="28" l="1"/>
  <c r="AH18" i="28" s="1"/>
  <c r="AF6" i="28" l="1"/>
  <c r="AM43" i="28"/>
  <c r="AF15" i="28"/>
  <c r="AO34" i="28"/>
  <c r="AW45" i="28"/>
  <c r="AW38" i="28"/>
  <c r="AY5" i="28"/>
  <c r="AF14" i="28"/>
  <c r="AO36" i="28"/>
  <c r="AR41" i="28"/>
  <c r="AO39" i="28"/>
  <c r="AS51" i="28"/>
  <c r="AH12" i="28" s="1"/>
  <c r="AQ46" i="28" s="1"/>
  <c r="AQ51" i="28" s="1"/>
  <c r="W20" i="28"/>
  <c r="AF11" i="28"/>
  <c r="AF23" i="28"/>
  <c r="AO35" i="28"/>
  <c r="AO33" i="28"/>
  <c r="AW39" i="28"/>
  <c r="AW36" i="28"/>
  <c r="AY8" i="28"/>
  <c r="AW37" i="28"/>
  <c r="AO37" i="28"/>
  <c r="AX7" i="28"/>
  <c r="AG25" i="28" s="1"/>
  <c r="AH25" i="28" s="1"/>
  <c r="W21" i="28"/>
  <c r="AV51" i="28"/>
  <c r="AH13" i="28" s="1"/>
  <c r="AF5" i="28"/>
  <c r="AF12" i="28"/>
  <c r="AF16" i="28"/>
  <c r="AF4" i="28"/>
  <c r="AJ7" i="28"/>
  <c r="AY44" i="28"/>
  <c r="AX48" i="28" s="1"/>
  <c r="AF8" i="28"/>
  <c r="AF17" i="28"/>
  <c r="AF25" i="28"/>
  <c r="AF24" i="28"/>
  <c r="AY45" i="28" l="1"/>
  <c r="AG18" i="28" s="1"/>
  <c r="AG26" i="28"/>
  <c r="AH26" i="28" s="1"/>
  <c r="AH15" i="28"/>
  <c r="AO54" i="28" s="1"/>
  <c r="AQ54" i="28" s="1"/>
  <c r="AO53" i="28" l="1"/>
  <c r="AQ53" i="28" s="1"/>
  <c r="AJ23" i="28"/>
  <c r="E20" i="28" l="1"/>
  <c r="AP48" i="28" s="1"/>
  <c r="A3" i="34"/>
</calcChain>
</file>

<file path=xl/sharedStrings.xml><?xml version="1.0" encoding="utf-8"?>
<sst xmlns="http://schemas.openxmlformats.org/spreadsheetml/2006/main" count="3733" uniqueCount="764">
  <si>
    <t>ANODA</t>
  </si>
  <si>
    <t>KATODA</t>
  </si>
  <si>
    <t>C</t>
  </si>
  <si>
    <t>Cu</t>
  </si>
  <si>
    <t>ELEKTROLIT</t>
  </si>
  <si>
    <t>HCl</t>
  </si>
  <si>
    <t>H2SO4</t>
  </si>
  <si>
    <t>NaOH</t>
  </si>
  <si>
    <t>NaCl</t>
  </si>
  <si>
    <t>CuSO4</t>
  </si>
  <si>
    <t>H2O</t>
  </si>
  <si>
    <t>ZnO</t>
  </si>
  <si>
    <t>CdO</t>
  </si>
  <si>
    <t>CuCl2</t>
  </si>
  <si>
    <t xml:space="preserve"> </t>
  </si>
  <si>
    <t>Cu(OH)2</t>
  </si>
  <si>
    <t>Na2SO4</t>
  </si>
  <si>
    <t>CrCl3</t>
  </si>
  <si>
    <t>ZnCl2</t>
  </si>
  <si>
    <t>MgO</t>
  </si>
  <si>
    <t>SAMPEL</t>
  </si>
  <si>
    <r>
      <t>HCl (aq) 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</si>
  <si>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</si>
  <si>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>NaCl (l)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(l)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</si>
  <si>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2Na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</si>
  <si>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>NaOH (aq)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</si>
  <si>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</si>
  <si>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CuS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</si>
  <si>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</si>
  <si>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(l)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</si>
  <si>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(l) →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(l) + 3Cl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</si>
  <si>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(l)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</t>
    </r>
  </si>
  <si>
    <r>
      <t>MgO</t>
    </r>
    <r>
      <rPr>
        <sz val="11"/>
        <color theme="1"/>
        <rFont val="Calibri"/>
        <family val="2"/>
        <scheme val="minor"/>
      </rPr>
      <t>(l) 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</t>
    </r>
  </si>
  <si>
    <r>
      <t>CdO</t>
    </r>
    <r>
      <rPr>
        <sz val="11"/>
        <color theme="1"/>
        <rFont val="Calibri"/>
        <family val="2"/>
        <scheme val="minor"/>
      </rPr>
      <t>(l)  →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</t>
    </r>
  </si>
  <si>
    <r>
      <t>ZnO</t>
    </r>
    <r>
      <rPr>
        <sz val="11"/>
        <color theme="1"/>
        <rFont val="Calibri"/>
        <family val="2"/>
        <scheme val="minor"/>
      </rPr>
      <t>(l) 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</t>
    </r>
  </si>
  <si>
    <t>Cl2</t>
  </si>
  <si>
    <t>O2</t>
  </si>
  <si>
    <t>Cu2+</t>
  </si>
  <si>
    <t>H2</t>
  </si>
  <si>
    <t>NO</t>
  </si>
  <si>
    <t>L</t>
  </si>
  <si>
    <t>*</t>
  </si>
  <si>
    <t xml:space="preserve"> D</t>
  </si>
  <si>
    <t>A</t>
  </si>
  <si>
    <t>K</t>
  </si>
  <si>
    <t>O</t>
  </si>
  <si>
    <t>o</t>
  </si>
  <si>
    <t>Na</t>
  </si>
  <si>
    <t>Mg</t>
  </si>
  <si>
    <t>Cr</t>
  </si>
  <si>
    <t>Zn</t>
  </si>
  <si>
    <t>Cd</t>
  </si>
  <si>
    <t>Al2O3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</si>
  <si>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(l)  → 2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(l) +  3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</t>
    </r>
  </si>
  <si>
    <t>Al</t>
  </si>
  <si>
    <t>Pt</t>
  </si>
  <si>
    <t>NaCl(aq)</t>
  </si>
  <si>
    <t>CuSO4(aq)</t>
  </si>
  <si>
    <t>H2SO4(aq)</t>
  </si>
  <si>
    <t>Zn(OH)2(aq)</t>
  </si>
  <si>
    <t>NaCl(l)</t>
  </si>
  <si>
    <t>ELEKTRODA</t>
  </si>
  <si>
    <t>Ag2O(l)</t>
  </si>
  <si>
    <t>Ag2O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</si>
  <si>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(l)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</t>
    </r>
  </si>
  <si>
    <t>NaNO3(aq)</t>
  </si>
  <si>
    <t>NiSO4(aq)</t>
  </si>
  <si>
    <t>HCl(aq)</t>
  </si>
  <si>
    <t>Ag</t>
  </si>
  <si>
    <t>KCl(aq)</t>
  </si>
  <si>
    <t>AgNO3(aq)</t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</si>
  <si>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</si>
  <si>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-1,23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</si>
  <si>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-0,83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</si>
  <si>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0,00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</si>
  <si>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</si>
  <si>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-0,40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</si>
  <si>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-1,36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</si>
  <si>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+0,34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</si>
  <si>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-0,34 V</t>
    </r>
  </si>
  <si>
    <t>H</t>
  </si>
  <si>
    <t>I</t>
  </si>
  <si>
    <t>CaCl2(aq)</t>
  </si>
  <si>
    <t>TEORI</t>
  </si>
  <si>
    <t>HITUNG</t>
  </si>
  <si>
    <t>CADANGAN</t>
  </si>
  <si>
    <t>Ni</t>
  </si>
  <si>
    <t>Ca</t>
  </si>
  <si>
    <t>Cl</t>
  </si>
  <si>
    <t>NO3</t>
  </si>
  <si>
    <t>SO4</t>
  </si>
  <si>
    <t>OH</t>
  </si>
  <si>
    <t>Ari Harnanto</t>
  </si>
  <si>
    <t>Co(NO3)2</t>
  </si>
  <si>
    <t>Co</t>
  </si>
  <si>
    <t>Budi Utami</t>
  </si>
  <si>
    <t>Budi</t>
  </si>
  <si>
    <t>Utami</t>
  </si>
  <si>
    <t>BASA</t>
  </si>
  <si>
    <r>
      <t>KI (aq) 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</si>
  <si>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t>KI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</si>
  <si>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-0,54 V</t>
    </r>
  </si>
  <si>
    <t>ION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</si>
  <si>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-2,92  V</t>
    </r>
  </si>
  <si>
    <r>
      <rPr>
        <sz val="11"/>
        <color theme="1"/>
        <rFont val="Symbol"/>
        <family val="1"/>
        <charset val="2"/>
      </rPr>
      <t xml:space="preserve">®   </t>
    </r>
    <r>
      <rPr>
        <sz val="11"/>
        <color theme="1"/>
        <rFont val="Calibri"/>
        <family val="2"/>
        <scheme val="minor"/>
      </rP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</si>
  <si>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</rPr>
      <t xml:space="preserve">   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</si>
  <si>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t>ANOION</t>
  </si>
  <si>
    <t>ANOION3</t>
  </si>
  <si>
    <r>
      <t>HBr (aq) 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</si>
  <si>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HI (aq) 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</si>
  <si>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</si>
  <si>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-1,08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</si>
  <si>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-2,87 V</t>
    </r>
  </si>
  <si>
    <r>
      <t>KCl (aq) 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</si>
  <si>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NaCl (aq)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</si>
  <si>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</si>
  <si>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AlCl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(aq)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+ 3Cl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</si>
  <si>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MnCl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</si>
  <si>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-2,87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</si>
  <si>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-1,66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</si>
  <si>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-1,18  V</t>
    </r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</si>
  <si>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(aq) 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</si>
  <si>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3Na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>(aq)</t>
    </r>
  </si>
  <si>
    <r>
      <t>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</si>
  <si>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</si>
  <si>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>AlPO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>(aq)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</si>
  <si>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</si>
  <si>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</si>
  <si>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KOH(aq) 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</si>
  <si>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</si>
  <si>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Sr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</si>
  <si>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</si>
  <si>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(aq)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+ 3OH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</si>
  <si>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</si>
  <si>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-2,90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</si>
  <si>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Sr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-2,89  V</t>
    </r>
  </si>
  <si>
    <r>
      <t>AgCl (aq)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</si>
  <si>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NiBr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</si>
  <si>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</si>
  <si>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SnCl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</si>
  <si>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+0,80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</si>
  <si>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</si>
  <si>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-0,76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</si>
  <si>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</si>
  <si>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-0,14 V</t>
    </r>
  </si>
  <si>
    <t>AgNO3</t>
  </si>
  <si>
    <t>FePO4</t>
  </si>
  <si>
    <t>NiSO4</t>
  </si>
  <si>
    <t>Pb(NO3)2</t>
  </si>
  <si>
    <t>Sn(NO3)2</t>
  </si>
  <si>
    <t>Co(OH)2</t>
  </si>
  <si>
    <t>Ni(OH)2</t>
  </si>
  <si>
    <t>Zn(OH)2</t>
  </si>
  <si>
    <t>Sn(OH)2</t>
  </si>
  <si>
    <t>Pb(OH)2</t>
  </si>
  <si>
    <t>Cd(OH)2</t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</si>
  <si>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(aq)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</si>
  <si>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NiSO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</si>
  <si>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</si>
  <si>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</si>
  <si>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</si>
  <si>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</si>
  <si>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</si>
  <si>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</si>
  <si>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</si>
  <si>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+0,77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</si>
  <si>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</si>
  <si>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-0,40 V</t>
    </r>
  </si>
  <si>
    <r>
      <t>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</si>
  <si>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t>MgCl2</t>
  </si>
  <si>
    <t>HBr</t>
  </si>
  <si>
    <t>HI</t>
  </si>
  <si>
    <t>HNO3</t>
  </si>
  <si>
    <t>H3PO4</t>
  </si>
  <si>
    <t>HF</t>
  </si>
  <si>
    <t>KCl</t>
  </si>
  <si>
    <t>NaI</t>
  </si>
  <si>
    <t>CaCl2</t>
  </si>
  <si>
    <t>AlCl3</t>
  </si>
  <si>
    <t>MnCl2</t>
  </si>
  <si>
    <t>KNO3</t>
  </si>
  <si>
    <t>Na3PO4</t>
  </si>
  <si>
    <t>Ca(NO3)2</t>
  </si>
  <si>
    <t>CaSO4</t>
  </si>
  <si>
    <t>AlPO4</t>
  </si>
  <si>
    <t>MnSO4</t>
  </si>
  <si>
    <t>KOH</t>
  </si>
  <si>
    <t>Ca(OH)2</t>
  </si>
  <si>
    <t>Sr(OH)2</t>
  </si>
  <si>
    <t>Ba(OH)2</t>
  </si>
  <si>
    <t>Al(OH)3</t>
  </si>
  <si>
    <t>Mn(OH)2</t>
  </si>
  <si>
    <t>AgCl</t>
  </si>
  <si>
    <t>NiBr2</t>
  </si>
  <si>
    <t>CuI2</t>
  </si>
  <si>
    <t>PbCl2</t>
  </si>
  <si>
    <t>SnCl2</t>
  </si>
  <si>
    <t>Cu(s)</t>
  </si>
  <si>
    <t>Na(s)</t>
  </si>
  <si>
    <t>Mg(s)</t>
  </si>
  <si>
    <t>Cr(s)</t>
  </si>
  <si>
    <t>Zn(s)</t>
  </si>
  <si>
    <t>Ag(s)</t>
  </si>
  <si>
    <t>Cd(s)</t>
  </si>
  <si>
    <t>Al(s)</t>
  </si>
  <si>
    <t>Ni(s)</t>
  </si>
  <si>
    <t>Pb(s)</t>
  </si>
  <si>
    <t>Sn(s)</t>
  </si>
  <si>
    <t>Fe(s)</t>
  </si>
  <si>
    <t>Co(s)</t>
  </si>
  <si>
    <t>[H+] =</t>
  </si>
  <si>
    <t>[OH-] =</t>
  </si>
  <si>
    <t>Wening</t>
  </si>
  <si>
    <t>Br</t>
  </si>
  <si>
    <t>PO4</t>
  </si>
  <si>
    <t>Sr</t>
  </si>
  <si>
    <t>Ba</t>
  </si>
  <si>
    <t>Mn</t>
  </si>
  <si>
    <t>Fe</t>
  </si>
  <si>
    <t>Pb</t>
  </si>
  <si>
    <t>Sn</t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</si>
  <si>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(aq) 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</si>
  <si>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t>NaBr</t>
  </si>
  <si>
    <r>
      <t>NaBr (aq)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</si>
  <si>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t>CdSO4</t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</si>
  <si>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(aq) →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+ 3Cl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</si>
  <si>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</si>
  <si>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t>E0 H2O = -1,23 V</t>
  </si>
  <si>
    <t>E0 Cl- = -1,36 V</t>
  </si>
  <si>
    <t>E0 H2O = -0,83 V</t>
  </si>
  <si>
    <r>
      <t>E0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</si>
  <si>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</si>
  <si>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</si>
  <si>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</si>
  <si>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</si>
  <si>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</si>
  <si>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</si>
  <si>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-2,38  V</t>
    </r>
  </si>
  <si>
    <r>
      <t>Cl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</si>
  <si>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</si>
  <si>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</si>
  <si>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</si>
  <si>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</si>
  <si>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</si>
  <si>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I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</si>
  <si>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</si>
  <si>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</si>
  <si>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</si>
  <si>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Cr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</si>
  <si>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</si>
  <si>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t>NaOH(aq)</t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</si>
  <si>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</si>
  <si>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perscript"/>
        <sz val="11"/>
        <color theme="1"/>
        <rFont val="Calibri"/>
        <family val="2"/>
        <scheme val="minor"/>
      </rPr>
      <t>2-</t>
    </r>
  </si>
  <si>
    <r>
      <t>Zn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</si>
  <si>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Cd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</si>
  <si>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</si>
  <si>
    <r>
      <t>Al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</si>
  <si>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Br</t>
    </r>
    <r>
      <rPr>
        <vertAlign val="superscript"/>
        <sz val="11"/>
        <color theme="1"/>
        <rFont val="Calibri"/>
        <family val="2"/>
        <scheme val="minor"/>
      </rPr>
      <t>-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</si>
  <si>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</si>
  <si>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</si>
  <si>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</si>
  <si>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Ni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</si>
  <si>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Sn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</si>
  <si>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</si>
  <si>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Co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</si>
  <si>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Pb</t>
    </r>
    <r>
      <rPr>
        <vertAlign val="superscript"/>
        <sz val="11"/>
        <color theme="1"/>
        <rFont val="Calibri"/>
        <family val="2"/>
        <scheme val="minor"/>
      </rPr>
      <t>2+</t>
    </r>
  </si>
  <si>
    <t xml:space="preserve">   CrCl3(aq)</t>
  </si>
  <si>
    <t>ANODA3</t>
  </si>
  <si>
    <t>ANODA4</t>
  </si>
  <si>
    <t>KATODA3</t>
  </si>
  <si>
    <t>KATODA4</t>
  </si>
  <si>
    <t>PANAH1</t>
  </si>
  <si>
    <t>PANAH2</t>
  </si>
  <si>
    <t>PANAH3</t>
  </si>
  <si>
    <r>
      <t>MgCl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</si>
  <si>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CrCl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</si>
  <si>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</si>
  <si>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MgO(l)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</si>
  <si>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Ag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</si>
  <si>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CdO(l)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</si>
  <si>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</si>
  <si>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ZnO(l)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</si>
  <si>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HBr(aq)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</si>
  <si>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HI(aq)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</si>
  <si>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HNO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</si>
  <si>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</si>
  <si>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HF(aq)</t>
    </r>
  </si>
  <si>
    <r>
      <rPr>
        <b/>
        <sz val="11"/>
        <color rgb="FFFF0000"/>
        <rFont val="Calibri"/>
        <family val="2"/>
      </rPr>
      <t xml:space="preserve">   KCl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</si>
  <si>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NaBr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</si>
  <si>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</si>
  <si>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</si>
  <si>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</si>
  <si>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</si>
  <si>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</si>
  <si>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</si>
  <si>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</si>
  <si>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</si>
  <si>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</si>
  <si>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</si>
  <si>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KOH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</si>
  <si>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</si>
  <si>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Sr(OH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</si>
  <si>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Ba(OH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</si>
  <si>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</si>
  <si>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</si>
  <si>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</si>
  <si>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NiBr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</si>
  <si>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CuI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</si>
  <si>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</si>
  <si>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CrCl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</si>
  <si>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</si>
  <si>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</si>
  <si>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FePO</t>
    </r>
    <r>
      <rPr>
        <b/>
        <vertAlign val="subscript"/>
        <sz val="11"/>
        <color rgb="FFFF0000"/>
        <rFont val="Calibri"/>
        <family val="2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</si>
  <si>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</si>
  <si>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</si>
  <si>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</si>
  <si>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</si>
  <si>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</si>
  <si>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</si>
  <si>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</si>
  <si>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Pb(OH)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</si>
  <si>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Cd(OH)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</si>
  <si>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HCl(aq)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</si>
  <si>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</si>
  <si>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KI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</si>
  <si>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</si>
  <si>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NaOH(aq)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</si>
  <si>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</si>
  <si>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</si>
  <si>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</t>
    </r>
    <r>
      <rPr>
        <b/>
        <sz val="11"/>
        <color rgb="FFFF0000"/>
        <rFont val="Calibri"/>
        <family val="2"/>
        <scheme val="minor"/>
      </rPr>
      <t>u(OH)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</si>
  <si>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</si>
  <si>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t>PANAH4</t>
  </si>
  <si>
    <t>PANAH5</t>
  </si>
  <si>
    <t>netral</t>
  </si>
  <si>
    <t>basa</t>
  </si>
  <si>
    <r>
      <t>CuI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</si>
  <si>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4OH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O(l)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(g) + </t>
    </r>
    <r>
      <rPr>
        <b/>
        <sz val="11"/>
        <color rgb="FFFF0000"/>
        <rFont val="Calibri"/>
        <family val="2"/>
      </rPr>
      <t>4e</t>
    </r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</si>
  <si>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</si>
  <si>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t>asam</t>
  </si>
  <si>
    <r>
      <t>KCl(aq) 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Cu(s)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Cu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(aq)+ 2OH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(aq)+ K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(aq)+ Cl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</t>
    </r>
  </si>
  <si>
    <r>
      <t>NaCl(aq) 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Cu(s)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Cu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(aq)+ 2OH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(aq)+ Na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(aq)+ Cl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</t>
    </r>
  </si>
  <si>
    <r>
      <t>CaCl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(aq) 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Cu(s)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Cu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(aq)+ 2OH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(aq)+ Ca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(aq)+ 2Cl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</t>
    </r>
  </si>
  <si>
    <r>
      <t>MnCl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(aq) 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Cu(s)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Cu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(aq)+ 2OH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(aq)+ Mn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(aq)+ 2Cl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</si>
  <si>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</t>
    </r>
    <r>
      <rPr>
        <vertAlign val="subscript"/>
        <sz val="9"/>
        <color theme="1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Cu(s)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Cu</t>
    </r>
    <r>
      <rPr>
        <vertAlign val="superscript"/>
        <sz val="9"/>
        <color theme="1"/>
        <rFont val="Calibri"/>
        <family val="2"/>
      </rPr>
      <t>2+</t>
    </r>
    <r>
      <rPr>
        <sz val="9"/>
        <color theme="1"/>
        <rFont val="Calibri"/>
        <family val="2"/>
      </rPr>
      <t>(aq) +2 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+ 2Na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sz val="9"/>
        <color theme="1"/>
        <rFont val="Calibri"/>
        <family val="2"/>
      </rPr>
      <t>(aq)</t>
    </r>
  </si>
  <si>
    <r>
      <t>KNO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(aq) 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O(l) + Cu(s)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(g) + Cu</t>
    </r>
    <r>
      <rPr>
        <vertAlign val="superscript"/>
        <sz val="10"/>
        <color theme="1"/>
        <rFont val="Calibri"/>
        <family val="2"/>
      </rPr>
      <t>2+</t>
    </r>
    <r>
      <rPr>
        <sz val="10"/>
        <color theme="1"/>
        <rFont val="Calibri"/>
        <family val="2"/>
      </rPr>
      <t>(aq) + 2OH</t>
    </r>
    <r>
      <rPr>
        <vertAlign val="superscript"/>
        <sz val="10"/>
        <color theme="1"/>
        <rFont val="Calibri"/>
        <family val="2"/>
      </rPr>
      <t>-</t>
    </r>
    <r>
      <rPr>
        <sz val="10"/>
        <color theme="1"/>
        <rFont val="Calibri"/>
        <family val="2"/>
      </rPr>
      <t>(aq) + K</t>
    </r>
    <r>
      <rPr>
        <vertAlign val="superscript"/>
        <sz val="10"/>
        <color theme="1"/>
        <rFont val="Calibri"/>
        <family val="2"/>
      </rPr>
      <t>+</t>
    </r>
    <r>
      <rPr>
        <sz val="10"/>
        <color theme="1"/>
        <rFont val="Calibri"/>
        <family val="2"/>
      </rPr>
      <t>(aq) + NO</t>
    </r>
    <r>
      <rPr>
        <vertAlign val="subscript"/>
        <sz val="10"/>
        <color theme="1"/>
        <rFont val="Calibri"/>
        <family val="2"/>
      </rPr>
      <t>3</t>
    </r>
    <r>
      <rPr>
        <vertAlign val="superscript"/>
        <sz val="10"/>
        <color theme="1"/>
        <rFont val="Calibri"/>
        <family val="2"/>
      </rPr>
      <t>-</t>
    </r>
    <r>
      <rPr>
        <sz val="10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</si>
  <si>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Cu(s)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Cu</t>
    </r>
    <r>
      <rPr>
        <vertAlign val="superscript"/>
        <sz val="9"/>
        <color theme="1"/>
        <rFont val="Calibri"/>
        <family val="2"/>
      </rPr>
      <t>2+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+ 3Na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sz val="9"/>
        <color theme="1"/>
        <rFont val="Calibri"/>
        <family val="2"/>
      </rPr>
      <t>(aq)</t>
    </r>
  </si>
  <si>
    <r>
      <t>CaSO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(aq) 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O(l) + Cu(s)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(g) + Cu</t>
    </r>
    <r>
      <rPr>
        <vertAlign val="superscript"/>
        <sz val="10"/>
        <color theme="1"/>
        <rFont val="Calibri"/>
        <family val="2"/>
      </rPr>
      <t>2+</t>
    </r>
    <r>
      <rPr>
        <sz val="10"/>
        <color theme="1"/>
        <rFont val="Calibri"/>
        <family val="2"/>
      </rPr>
      <t>(aq) + 2OH</t>
    </r>
    <r>
      <rPr>
        <vertAlign val="superscript"/>
        <sz val="10"/>
        <color theme="1"/>
        <rFont val="Calibri"/>
        <family val="2"/>
      </rPr>
      <t>-</t>
    </r>
    <r>
      <rPr>
        <sz val="10"/>
        <color theme="1"/>
        <rFont val="Calibri"/>
        <family val="2"/>
      </rPr>
      <t>(aq) + Ca</t>
    </r>
    <r>
      <rPr>
        <vertAlign val="superscript"/>
        <sz val="10"/>
        <color theme="1"/>
        <rFont val="Calibri"/>
        <family val="2"/>
      </rPr>
      <t>2+</t>
    </r>
    <r>
      <rPr>
        <sz val="10"/>
        <color theme="1"/>
        <rFont val="Calibri"/>
        <family val="2"/>
      </rPr>
      <t>(aq) 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sz val="10"/>
        <color theme="1"/>
        <rFont val="Calibri"/>
        <family val="2"/>
      </rPr>
      <t>(aq)</t>
    </r>
  </si>
  <si>
    <r>
      <t>AlPO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(aq) 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O(l) + Cu(s)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(g) + Cu</t>
    </r>
    <r>
      <rPr>
        <vertAlign val="superscript"/>
        <sz val="10"/>
        <color theme="1"/>
        <rFont val="Calibri"/>
        <family val="2"/>
      </rPr>
      <t>2+</t>
    </r>
    <r>
      <rPr>
        <sz val="10"/>
        <color theme="1"/>
        <rFont val="Calibri"/>
        <family val="2"/>
      </rPr>
      <t>(aq) + 2OH</t>
    </r>
    <r>
      <rPr>
        <vertAlign val="superscript"/>
        <sz val="10"/>
        <color theme="1"/>
        <rFont val="Calibri"/>
        <family val="2"/>
      </rPr>
      <t>-</t>
    </r>
    <r>
      <rPr>
        <sz val="10"/>
        <color theme="1"/>
        <rFont val="Calibri"/>
        <family val="2"/>
      </rPr>
      <t>(aq) + Al</t>
    </r>
    <r>
      <rPr>
        <vertAlign val="superscript"/>
        <sz val="10"/>
        <color theme="1"/>
        <rFont val="Calibri"/>
        <family val="2"/>
      </rPr>
      <t>3+</t>
    </r>
    <r>
      <rPr>
        <sz val="10"/>
        <color theme="1"/>
        <rFont val="Calibri"/>
        <family val="2"/>
      </rPr>
      <t>(aq) + PO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3-</t>
    </r>
    <r>
      <rPr>
        <sz val="10"/>
        <color theme="1"/>
        <rFont val="Calibri"/>
        <family val="2"/>
      </rPr>
      <t>(aq)</t>
    </r>
  </si>
  <si>
    <r>
      <t>MnSO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(aq) 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O(l) + Cu(s)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(g) + Cu</t>
    </r>
    <r>
      <rPr>
        <vertAlign val="superscript"/>
        <sz val="10"/>
        <color theme="1"/>
        <rFont val="Calibri"/>
        <family val="2"/>
      </rPr>
      <t>2+</t>
    </r>
    <r>
      <rPr>
        <sz val="10"/>
        <color theme="1"/>
        <rFont val="Calibri"/>
        <family val="2"/>
      </rPr>
      <t>(aq) + 2OH</t>
    </r>
    <r>
      <rPr>
        <vertAlign val="superscript"/>
        <sz val="10"/>
        <color theme="1"/>
        <rFont val="Calibri"/>
        <family val="2"/>
      </rPr>
      <t>-</t>
    </r>
    <r>
      <rPr>
        <sz val="10"/>
        <color theme="1"/>
        <rFont val="Calibri"/>
        <family val="2"/>
      </rPr>
      <t>(aq) + Mn</t>
    </r>
    <r>
      <rPr>
        <vertAlign val="superscript"/>
        <sz val="10"/>
        <color theme="1"/>
        <rFont val="Calibri"/>
        <family val="2"/>
      </rPr>
      <t>2+</t>
    </r>
    <r>
      <rPr>
        <sz val="10"/>
        <color theme="1"/>
        <rFont val="Calibri"/>
        <family val="2"/>
      </rPr>
      <t>(aq) 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sz val="10"/>
        <color theme="1"/>
        <rFont val="Calibri"/>
        <family val="2"/>
      </rPr>
      <t>(aq)</t>
    </r>
  </si>
  <si>
    <r>
      <t>2 NaOH(aq)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+ 4OH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 + 2 Na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</t>
    </r>
  </si>
  <si>
    <r>
      <t>2 KOH(aq)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+ 4OH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 + 2 K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</si>
  <si>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+ 4OH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 + Ca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</si>
  <si>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+ 4OH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 + Sr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</si>
  <si>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+ 4OH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 + Ba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</si>
  <si>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+ 4OH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 + Mn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</t>
    </r>
  </si>
  <si>
    <r>
      <t>2Al(OH)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sz val="10.5"/>
        <color theme="1"/>
        <rFont val="Calibri"/>
        <family val="2"/>
        <scheme val="minor"/>
      </rPr>
      <t>(aq)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Cu(s)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Cu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 + 8OH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 + 2Al</t>
    </r>
    <r>
      <rPr>
        <vertAlign val="superscript"/>
        <sz val="10.5"/>
        <color theme="1"/>
        <rFont val="Calibri"/>
        <family val="2"/>
      </rPr>
      <t>3+</t>
    </r>
    <r>
      <rPr>
        <sz val="10.5"/>
        <color theme="1"/>
        <rFont val="Calibri"/>
        <family val="2"/>
      </rPr>
      <t>(aq)</t>
    </r>
  </si>
  <si>
    <r>
      <t xml:space="preserve">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Ni(s)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</si>
  <si>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Cu(s)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</si>
  <si>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Zn(s)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</si>
  <si>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+ 3 Cu(s)  → 2 Cr(s) 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</si>
  <si>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Sn(s)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</si>
  <si>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+ KI(aq)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K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I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</si>
  <si>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+ KCl(aq)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K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Cl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</si>
  <si>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+ NaBr(aq)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Na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Br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</si>
  <si>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+ NaCl(aq)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Na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Cl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</si>
  <si>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O(l) + 2Ag(s) + CaCl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(aq)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Ca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+ 2Cl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</si>
  <si>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O(l) + 2Ag(s) + 2AlCl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 xml:space="preserve">(aq)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+ 2 Al</t>
    </r>
    <r>
      <rPr>
        <vertAlign val="superscript"/>
        <sz val="9"/>
        <color theme="1"/>
        <rFont val="Calibri"/>
        <family val="2"/>
      </rPr>
      <t>3+</t>
    </r>
    <r>
      <rPr>
        <sz val="9"/>
        <color theme="1"/>
        <rFont val="Calibri"/>
        <family val="2"/>
      </rPr>
      <t>(aq) + 6Cl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</si>
  <si>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O(l) + 2Ag(s) + MnCl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(aq)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Mn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+ 2Cl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</si>
  <si>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 xml:space="preserve"> KNO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K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</si>
  <si>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+ 3Na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sz val="9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</si>
  <si>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Ca</t>
    </r>
    <r>
      <rPr>
        <vertAlign val="superscript"/>
        <sz val="9"/>
        <color theme="1"/>
        <rFont val="Calibri"/>
        <family val="2"/>
      </rPr>
      <t>2+</t>
    </r>
    <r>
      <rPr>
        <sz val="9"/>
        <color theme="1"/>
        <rFont val="Calibri"/>
        <family val="2"/>
      </rPr>
      <t>(aq) +2NO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</si>
  <si>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>CaSO</t>
    </r>
    <r>
      <rPr>
        <vertAlign val="subscript"/>
        <sz val="9"/>
        <color theme="1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Ca</t>
    </r>
    <r>
      <rPr>
        <vertAlign val="superscript"/>
        <sz val="9"/>
        <color theme="1"/>
        <rFont val="Calibri"/>
        <family val="2"/>
      </rPr>
      <t>2+</t>
    </r>
    <r>
      <rPr>
        <sz val="9"/>
        <color theme="1"/>
        <rFont val="Calibri"/>
        <family val="2"/>
      </rPr>
      <t>(aq)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sz val="9"/>
        <color theme="1"/>
        <rFont val="Calibri"/>
        <family val="2"/>
      </rPr>
      <t>(aq)</t>
    </r>
  </si>
  <si>
    <r>
      <t>AlPO</t>
    </r>
    <r>
      <rPr>
        <vertAlign val="subscript"/>
        <sz val="9"/>
        <color theme="1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Al</t>
    </r>
    <r>
      <rPr>
        <vertAlign val="superscript"/>
        <sz val="9"/>
        <color theme="1"/>
        <rFont val="Calibri"/>
        <family val="2"/>
      </rPr>
      <t>3+</t>
    </r>
    <r>
      <rPr>
        <sz val="9"/>
        <color theme="1"/>
        <rFont val="Calibri"/>
        <family val="2"/>
      </rPr>
      <t>(aq) 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sz val="9"/>
        <color theme="1"/>
        <rFont val="Calibri"/>
        <family val="2"/>
      </rPr>
      <t>(aq)</t>
    </r>
  </si>
  <si>
    <r>
      <t>MnSO</t>
    </r>
    <r>
      <rPr>
        <vertAlign val="subscript"/>
        <sz val="9"/>
        <color theme="1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Mn</t>
    </r>
    <r>
      <rPr>
        <vertAlign val="superscript"/>
        <sz val="9"/>
        <color theme="1"/>
        <rFont val="Calibri"/>
        <family val="2"/>
      </rPr>
      <t>2+</t>
    </r>
    <r>
      <rPr>
        <sz val="9"/>
        <color theme="1"/>
        <rFont val="Calibri"/>
        <family val="2"/>
      </rPr>
      <t>(aq)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sz val="9"/>
        <color theme="1"/>
        <rFont val="Calibri"/>
        <family val="2"/>
      </rPr>
      <t>(aq)</t>
    </r>
  </si>
  <si>
    <r>
      <t>2 NaOH(aq)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+ 2Ag(s)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+ 2Ag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 + 4OH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 + 2Na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</t>
    </r>
  </si>
  <si>
    <r>
      <t>2 KOH(aq)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+ 2Ag(s)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+ 2Ag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 + 4OH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 + 2 K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</t>
    </r>
  </si>
  <si>
    <r>
      <t>Ca(OH)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(aq)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+ 2Ag(s)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+ 2Ag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 + 4OH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 + Ca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</t>
    </r>
  </si>
  <si>
    <r>
      <t>Sr(OH)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(aq)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+ 2Ag(s)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+ 2Ag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 + 4OH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 + Sr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</t>
    </r>
  </si>
  <si>
    <r>
      <t>Ba(OH)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(aq)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+ 2Ag(s)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+ 2Ag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 + 4OH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 + Ba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</t>
    </r>
  </si>
  <si>
    <r>
      <t>2Al(OH)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sz val="10.5"/>
        <color theme="1"/>
        <rFont val="Calibri"/>
        <family val="2"/>
        <scheme val="minor"/>
      </rPr>
      <t>(aq)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+ 2Ag(s)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+ 2Ag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 + 8OH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 + 2Al</t>
    </r>
    <r>
      <rPr>
        <vertAlign val="superscript"/>
        <sz val="10.5"/>
        <color theme="1"/>
        <rFont val="Calibri"/>
        <family val="2"/>
      </rPr>
      <t>3+</t>
    </r>
    <r>
      <rPr>
        <sz val="10.5"/>
        <color theme="1"/>
        <rFont val="Calibri"/>
        <family val="2"/>
      </rPr>
      <t>(aq)</t>
    </r>
  </si>
  <si>
    <r>
      <t>Mn(OH)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(aq)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+ 2Ag(s)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+ 2Ag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 + 4OH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 + Mn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</t>
    </r>
  </si>
  <si>
    <r>
      <t xml:space="preserve">               AgCl(aq) + Ag(s)  → Ag(s) 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</si>
  <si>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Ni(s)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</si>
  <si>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Cul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</si>
  <si>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Cul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Cu(s)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</si>
  <si>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Zn(s)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</si>
  <si>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+ 3 Ag(s)  →  Cr(s) 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</si>
  <si>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Sn(s)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</si>
  <si>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+ 2Ag(s)  → Cu(s)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</si>
  <si>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+ Ag(s)  → Ag(s) 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</si>
  <si>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FePO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+ 3Ag(s)  → Fe(s) + 3Ag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>(aq)</t>
    </r>
  </si>
  <si>
    <r>
      <t xml:space="preserve"> 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+ 2Ag(s)  → Ni(s)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</si>
  <si>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 xml:space="preserve">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Cu(s)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</si>
  <si>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Co(s)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</si>
  <si>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Ni(s)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</si>
  <si>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Zn(s)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</si>
  <si>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Sn(s)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</si>
  <si>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Pb(s)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</si>
  <si>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Cd(s)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</si>
  <si>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 NaCl(l) → 2 Na(s)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</si>
  <si>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(l) →  Mg(s)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</si>
  <si>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(l) →  2Cr(s)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</si>
  <si>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(l) →  Zn(s)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</si>
  <si>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sz val="11"/>
        <color theme="1"/>
        <rFont val="Calibri"/>
        <family val="2"/>
        <scheme val="minor"/>
      </rPr>
      <t>(l) →  2 Mg(s)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</si>
  <si>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2 ZnO(l) →  2 Zn(s)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</si>
  <si>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(l) →  4 Al(s)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</si>
  <si>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2 CdO(l) →  2 Cd(s)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</si>
  <si>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t>ZnSO4</t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</si>
  <si>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</si>
  <si>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ZnSO4</t>
    </r>
    <r>
      <rPr>
        <b/>
        <sz val="11"/>
        <color rgb="FFFF0000"/>
        <rFont val="Calibri"/>
        <family val="2"/>
        <scheme val="minor"/>
      </rPr>
      <t>(aq)</t>
    </r>
  </si>
  <si>
    <r>
      <t>FePO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→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>(aq)</t>
    </r>
  </si>
  <si>
    <r>
      <t>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(aq) →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</si>
  <si>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</si>
  <si>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 xml:space="preserve">              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</si>
  <si>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 xml:space="preserve">               2HF(aq)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+ 2F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</si>
  <si>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+ 4H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sz val="11"/>
        <color theme="1"/>
        <rFont val="Calibri"/>
        <family val="2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</si>
  <si>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+ 2Na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sz val="11"/>
        <color theme="1"/>
        <rFont val="Calibri"/>
        <family val="2"/>
      </rPr>
      <t>(aq)</t>
    </r>
  </si>
  <si>
    <r>
      <t xml:space="preserve">               NaOH(aq)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Na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</si>
  <si>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Cu(s)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</si>
  <si>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</si>
  <si>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</si>
  <si>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maks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</si>
  <si>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</si>
  <si>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</si>
  <si>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</si>
  <si>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+ 2Br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</si>
  <si>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Cu(s)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</si>
  <si>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2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 Cu(s)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</si>
  <si>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</si>
  <si>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(aq)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</t>
    </r>
  </si>
  <si>
    <r>
      <t xml:space="preserve">               2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2Cu(s)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</si>
  <si>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2 HCl(aq)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Cl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</si>
  <si>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→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4e</t>
    </r>
  </si>
  <si>
    <r>
      <t>Cu(s) 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</si>
  <si>
    <r>
      <t>Ag(s) 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e</t>
    </r>
  </si>
  <si>
    <r>
      <t>2Br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Br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(g) + </t>
    </r>
    <r>
      <rPr>
        <b/>
        <sz val="11"/>
        <color rgb="FFFF0000"/>
        <rFont val="Calibri"/>
        <family val="2"/>
      </rPr>
      <t>2e</t>
    </r>
  </si>
  <si>
    <r>
      <t>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Cl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(g) + </t>
    </r>
    <r>
      <rPr>
        <b/>
        <sz val="11"/>
        <color rgb="FFFF0000"/>
        <rFont val="Calibri"/>
        <family val="2"/>
      </rPr>
      <t>2e</t>
    </r>
  </si>
  <si>
    <r>
      <t xml:space="preserve">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(g) + </t>
    </r>
    <r>
      <rPr>
        <b/>
        <sz val="11"/>
        <color rgb="FFFF0000"/>
        <rFont val="Calibri"/>
        <family val="2"/>
        <scheme val="minor"/>
      </rPr>
      <t>4 e</t>
    </r>
  </si>
  <si>
    <r>
      <t>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(g) + </t>
    </r>
    <r>
      <rPr>
        <b/>
        <sz val="11"/>
        <color rgb="FFFF0000"/>
        <rFont val="Calibri"/>
        <family val="2"/>
        <scheme val="minor"/>
      </rPr>
      <t>2e</t>
    </r>
  </si>
  <si>
    <r>
      <t>2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</si>
  <si>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Cu(s)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</si>
  <si>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(l) 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→ Na(s)</t>
    </r>
  </si>
  <si>
    <r>
      <t xml:space="preserve">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(l)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Mg(s)</t>
    </r>
  </si>
  <si>
    <r>
      <t xml:space="preserve">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(l) 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Cr(s)</t>
    </r>
  </si>
  <si>
    <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(l)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Zn(s)</t>
    </r>
  </si>
  <si>
    <r>
      <t>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Zn(s)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</si>
  <si>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(l) +</t>
    </r>
    <r>
      <rPr>
        <b/>
        <sz val="11"/>
        <color rgb="FFFF0000"/>
        <rFont val="Calibri"/>
        <family val="2"/>
        <scheme val="minor"/>
      </rPr>
      <t xml:space="preserve"> e</t>
    </r>
    <r>
      <rPr>
        <sz val="11"/>
        <color theme="1"/>
        <rFont val="Calibri"/>
        <family val="2"/>
        <scheme val="minor"/>
      </rPr>
      <t xml:space="preserve"> → Ag(s)</t>
    </r>
  </si>
  <si>
    <r>
      <t xml:space="preserve">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(l)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Cd(s)</t>
    </r>
  </si>
  <si>
    <r>
      <t>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(l) 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Al(s)</t>
    </r>
  </si>
  <si>
    <r>
      <t>2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</si>
  <si>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(l) 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→ Ag(s)</t>
    </r>
  </si>
  <si>
    <r>
      <t xml:space="preserve">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(l) 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Al(s)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</si>
  <si>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 → Ag(s)</t>
    </r>
  </si>
  <si>
    <r>
      <t>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Ni(s)</t>
    </r>
  </si>
  <si>
    <r>
      <t>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Sn(s)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</si>
  <si>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 → Fe(s)</t>
    </r>
  </si>
  <si>
    <r>
      <t>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Co(s)</t>
    </r>
  </si>
  <si>
    <r>
      <t>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Pb(s)</t>
    </r>
  </si>
  <si>
    <r>
      <t>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(aq)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Cd(s)</t>
    </r>
  </si>
  <si>
    <r>
      <t xml:space="preserve">               2 HCl(aq)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Cl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</si>
  <si>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 xml:space="preserve">              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Cl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</si>
  <si>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 xml:space="preserve">              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Br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</si>
  <si>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 xml:space="preserve">             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(l)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2 Na(s)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</si>
  <si>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 Mg(s)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</si>
  <si>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+ 4OH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 Cd(s)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</si>
  <si>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 2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+ 4OH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 Sn(s)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</si>
  <si>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 2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+ 4OH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 Pb(s)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</si>
  <si>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2 Zn(s)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</si>
  <si>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 4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(l) 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4 Al(s)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</si>
  <si>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2 Cd(s)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</si>
  <si>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(l)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 4 Ag(s)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</si>
  <si>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2Cu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+ 4OH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2Cu(s)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</si>
  <si>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(l)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 2Cr(s)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</si>
  <si>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 Zn(s)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</si>
  <si>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2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 2 Mg(s)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</si>
  <si>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(l)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 4 Ag(s)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</si>
  <si>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 2 Cd(s)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</si>
  <si>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4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(l) 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 4 Al(s)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</si>
  <si>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 2 Zn(s)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</si>
  <si>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</si>
  <si>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</si>
  <si>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Cu(s)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</si>
  <si>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(l)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2 Na(s)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</si>
  <si>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Mg(s)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</si>
  <si>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2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(l)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2 Cr(s)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</si>
  <si>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(l) → Zn(s)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</si>
  <si>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2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(l)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(l) → 2 Mg(s)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</si>
  <si>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2Ag(s)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</si>
  <si>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Ni(s) + 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</si>
  <si>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Zn(s)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</si>
  <si>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2Cr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+ 6Cl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2Cr(s)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</si>
  <si>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Sn(s)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</si>
  <si>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4 Ag(s)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</si>
  <si>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4Fe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4Fe(s) + 3O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+ 12H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</si>
  <si>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2Co(s)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</si>
  <si>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2Ni(s)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</si>
  <si>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 Zn(s)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</si>
  <si>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2Sn(s)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</si>
  <si>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+ 4OH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2Co(s)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</si>
  <si>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2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+ 4OH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 Ni(s)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</si>
  <si>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+ 4OH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2 Zn(s)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</si>
  <si>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Cu(s)  → 2Ag(s)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</si>
  <si>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Ni(s)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</si>
  <si>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Cu(s)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</si>
  <si>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Zn(s)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</si>
  <si>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+ 3Cu(s)  → 2Cr(s) + 3Cu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</si>
  <si>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Sn(s)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</si>
  <si>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+ 3Cu(s)  → 2Fe(s) + 3Cu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</si>
  <si>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Co(s)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</si>
  <si>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Cd(s)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</si>
  <si>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Ni(s)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</si>
  <si>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Zn(s)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</si>
  <si>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Sn(s)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</si>
  <si>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Cu(s)  → Pb(s)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</si>
  <si>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Cu(s)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</si>
  <si>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+ 2Ag(s)  → 2Ag(s)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</si>
  <si>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Ni(s)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</si>
  <si>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Zn(s)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</si>
  <si>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+ 3Ag(s)  → Cr(s) + 3Ag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</si>
  <si>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Sn(s)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</si>
  <si>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Ag(s)  → Ag(s) 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</si>
  <si>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 + 3Ag(s)  → Fe(s) + 3Ag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</si>
  <si>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Co(s)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</si>
  <si>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Ni(s)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</si>
  <si>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Sn(s)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</si>
  <si>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Cu(s)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</si>
  <si>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Co(s)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</si>
  <si>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Zn(s)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</si>
  <si>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Pb(s)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</si>
  <si>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Cd(s)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</si>
  <si>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</si>
  <si>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 xml:space="preserve">              2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2Co(s)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</si>
  <si>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2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2 Ni(s)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</si>
  <si>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2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2 Zn(s)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</si>
  <si>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2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2 Sn(s)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</si>
  <si>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2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2 Pb(s)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</si>
  <si>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2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2 Cd(s)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</si>
  <si>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r>
      <t xml:space="preserve">               2 HBr(aq)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Br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</si>
  <si>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 xml:space="preserve"> 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</si>
  <si>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+ 6H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</si>
  <si>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+ 2KCl(aq)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+ 2K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</si>
  <si>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  HF(aq)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+ 2F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</si>
  <si>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 Cu(s)  → Cu(s)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</si>
  <si>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Cu(s)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</si>
  <si>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+ 2NaBr(aq)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+ 2Na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</si>
  <si>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+ 2NaCl(aq)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+ 2Na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</si>
  <si>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+ 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</si>
  <si>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+ 2AlCl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+  2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</si>
  <si>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MnCl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+ 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</si>
  <si>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 2Sn(NO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2Sn(s)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+ 4NO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</si>
  <si>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2AgCl(aq)  → 2Ag(s)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</si>
  <si>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Ni(s) + 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</si>
  <si>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Cu(s) + 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</si>
  <si>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Zn(s)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</si>
  <si>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2CrCl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 → 2Cr(s)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</si>
  <si>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 → Sn(s) + 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</si>
  <si>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 xml:space="preserve">               4 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4 Ag(s)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</si>
  <si>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2Co(NO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2Co(s)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+ 4NO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</si>
  <si>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2NiSO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2Ni(s)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</si>
  <si>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 xml:space="preserve">              2 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 Zn(s)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</si>
  <si>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</si>
  <si>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Sr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</si>
  <si>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Ba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</si>
  <si>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Al</t>
    </r>
    <r>
      <rPr>
        <vertAlign val="superscript"/>
        <sz val="11"/>
        <color theme="1"/>
        <rFont val="Calibri"/>
        <family val="2"/>
      </rPr>
      <t>3+</t>
    </r>
    <r>
      <rPr>
        <sz val="11"/>
        <color theme="1"/>
        <rFont val="Calibri"/>
        <family val="2"/>
      </rPr>
      <t>(aq) + 3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</si>
  <si>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Mn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</si>
  <si>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K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</si>
  <si>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+ 3Na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sz val="11"/>
        <color theme="1"/>
        <rFont val="Calibri"/>
        <family val="2"/>
      </rPr>
      <t>(aq)</t>
    </r>
  </si>
  <si>
    <r>
      <t xml:space="preserve">               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</si>
  <si>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sz val="11"/>
        <color theme="1"/>
        <rFont val="Calibri"/>
        <family val="2"/>
      </rPr>
      <t>(aq)</t>
    </r>
  </si>
  <si>
    <r>
      <t xml:space="preserve">               AlPO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Al</t>
    </r>
    <r>
      <rPr>
        <vertAlign val="superscript"/>
        <sz val="11"/>
        <color theme="1"/>
        <rFont val="Calibri"/>
        <family val="2"/>
      </rPr>
      <t>3+</t>
    </r>
    <r>
      <rPr>
        <sz val="11"/>
        <color theme="1"/>
        <rFont val="Calibri"/>
        <family val="2"/>
      </rPr>
      <t>(aq)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sz val="11"/>
        <color theme="1"/>
        <rFont val="Calibri"/>
        <family val="2"/>
      </rPr>
      <t>(aq)</t>
    </r>
  </si>
  <si>
    <r>
      <t xml:space="preserve">               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Mn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sz val="11"/>
        <color theme="1"/>
        <rFont val="Calibri"/>
        <family val="2"/>
      </rPr>
      <t>(aq)</t>
    </r>
  </si>
  <si>
    <r>
      <t xml:space="preserve">               KOH(aq)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K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</si>
  <si>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2 HI(aq)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I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</si>
  <si>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</si>
  <si>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(aq) + 3 Cu(s)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+ 3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sz val="11"/>
        <color theme="1"/>
        <rFont val="Calibri"/>
        <family val="2"/>
      </rPr>
      <t>(aq)</t>
    </r>
  </si>
  <si>
    <r>
      <t xml:space="preserve">              2 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 + Cu(s)  → 2Ag(s)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</si>
  <si>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2 FePO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+ 3Cu(s)  → 2Fe(s) + 3Cu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>(aq)</t>
    </r>
  </si>
  <si>
    <r>
      <t xml:space="preserve">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Co(s)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</si>
  <si>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Cu(s)  → Ni(s)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</si>
  <si>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r>
      <t xml:space="preserve">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Sn(s)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</si>
  <si>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Co(s)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</si>
  <si>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Ni(s)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</si>
  <si>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Zn(s)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</si>
  <si>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Sn(s)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</si>
  <si>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Pb(s)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</si>
  <si>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Cu(s)  → Cd(s)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</si>
  <si>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2 HCl(aq)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+ 2Cl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</si>
  <si>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2 HBr(aq)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 Br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</si>
  <si>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(aq)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</si>
  <si>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(aq)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</si>
  <si>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(aq) + 6Ag(s)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+ 6Ag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sz val="11"/>
        <color theme="1"/>
        <rFont val="Calibri"/>
        <family val="2"/>
      </rPr>
      <t>(aq)</t>
    </r>
  </si>
  <si>
    <r>
      <t xml:space="preserve">             2 HF(aq)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 F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</si>
  <si>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Cu(s)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</si>
  <si>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sz val="11"/>
        <color theme="1"/>
        <rFont val="Calibri"/>
        <family val="2"/>
      </rPr>
      <t>(aq)</t>
    </r>
  </si>
  <si>
    <r>
      <t xml:space="preserve">HF (aq)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F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</si>
  <si>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(aq)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3H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>(aq)</t>
    </r>
  </si>
  <si>
    <r>
      <t>NaBr(aq) 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Cu(s)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Cu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(aq)+ 2OH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(aq)+ Na</t>
    </r>
    <r>
      <rPr>
        <vertAlign val="superscript"/>
        <sz val="10.5"/>
        <color theme="1"/>
        <rFont val="Calibri"/>
        <family val="2"/>
      </rPr>
      <t>+</t>
    </r>
    <r>
      <rPr>
        <sz val="10.5"/>
        <color theme="1"/>
        <rFont val="Calibri"/>
        <family val="2"/>
      </rPr>
      <t>(aq)+ Br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</t>
    </r>
  </si>
  <si>
    <r>
      <t>KI(aq)+2H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(aq)+ 2OH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(aq)+ K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(aq)+ I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</si>
  <si>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t>https://tanya-tanya.com/contoh-soal-pembahasan-elektrolisis-hukum-faraday-bagian-ii/</t>
  </si>
  <si>
    <t>Mr</t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</si>
  <si>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HF(aq)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</si>
  <si>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</si>
  <si>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O(l)</t>
    </r>
  </si>
  <si>
    <r>
      <rPr>
        <b/>
        <sz val="11"/>
        <color rgb="FF0070C0"/>
        <rFont val="Calibri"/>
        <family val="2"/>
      </rPr>
      <t>KI</t>
    </r>
    <r>
      <rPr>
        <b/>
        <sz val="11"/>
        <color rgb="FF0070C0"/>
        <rFont val="Calibri"/>
        <family val="2"/>
        <scheme val="minor"/>
      </rPr>
      <t>(aq)</t>
    </r>
  </si>
  <si>
    <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</si>
  <si>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</si>
  <si>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</si>
  <si>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</si>
  <si>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t>MgCl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</si>
  <si>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CrCl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</si>
  <si>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</si>
  <si>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MgO(l)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</si>
  <si>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Ag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</si>
  <si>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CdO(l)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</si>
  <si>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</si>
  <si>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ZnO(l)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</si>
  <si>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HBr(aq)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</si>
  <si>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HNO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</si>
  <si>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</si>
  <si>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HI(aq)</t>
    </r>
  </si>
  <si>
    <r>
      <rPr>
        <b/>
        <sz val="11"/>
        <color rgb="FF0070C0"/>
        <rFont val="Calibri"/>
        <family val="2"/>
      </rPr>
      <t xml:space="preserve">   KCl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</si>
  <si>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NaBr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</si>
  <si>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NaCl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</si>
  <si>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CaCl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</si>
  <si>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AlCl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</si>
  <si>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MnCl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</si>
  <si>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</si>
  <si>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</si>
  <si>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</si>
  <si>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</si>
  <si>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</si>
  <si>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</si>
  <si>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KOH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</si>
  <si>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</si>
  <si>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Sr(OH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</si>
  <si>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Ba(OH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</si>
  <si>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</si>
  <si>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</si>
  <si>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AgCl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</si>
  <si>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NiBr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</si>
  <si>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CuI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</si>
  <si>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ZnCl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</si>
  <si>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CrCl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</si>
  <si>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SnCl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</si>
  <si>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</si>
  <si>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</si>
  <si>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</si>
  <si>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</si>
  <si>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</si>
  <si>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</si>
  <si>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Co(OH)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</si>
  <si>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Ni(OH)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</si>
  <si>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</si>
  <si>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</si>
  <si>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Pb(OH)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</si>
  <si>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Cd(OH)</t>
    </r>
    <r>
      <rPr>
        <b/>
        <vertAlign val="subscript"/>
        <sz val="11"/>
        <color rgb="FF0070C0"/>
        <rFont val="Calibri"/>
        <family val="2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</si>
  <si>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</t>
    </r>
    <r>
      <rPr>
        <b/>
        <sz val="11"/>
        <color rgb="FF0070C0"/>
        <rFont val="Calibri"/>
        <family val="2"/>
        <scheme val="minor"/>
      </rPr>
      <t>NO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</si>
  <si>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HCl(aq)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</si>
  <si>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</si>
  <si>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KI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</si>
  <si>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</si>
  <si>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NaOH(aq)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</si>
  <si>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</si>
  <si>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</si>
  <si>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</t>
    </r>
    <r>
      <rPr>
        <b/>
        <sz val="11"/>
        <color rgb="FF0070C0"/>
        <rFont val="Calibri"/>
        <family val="2"/>
        <scheme val="minor"/>
      </rPr>
      <t>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</si>
  <si>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O(l)</t>
    </r>
  </si>
  <si>
    <t>REAKSI</t>
  </si>
  <si>
    <t>DATA</t>
  </si>
  <si>
    <t>MASSA</t>
  </si>
  <si>
    <r>
      <t xml:space="preserve"> </t>
    </r>
    <r>
      <rPr>
        <sz val="11"/>
        <color rgb="FF0070C0"/>
        <rFont val="Symbol"/>
        <family val="1"/>
        <charset val="2"/>
      </rPr>
      <t xml:space="preserve"> </t>
    </r>
  </si>
  <si>
    <t>IONISASI</t>
  </si>
  <si>
    <t>KATODA2</t>
  </si>
  <si>
    <t>ANODA2</t>
  </si>
  <si>
    <t>HASIL</t>
  </si>
  <si>
    <t>anoion2</t>
  </si>
  <si>
    <t>KATION2</t>
  </si>
  <si>
    <t>KATION3</t>
  </si>
  <si>
    <t>→</t>
  </si>
  <si>
    <r>
      <t>2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(s) + </t>
    </r>
    <r>
      <rPr>
        <b/>
        <sz val="11"/>
        <color rgb="FFFF0000"/>
        <rFont val="Calibri"/>
        <family val="2"/>
        <scheme val="minor"/>
      </rPr>
      <t>2e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</si>
  <si>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+ 2I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</si>
  <si>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</si>
  <si>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+ 2KI(aq)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(s)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+ 2K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</si>
  <si>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HF(aq)</t>
    </r>
  </si>
  <si>
    <r>
      <t xml:space="preserve">               2 HF(aq)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F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</si>
  <si>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rPr>
        <b/>
        <sz val="11"/>
        <color rgb="FF0070C0"/>
        <rFont val="Calibri"/>
        <family val="2"/>
      </rPr>
      <t xml:space="preserve">  </t>
    </r>
    <r>
      <rPr>
        <b/>
        <sz val="11"/>
        <color rgb="FF0070C0"/>
        <rFont val="Calibri"/>
        <family val="2"/>
        <scheme val="minor"/>
      </rPr>
      <t>HCl(aq)</t>
    </r>
  </si>
  <si>
    <r>
      <t xml:space="preserve">              2 HBr(aq) + Cu(s)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+ 2 Br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</si>
  <si>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2 HF(aq)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+ 2F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</si>
  <si>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 2 HI(aq) + 2Ag(s)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+ 2 I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</si>
  <si>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t>ionisasi</t>
  </si>
  <si>
    <t>(1x)</t>
  </si>
  <si>
    <t>(2x)</t>
  </si>
  <si>
    <t>TEMPAT</t>
  </si>
  <si>
    <t>AWAL</t>
  </si>
  <si>
    <t>KOREKSI</t>
  </si>
  <si>
    <t>Latihan</t>
  </si>
  <si>
    <t>anoda</t>
  </si>
  <si>
    <t>E SO4</t>
  </si>
  <si>
    <t>E NO3</t>
  </si>
  <si>
    <t>E PO4</t>
  </si>
  <si>
    <r>
      <rPr>
        <b/>
        <sz val="11"/>
        <color rgb="FF0070C0"/>
        <rFont val="Calibri"/>
        <family val="2"/>
      </rPr>
      <t xml:space="preserve">   Zn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sz val="11"/>
        <color rgb="FF0070C0"/>
        <rFont val="Calibri"/>
        <family val="2"/>
        <scheme val="minor"/>
      </rPr>
      <t>(aq)</t>
    </r>
  </si>
  <si>
    <r>
      <t xml:space="preserve"> 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+ 2Ag(s)  → Zn(s) + 2Ag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</si>
  <si>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+ 2Ag(s)  → Zn(s)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</si>
  <si>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t>Anoda 4</t>
  </si>
  <si>
    <t>-</t>
  </si>
  <si>
    <t>gas</t>
  </si>
  <si>
    <t>gambar</t>
  </si>
  <si>
    <t>⇌</t>
  </si>
  <si>
    <t>(4x)</t>
  </si>
  <si>
    <t>Reaksi</t>
  </si>
  <si>
    <r>
      <t xml:space="preserve">              2 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→  4 Ag(s)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</si>
  <si>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t>Katoda</t>
  </si>
  <si>
    <r>
      <t>2I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I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(s) + </t>
    </r>
    <r>
      <rPr>
        <b/>
        <sz val="11"/>
        <color rgb="FFFF0000"/>
        <rFont val="Calibri"/>
        <family val="2"/>
      </rPr>
      <t>2e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</si>
  <si>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  → Cu(s) + 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(s)</t>
    </r>
  </si>
  <si>
    <t>koef</t>
  </si>
  <si>
    <t>2 SO4</t>
  </si>
  <si>
    <r>
      <t xml:space="preserve">               2 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2Cu(s)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</si>
  <si>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t>4 PO4</t>
  </si>
  <si>
    <r>
      <t xml:space="preserve">               4FePO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  → 4Fe(s) + 3O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 + 12H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+ 4PO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>(aq)</t>
    </r>
  </si>
  <si>
    <t>Anoda</t>
  </si>
  <si>
    <t>(3x)</t>
  </si>
  <si>
    <t>(x3)</t>
  </si>
  <si>
    <t>(x6)</t>
  </si>
  <si>
    <r>
      <t>AlCl</t>
    </r>
    <r>
      <rPr>
        <vertAlign val="subscript"/>
        <sz val="10.5"/>
        <color theme="1"/>
        <rFont val="Calibri"/>
        <family val="2"/>
        <scheme val="minor"/>
      </rPr>
      <t>3</t>
    </r>
    <r>
      <rPr>
        <sz val="10.5"/>
        <color theme="1"/>
        <rFont val="Calibri"/>
        <family val="2"/>
        <scheme val="minor"/>
      </rPr>
      <t>(aq)+ 2H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O(l) + Cu(s)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sz val="10.5"/>
        <color theme="1"/>
        <rFont val="Calibri"/>
        <family val="2"/>
      </rPr>
      <t>(g) + Cu</t>
    </r>
    <r>
      <rPr>
        <vertAlign val="superscript"/>
        <sz val="10.5"/>
        <color theme="1"/>
        <rFont val="Calibri"/>
        <family val="2"/>
      </rPr>
      <t>2+</t>
    </r>
    <r>
      <rPr>
        <sz val="10.5"/>
        <color theme="1"/>
        <rFont val="Calibri"/>
        <family val="2"/>
      </rPr>
      <t>(aq)+ 2OH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(aq)+ Al</t>
    </r>
    <r>
      <rPr>
        <vertAlign val="superscript"/>
        <sz val="10.5"/>
        <color theme="1"/>
        <rFont val="Calibri"/>
        <family val="2"/>
      </rPr>
      <t>3+</t>
    </r>
    <r>
      <rPr>
        <sz val="10.5"/>
        <color theme="1"/>
        <rFont val="Calibri"/>
        <family val="2"/>
      </rPr>
      <t>(aq)+ 3Cl</t>
    </r>
    <r>
      <rPr>
        <vertAlign val="superscript"/>
        <sz val="10.5"/>
        <color theme="1"/>
        <rFont val="Calibri"/>
        <family val="2"/>
      </rPr>
      <t>-</t>
    </r>
    <r>
      <rPr>
        <sz val="10.5"/>
        <color theme="1"/>
        <rFont val="Calibri"/>
        <family val="2"/>
      </rPr>
      <t>(aq)</t>
    </r>
  </si>
  <si>
    <t>2AlCl3</t>
  </si>
  <si>
    <t>4Ag2O</t>
  </si>
  <si>
    <t>2Ag2O</t>
  </si>
  <si>
    <r>
      <t xml:space="preserve"> 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Cu(s)  → Cu(s)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</si>
  <si>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t>Garam</t>
  </si>
  <si>
    <r>
      <rPr>
        <b/>
        <sz val="11"/>
        <color rgb="FF0070C0"/>
        <rFont val="Calibri"/>
        <family val="2"/>
      </rPr>
      <t xml:space="preserve">   ZnSO4</t>
    </r>
    <r>
      <rPr>
        <b/>
        <sz val="11"/>
        <color rgb="FF0070C0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</si>
  <si>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(aq) + Cu(s)  → Zn(s)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(aq)</t>
    </r>
  </si>
  <si>
    <t>reaksi</t>
  </si>
  <si>
    <r>
      <t xml:space="preserve">              2 AgCl(aq) +  Cu(s)  → 2Ag(s)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</si>
  <si>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r>
      <t xml:space="preserve">  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Sn(s)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</si>
  <si>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t>2Ag</t>
  </si>
  <si>
    <r>
      <t xml:space="preserve">  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 + 2Ag(s)  → Co(s)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(aq)</t>
    </r>
  </si>
  <si>
    <t>katoda</t>
  </si>
  <si>
    <t>oks</t>
  </si>
  <si>
    <t>red</t>
  </si>
  <si>
    <t>4x</t>
  </si>
  <si>
    <t>2x</t>
  </si>
  <si>
    <r>
      <t xml:space="preserve">                2 Ag(s)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 Ag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(aq) +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</si>
  <si>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 xml:space="preserve">             Cu(s)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Cu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(aq) + 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+ 2 OH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</si>
  <si>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(aq) + 2H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Cu(s)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Cu</t>
    </r>
    <r>
      <rPr>
        <vertAlign val="superscript"/>
        <sz val="9"/>
        <color theme="1"/>
        <rFont val="Calibri"/>
        <family val="2"/>
      </rPr>
      <t>2+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Ca</t>
    </r>
    <r>
      <rPr>
        <vertAlign val="superscript"/>
        <sz val="9"/>
        <color theme="1"/>
        <rFont val="Calibri"/>
        <family val="2"/>
      </rPr>
      <t>2+</t>
    </r>
    <r>
      <rPr>
        <sz val="9"/>
        <color theme="1"/>
        <rFont val="Calibri"/>
        <family val="2"/>
      </rPr>
      <t>(aq) + 2NO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</si>
  <si>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SO4(aq)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O(l) + 2Ag(s)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+ 2Ag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+ 2OH</t>
    </r>
    <r>
      <rPr>
        <vertAlign val="superscript"/>
        <sz val="9"/>
        <color theme="1"/>
        <rFont val="Calibri"/>
        <family val="2"/>
      </rPr>
      <t>-</t>
    </r>
    <r>
      <rPr>
        <sz val="9"/>
        <color theme="1"/>
        <rFont val="Calibri"/>
        <family val="2"/>
      </rPr>
      <t>(aq) + 2Na</t>
    </r>
    <r>
      <rPr>
        <vertAlign val="superscript"/>
        <sz val="9"/>
        <color theme="1"/>
        <rFont val="Calibri"/>
        <family val="2"/>
      </rPr>
      <t>+</t>
    </r>
    <r>
      <rPr>
        <sz val="9"/>
        <color theme="1"/>
        <rFont val="Calibri"/>
        <family val="2"/>
      </rPr>
      <t>(aq)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sz val="9"/>
        <color theme="1"/>
        <rFont val="Calibri"/>
        <family val="2"/>
      </rPr>
      <t>(aq)</t>
    </r>
  </si>
  <si>
    <t>pH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</si>
  <si>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O(l)</t>
    </r>
  </si>
  <si>
    <t>persaingan red ion</t>
  </si>
  <si>
    <t>ketr.</t>
  </si>
  <si>
    <t>ASAM</t>
  </si>
  <si>
    <t>NETRAL</t>
  </si>
  <si>
    <t>V</t>
  </si>
  <si>
    <t>KODE</t>
  </si>
  <si>
    <t>KONS</t>
  </si>
  <si>
    <t>pH2</t>
  </si>
  <si>
    <t>pH1</t>
  </si>
  <si>
    <t>n</t>
  </si>
  <si>
    <t>M2</t>
  </si>
  <si>
    <t>M1</t>
  </si>
  <si>
    <t>ANOION2</t>
  </si>
  <si>
    <t>HASIL5</t>
  </si>
  <si>
    <t>RUMUS</t>
  </si>
  <si>
    <r>
      <t xml:space="preserve">              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 + 2I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I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(s)</t>
    </r>
  </si>
  <si>
    <r>
      <t xml:space="preserve">               2 HI(aq)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I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(s)</t>
    </r>
  </si>
  <si>
    <t>JAWABAN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</si>
</sst>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E+00"/>
    <numFmt numFmtId="167" formatCode="0.0000"/>
    <numFmt numFmtId="168" formatCode="#,##0.000"/>
    <numFmt numFmtId="169" formatCode="0.000000000000"/>
    <numFmt numFmtId="170" formatCode="0.0000E+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rgb="FF0070C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vertAlign val="sub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sz val="10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vertAlign val="subscript"/>
      <sz val="10.5"/>
      <color theme="1"/>
      <name val="Calibri"/>
      <family val="2"/>
    </font>
    <font>
      <vertAlign val="superscript"/>
      <sz val="10.5"/>
      <color theme="1"/>
      <name val="Calibri"/>
      <family val="2"/>
    </font>
    <font>
      <sz val="10"/>
      <color theme="4" tint="0.79998168889431442"/>
      <name val="Calibri Light"/>
      <family val="2"/>
      <scheme val="major"/>
    </font>
    <font>
      <sz val="11"/>
      <color theme="4" tint="0.79998168889431442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sz val="11"/>
      <color theme="1"/>
      <name val="Lucida Sans Unicode"/>
      <family val="2"/>
    </font>
    <font>
      <sz val="9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1"/>
      <color rgb="FF0070C0"/>
      <name val="Calibri"/>
      <family val="2"/>
    </font>
    <font>
      <b/>
      <vertAlign val="subscript"/>
      <sz val="11"/>
      <color rgb="FF0070C0"/>
      <name val="Calibri"/>
      <family val="2"/>
      <scheme val="minor"/>
    </font>
    <font>
      <b/>
      <vertAlign val="subscript"/>
      <sz val="11"/>
      <color rgb="FF0070C0"/>
      <name val="Calibri"/>
      <family val="2"/>
    </font>
    <font>
      <sz val="11"/>
      <color rgb="FF0070C0"/>
      <name val="Symbol"/>
      <family val="1"/>
      <charset val="2"/>
    </font>
    <font>
      <sz val="11"/>
      <color theme="0" tint="-0.14999847407452621"/>
      <name val="Calibri"/>
      <family val="2"/>
      <scheme val="minor"/>
    </font>
    <font>
      <sz val="9"/>
      <color theme="0"/>
      <name val="Calibri Light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6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7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horizontal="center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0" xfId="0" applyFill="1" applyProtection="1">
      <protection hidden="1"/>
    </xf>
    <xf numFmtId="0" fontId="0" fillId="4" borderId="0" xfId="0" applyFill="1" applyProtection="1">
      <protection locked="0"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5" borderId="15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/>
      <protection locked="0" hidden="1"/>
    </xf>
    <xf numFmtId="0" fontId="0" fillId="3" borderId="9" xfId="0" applyFill="1" applyBorder="1" applyAlignment="1" applyProtection="1">
      <alignment horizontal="center"/>
      <protection hidden="1"/>
    </xf>
    <xf numFmtId="0" fontId="0" fillId="2" borderId="5" xfId="0" applyFill="1" applyBorder="1" applyProtection="1">
      <protection hidden="1"/>
    </xf>
    <xf numFmtId="0" fontId="0" fillId="4" borderId="0" xfId="0" applyFill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locked="0" hidden="1"/>
    </xf>
    <xf numFmtId="0" fontId="0" fillId="2" borderId="4" xfId="0" applyFill="1" applyBorder="1" applyAlignment="1" applyProtection="1">
      <alignment horizontal="center" vertical="center"/>
      <protection hidden="1"/>
    </xf>
    <xf numFmtId="0" fontId="13" fillId="2" borderId="0" xfId="0" applyFont="1" applyFill="1" applyProtection="1">
      <protection hidden="1"/>
    </xf>
    <xf numFmtId="0" fontId="13" fillId="2" borderId="5" xfId="0" applyFont="1" applyFill="1" applyBorder="1" applyProtection="1">
      <protection hidden="1"/>
    </xf>
    <xf numFmtId="0" fontId="0" fillId="5" borderId="15" xfId="0" applyFill="1" applyBorder="1" applyAlignment="1" applyProtection="1">
      <alignment horizontal="center" vertical="center"/>
      <protection locked="0" hidden="1"/>
    </xf>
    <xf numFmtId="0" fontId="0" fillId="2" borderId="4" xfId="0" applyFill="1" applyBorder="1" applyAlignment="1" applyProtection="1">
      <alignment horizontal="center" vertical="center"/>
      <protection locked="0" hidden="1"/>
    </xf>
    <xf numFmtId="0" fontId="16" fillId="2" borderId="0" xfId="0" applyFont="1" applyFill="1" applyProtection="1">
      <protection hidden="1"/>
    </xf>
    <xf numFmtId="0" fontId="15" fillId="4" borderId="0" xfId="0" applyFont="1" applyFill="1" applyProtection="1">
      <protection hidden="1"/>
    </xf>
    <xf numFmtId="0" fontId="15" fillId="5" borderId="15" xfId="0" applyFont="1" applyFill="1" applyBorder="1" applyProtection="1">
      <protection hidden="1"/>
    </xf>
    <xf numFmtId="0" fontId="16" fillId="2" borderId="0" xfId="0" applyFont="1" applyFill="1" applyAlignment="1" applyProtection="1">
      <alignment horizontal="right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17" fillId="2" borderId="0" xfId="0" applyFont="1" applyFill="1" applyAlignment="1" applyProtection="1">
      <alignment horizontal="right"/>
      <protection hidden="1"/>
    </xf>
    <xf numFmtId="165" fontId="16" fillId="2" borderId="0" xfId="0" applyNumberFormat="1" applyFont="1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 vertical="top"/>
      <protection hidden="1"/>
    </xf>
    <xf numFmtId="0" fontId="0" fillId="5" borderId="16" xfId="0" applyFill="1" applyBorder="1" applyProtection="1">
      <protection hidden="1"/>
    </xf>
    <xf numFmtId="0" fontId="16" fillId="2" borderId="7" xfId="0" applyFont="1" applyFill="1" applyBorder="1" applyProtection="1">
      <protection hidden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8" fillId="6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 vertical="center"/>
    </xf>
    <xf numFmtId="0" fontId="16" fillId="4" borderId="0" xfId="0" applyFont="1" applyFill="1" applyProtection="1">
      <protection hidden="1"/>
    </xf>
    <xf numFmtId="0" fontId="22" fillId="2" borderId="0" xfId="0" applyFont="1" applyFill="1" applyProtection="1">
      <protection locked="0" hidden="1"/>
    </xf>
    <xf numFmtId="0" fontId="22" fillId="2" borderId="0" xfId="0" applyFont="1" applyFill="1" applyProtection="1">
      <protection hidden="1"/>
    </xf>
    <xf numFmtId="0" fontId="22" fillId="2" borderId="7" xfId="0" applyFont="1" applyFill="1" applyBorder="1" applyProtection="1">
      <protection locked="0" hidden="1"/>
    </xf>
    <xf numFmtId="0" fontId="13" fillId="2" borderId="0" xfId="0" applyFont="1" applyFill="1" applyAlignment="1" applyProtection="1">
      <alignment horizontal="right"/>
      <protection hidden="1"/>
    </xf>
    <xf numFmtId="0" fontId="17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20" fillId="2" borderId="0" xfId="0" applyFont="1" applyFill="1"/>
    <xf numFmtId="0" fontId="0" fillId="2" borderId="3" xfId="0" applyFill="1" applyBorder="1"/>
    <xf numFmtId="0" fontId="5" fillId="2" borderId="4" xfId="0" applyFont="1" applyFill="1" applyBorder="1" applyAlignment="1">
      <alignment horizontal="center"/>
    </xf>
    <xf numFmtId="0" fontId="0" fillId="2" borderId="5" xfId="0" applyFill="1" applyBorder="1"/>
    <xf numFmtId="0" fontId="20" fillId="2" borderId="5" xfId="0" applyFont="1" applyFill="1" applyBorder="1"/>
    <xf numFmtId="0" fontId="5" fillId="2" borderId="6" xfId="0" applyFont="1" applyFill="1" applyBorder="1" applyAlignment="1">
      <alignment horizontal="center"/>
    </xf>
    <xf numFmtId="0" fontId="0" fillId="2" borderId="8" xfId="0" applyFill="1" applyBorder="1"/>
    <xf numFmtId="0" fontId="0" fillId="2" borderId="1" xfId="0" applyFill="1" applyBorder="1"/>
    <xf numFmtId="0" fontId="0" fillId="2" borderId="4" xfId="0" applyFill="1" applyBorder="1"/>
    <xf numFmtId="0" fontId="20" fillId="2" borderId="4" xfId="0" applyFont="1" applyFill="1" applyBorder="1"/>
    <xf numFmtId="0" fontId="0" fillId="2" borderId="6" xfId="0" applyFill="1" applyBorder="1"/>
    <xf numFmtId="0" fontId="0" fillId="2" borderId="2" xfId="0" applyFill="1" applyBorder="1" applyAlignment="1" applyProtection="1">
      <alignment horizontal="center"/>
      <protection hidden="1"/>
    </xf>
    <xf numFmtId="0" fontId="21" fillId="2" borderId="0" xfId="0" applyFont="1" applyFill="1" applyAlignment="1" applyProtection="1">
      <alignment horizontal="left" vertical="center"/>
      <protection hidden="1"/>
    </xf>
    <xf numFmtId="0" fontId="5" fillId="2" borderId="0" xfId="0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hidden="1"/>
    </xf>
    <xf numFmtId="0" fontId="24" fillId="4" borderId="0" xfId="0" applyFont="1" applyFill="1" applyAlignment="1" applyProtection="1">
      <alignment horizontal="center" vertical="center"/>
      <protection hidden="1"/>
    </xf>
    <xf numFmtId="0" fontId="20" fillId="4" borderId="0" xfId="0" applyFont="1" applyFill="1" applyAlignment="1" applyProtection="1">
      <alignment horizontal="center" vertical="center"/>
      <protection hidden="1"/>
    </xf>
    <xf numFmtId="0" fontId="0" fillId="2" borderId="19" xfId="0" applyFill="1" applyBorder="1" applyAlignment="1">
      <alignment horizontal="center"/>
    </xf>
    <xf numFmtId="0" fontId="13" fillId="2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/>
      <protection hidden="1"/>
    </xf>
    <xf numFmtId="2" fontId="13" fillId="2" borderId="0" xfId="0" applyNumberFormat="1" applyFont="1" applyFill="1" applyAlignment="1" applyProtection="1">
      <alignment horizontal="center"/>
      <protection hidden="1"/>
    </xf>
    <xf numFmtId="0" fontId="25" fillId="2" borderId="0" xfId="0" applyFont="1" applyFill="1" applyAlignment="1" applyProtection="1">
      <alignment horizontal="right"/>
      <protection hidden="1"/>
    </xf>
    <xf numFmtId="0" fontId="16" fillId="2" borderId="0" xfId="0" applyFont="1" applyFill="1" applyAlignment="1" applyProtection="1">
      <alignment horizontal="left"/>
      <protection locked="0" hidden="1"/>
    </xf>
    <xf numFmtId="0" fontId="5" fillId="0" borderId="4" xfId="0" applyFont="1" applyBorder="1"/>
    <xf numFmtId="0" fontId="5" fillId="0" borderId="0" xfId="0" applyFont="1"/>
    <xf numFmtId="0" fontId="0" fillId="3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0" xfId="0" applyFill="1" applyAlignment="1">
      <alignment horizontal="justify"/>
    </xf>
    <xf numFmtId="0" fontId="0" fillId="0" borderId="0" xfId="0" applyAlignment="1">
      <alignment horizontal="justify"/>
    </xf>
    <xf numFmtId="0" fontId="22" fillId="2" borderId="0" xfId="0" applyFont="1" applyFill="1" applyAlignment="1">
      <alignment horizontal="center"/>
    </xf>
    <xf numFmtId="0" fontId="24" fillId="4" borderId="0" xfId="0" applyFont="1" applyFill="1" applyAlignment="1" applyProtection="1">
      <alignment horizontal="center" vertical="center"/>
      <protection locked="0" hidden="1"/>
    </xf>
    <xf numFmtId="0" fontId="24" fillId="4" borderId="0" xfId="0" applyFont="1" applyFill="1" applyProtection="1">
      <protection hidden="1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7" borderId="0" xfId="0" applyFill="1"/>
    <xf numFmtId="0" fontId="5" fillId="4" borderId="0" xfId="0" applyFont="1" applyFill="1" applyAlignment="1" applyProtection="1">
      <alignment horizontal="center" vertical="center"/>
      <protection locked="0" hidden="1"/>
    </xf>
    <xf numFmtId="0" fontId="0" fillId="4" borderId="0" xfId="0" applyFill="1" applyAlignment="1" applyProtection="1">
      <alignment horizontal="center" vertical="center"/>
      <protection locked="0" hidden="1"/>
    </xf>
    <xf numFmtId="0" fontId="0" fillId="9" borderId="0" xfId="0" applyFill="1"/>
    <xf numFmtId="0" fontId="0" fillId="9" borderId="0" xfId="0" applyFill="1" applyAlignment="1">
      <alignment horizontal="right" vertical="center"/>
    </xf>
    <xf numFmtId="0" fontId="11" fillId="2" borderId="2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11" fillId="9" borderId="0" xfId="0" applyFont="1" applyFill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14" fillId="12" borderId="0" xfId="1" applyFill="1" applyProtection="1">
      <protection locked="0"/>
    </xf>
    <xf numFmtId="0" fontId="22" fillId="6" borderId="9" xfId="0" applyFont="1" applyFill="1" applyBorder="1" applyAlignment="1" applyProtection="1">
      <alignment horizontal="center"/>
      <protection hidden="1"/>
    </xf>
    <xf numFmtId="0" fontId="22" fillId="2" borderId="2" xfId="0" applyFont="1" applyFill="1" applyBorder="1" applyProtection="1">
      <protection locked="0" hidden="1"/>
    </xf>
    <xf numFmtId="0" fontId="23" fillId="4" borderId="0" xfId="0" applyFont="1" applyFill="1" applyProtection="1">
      <protection hidden="1"/>
    </xf>
    <xf numFmtId="2" fontId="16" fillId="4" borderId="0" xfId="0" applyNumberFormat="1" applyFont="1" applyFill="1" applyAlignment="1" applyProtection="1">
      <alignment horizontal="left"/>
      <protection hidden="1"/>
    </xf>
    <xf numFmtId="0" fontId="16" fillId="2" borderId="7" xfId="0" applyFont="1" applyFill="1" applyBorder="1" applyAlignment="1" applyProtection="1">
      <alignment horizontal="right"/>
      <protection hidden="1"/>
    </xf>
    <xf numFmtId="166" fontId="16" fillId="2" borderId="7" xfId="0" applyNumberFormat="1" applyFont="1" applyFill="1" applyBorder="1" applyAlignment="1" applyProtection="1">
      <alignment horizontal="left"/>
      <protection hidden="1"/>
    </xf>
    <xf numFmtId="0" fontId="22" fillId="2" borderId="7" xfId="0" applyFont="1" applyFill="1" applyBorder="1" applyProtection="1"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2" xfId="0" applyFill="1" applyBorder="1" applyAlignment="1" applyProtection="1">
      <alignment horizontal="center" vertical="center"/>
      <protection hidden="1"/>
    </xf>
    <xf numFmtId="0" fontId="0" fillId="2" borderId="3" xfId="0" applyFill="1" applyBorder="1" applyAlignment="1" applyProtection="1">
      <alignment horizontal="left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2" borderId="5" xfId="0" applyFill="1" applyBorder="1" applyAlignment="1" applyProtection="1">
      <alignment horizontal="left"/>
      <protection hidden="1"/>
    </xf>
    <xf numFmtId="0" fontId="0" fillId="2" borderId="5" xfId="0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 vertical="center"/>
      <protection hidden="1"/>
    </xf>
    <xf numFmtId="0" fontId="0" fillId="2" borderId="8" xfId="0" applyFill="1" applyBorder="1" applyAlignment="1" applyProtection="1">
      <alignment horizontal="left"/>
      <protection hidden="1"/>
    </xf>
    <xf numFmtId="164" fontId="15" fillId="2" borderId="1" xfId="0" applyNumberFormat="1" applyFont="1" applyFill="1" applyBorder="1" applyAlignment="1" applyProtection="1">
      <alignment horizontal="center"/>
      <protection hidden="1"/>
    </xf>
    <xf numFmtId="164" fontId="15" fillId="2" borderId="4" xfId="0" applyNumberFormat="1" applyFont="1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 vertical="center"/>
      <protection hidden="1"/>
    </xf>
    <xf numFmtId="0" fontId="0" fillId="2" borderId="12" xfId="0" applyFill="1" applyBorder="1" applyAlignment="1" applyProtection="1">
      <alignment horizontal="left"/>
      <protection hidden="1"/>
    </xf>
    <xf numFmtId="0" fontId="10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5" xfId="0" applyFont="1" applyFill="1" applyBorder="1" applyAlignment="1" applyProtection="1">
      <alignment horizontal="center"/>
      <protection hidden="1"/>
    </xf>
    <xf numFmtId="14" fontId="0" fillId="4" borderId="0" xfId="0" applyNumberFormat="1" applyFill="1" applyAlignment="1" applyProtection="1">
      <alignment horizontal="center"/>
      <protection hidden="1"/>
    </xf>
    <xf numFmtId="167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>
      <alignment horizontal="center"/>
    </xf>
    <xf numFmtId="0" fontId="0" fillId="3" borderId="4" xfId="0" applyFill="1" applyBorder="1" applyProtection="1">
      <protection hidden="1"/>
    </xf>
    <xf numFmtId="0" fontId="0" fillId="2" borderId="0" xfId="0" applyFill="1" applyAlignment="1" applyProtection="1">
      <alignment horizontal="left"/>
      <protection locked="0" hidden="1"/>
    </xf>
    <xf numFmtId="0" fontId="0" fillId="3" borderId="0" xfId="0" applyFill="1" applyProtection="1">
      <protection hidden="1"/>
    </xf>
    <xf numFmtId="165" fontId="0" fillId="2" borderId="0" xfId="0" applyNumberFormat="1" applyFill="1" applyAlignment="1" applyProtection="1">
      <alignment horizontal="center"/>
      <protection hidden="1"/>
    </xf>
    <xf numFmtId="165" fontId="16" fillId="4" borderId="0" xfId="0" applyNumberFormat="1" applyFont="1" applyFill="1" applyAlignment="1" applyProtection="1">
      <alignment horizontal="center"/>
      <protection hidden="1"/>
    </xf>
    <xf numFmtId="0" fontId="13" fillId="2" borderId="5" xfId="0" applyFont="1" applyFill="1" applyBorder="1" applyProtection="1">
      <protection locked="0" hidden="1"/>
    </xf>
    <xf numFmtId="0" fontId="16" fillId="4" borderId="15" xfId="0" applyFont="1" applyFill="1" applyBorder="1" applyAlignment="1" applyProtection="1">
      <alignment vertical="center"/>
      <protection hidden="1"/>
    </xf>
    <xf numFmtId="0" fontId="0" fillId="4" borderId="16" xfId="0" applyFill="1" applyBorder="1" applyAlignment="1" applyProtection="1">
      <alignment horizontal="left" vertical="center"/>
      <protection hidden="1"/>
    </xf>
    <xf numFmtId="1" fontId="16" fillId="2" borderId="7" xfId="0" applyNumberFormat="1" applyFont="1" applyFill="1" applyBorder="1" applyAlignment="1" applyProtection="1">
      <alignment horizontal="left"/>
      <protection hidden="1"/>
    </xf>
    <xf numFmtId="0" fontId="20" fillId="4" borderId="0" xfId="0" applyFont="1" applyFill="1" applyAlignment="1" applyProtection="1">
      <alignment horizontal="center" vertical="center"/>
      <protection locked="0" hidden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168" fontId="0" fillId="4" borderId="0" xfId="0" applyNumberFormat="1" applyFill="1" applyAlignment="1" applyProtection="1">
      <alignment horizontal="center"/>
      <protection locked="0"/>
    </xf>
    <xf numFmtId="11" fontId="16" fillId="2" borderId="0" xfId="0" applyNumberFormat="1" applyFont="1" applyFill="1" applyAlignment="1" applyProtection="1">
      <alignment horizontal="left"/>
      <protection hidden="1"/>
    </xf>
    <xf numFmtId="0" fontId="32" fillId="2" borderId="0" xfId="0" applyFont="1" applyFill="1" applyAlignment="1" applyProtection="1">
      <alignment horizontal="left"/>
      <protection hidden="1"/>
    </xf>
    <xf numFmtId="0" fontId="32" fillId="2" borderId="0" xfId="0" applyFont="1" applyFill="1" applyAlignment="1" applyProtection="1">
      <alignment horizontal="center"/>
      <protection hidden="1"/>
    </xf>
    <xf numFmtId="0" fontId="33" fillId="2" borderId="0" xfId="0" applyFont="1" applyFill="1" applyProtection="1">
      <protection hidden="1"/>
    </xf>
    <xf numFmtId="0" fontId="20" fillId="2" borderId="0" xfId="0" applyFont="1" applyFill="1" applyProtection="1">
      <protection hidden="1"/>
    </xf>
    <xf numFmtId="164" fontId="33" fillId="2" borderId="0" xfId="0" applyNumberFormat="1" applyFont="1" applyFill="1" applyAlignment="1" applyProtection="1">
      <alignment horizontal="center"/>
      <protection hidden="1"/>
    </xf>
    <xf numFmtId="0" fontId="31" fillId="2" borderId="0" xfId="0" applyFont="1" applyFill="1" applyAlignment="1" applyProtection="1">
      <alignment horizontal="left"/>
      <protection hidden="1"/>
    </xf>
    <xf numFmtId="169" fontId="0" fillId="4" borderId="0" xfId="0" applyNumberFormat="1" applyFill="1" applyProtection="1">
      <protection hidden="1"/>
    </xf>
    <xf numFmtId="0" fontId="0" fillId="4" borderId="0" xfId="0" applyFill="1" applyAlignment="1" applyProtection="1">
      <alignment horizontal="right"/>
      <protection hidden="1"/>
    </xf>
    <xf numFmtId="0" fontId="17" fillId="4" borderId="14" xfId="0" applyFont="1" applyFill="1" applyBorder="1" applyAlignment="1" applyProtection="1">
      <alignment horizontal="center"/>
      <protection locked="0" hidden="1"/>
    </xf>
    <xf numFmtId="0" fontId="0" fillId="3" borderId="13" xfId="0" applyFill="1" applyBorder="1" applyProtection="1">
      <protection hidden="1"/>
    </xf>
    <xf numFmtId="0" fontId="5" fillId="3" borderId="15" xfId="0" applyFont="1" applyFill="1" applyBorder="1" applyAlignment="1" applyProtection="1">
      <alignment horizontal="center"/>
      <protection locked="0" hidden="1"/>
    </xf>
    <xf numFmtId="0" fontId="0" fillId="3" borderId="13" xfId="0" applyFill="1" applyBorder="1" applyAlignment="1" applyProtection="1">
      <alignment horizontal="center" vertical="center"/>
      <protection hidden="1"/>
    </xf>
    <xf numFmtId="0" fontId="22" fillId="6" borderId="9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164" fontId="13" fillId="2" borderId="0" xfId="0" applyNumberFormat="1" applyFont="1" applyFill="1" applyAlignment="1" applyProtection="1">
      <alignment horizontal="center" vertical="center"/>
      <protection hidden="1"/>
    </xf>
    <xf numFmtId="0" fontId="18" fillId="2" borderId="0" xfId="0" applyFont="1" applyFill="1" applyAlignment="1">
      <alignment horizontal="left"/>
    </xf>
    <xf numFmtId="0" fontId="36" fillId="2" borderId="0" xfId="0" applyFont="1" applyFill="1" applyAlignment="1">
      <alignment horizontal="left"/>
    </xf>
    <xf numFmtId="0" fontId="0" fillId="4" borderId="0" xfId="0" applyFill="1" applyAlignment="1" applyProtection="1">
      <alignment horizontal="left"/>
      <protection hidden="1"/>
    </xf>
    <xf numFmtId="2" fontId="16" fillId="4" borderId="0" xfId="0" applyNumberFormat="1" applyFont="1" applyFill="1" applyAlignment="1" applyProtection="1">
      <alignment horizontal="center"/>
      <protection hidden="1"/>
    </xf>
    <xf numFmtId="167" fontId="16" fillId="4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vertical="center"/>
      <protection hidden="1"/>
    </xf>
    <xf numFmtId="1" fontId="16" fillId="4" borderId="0" xfId="0" applyNumberFormat="1" applyFont="1" applyFill="1" applyAlignment="1" applyProtection="1">
      <alignment horizontal="center"/>
      <protection hidden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4" xfId="0" applyFill="1" applyBorder="1" applyProtection="1">
      <protection hidden="1"/>
    </xf>
    <xf numFmtId="0" fontId="0" fillId="3" borderId="2" xfId="0" applyFill="1" applyBorder="1" applyAlignment="1" applyProtection="1">
      <alignment horizontal="center" vertical="center"/>
      <protection hidden="1"/>
    </xf>
    <xf numFmtId="0" fontId="0" fillId="2" borderId="21" xfId="0" applyFill="1" applyBorder="1" applyProtection="1">
      <protection hidden="1"/>
    </xf>
    <xf numFmtId="0" fontId="0" fillId="2" borderId="21" xfId="0" applyFill="1" applyBorder="1" applyAlignment="1" applyProtection="1">
      <alignment horizontal="center"/>
      <protection hidden="1"/>
    </xf>
    <xf numFmtId="0" fontId="0" fillId="2" borderId="20" xfId="0" applyFill="1" applyBorder="1" applyAlignment="1" applyProtection="1">
      <alignment horizontal="center"/>
      <protection hidden="1"/>
    </xf>
    <xf numFmtId="0" fontId="0" fillId="2" borderId="20" xfId="0" applyFill="1" applyBorder="1" applyProtection="1">
      <protection hidden="1"/>
    </xf>
    <xf numFmtId="0" fontId="0" fillId="2" borderId="13" xfId="0" applyFill="1" applyBorder="1" applyProtection="1">
      <protection hidden="1"/>
    </xf>
    <xf numFmtId="165" fontId="0" fillId="2" borderId="13" xfId="0" applyNumberFormat="1" applyFill="1" applyBorder="1" applyProtection="1">
      <protection hidden="1"/>
    </xf>
    <xf numFmtId="0" fontId="0" fillId="2" borderId="13" xfId="0" applyFill="1" applyBorder="1" applyProtection="1">
      <protection locked="0"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3" borderId="15" xfId="0" applyFill="1" applyBorder="1" applyAlignment="1" applyProtection="1">
      <alignment horizontal="center"/>
      <protection hidden="1"/>
    </xf>
    <xf numFmtId="0" fontId="0" fillId="3" borderId="16" xfId="0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9" borderId="0" xfId="0" applyFill="1" applyProtection="1">
      <protection hidden="1"/>
    </xf>
    <xf numFmtId="0" fontId="0" fillId="9" borderId="7" xfId="0" applyFill="1" applyBorder="1" applyProtection="1">
      <protection hidden="1"/>
    </xf>
    <xf numFmtId="0" fontId="0" fillId="13" borderId="4" xfId="0" applyFill="1" applyBorder="1" applyAlignment="1" applyProtection="1">
      <alignment vertical="center"/>
      <protection hidden="1"/>
    </xf>
    <xf numFmtId="0" fontId="0" fillId="13" borderId="2" xfId="0" applyFill="1" applyBorder="1" applyAlignment="1" applyProtection="1">
      <alignment horizontal="center" vertical="center"/>
      <protection hidden="1"/>
    </xf>
    <xf numFmtId="0" fontId="18" fillId="8" borderId="0" xfId="0" applyFont="1" applyFill="1" applyProtection="1">
      <protection hidden="1"/>
    </xf>
    <xf numFmtId="4" fontId="49" fillId="7" borderId="17" xfId="0" applyNumberFormat="1" applyFont="1" applyFill="1" applyBorder="1" applyAlignment="1" applyProtection="1">
      <alignment horizontal="center" vertical="center"/>
      <protection locked="0" hidden="1"/>
    </xf>
    <xf numFmtId="3" fontId="50" fillId="7" borderId="17" xfId="0" applyNumberFormat="1" applyFont="1" applyFill="1" applyBorder="1" applyAlignment="1" applyProtection="1">
      <alignment horizontal="center" vertical="center"/>
      <protection locked="0" hidden="1"/>
    </xf>
    <xf numFmtId="3" fontId="51" fillId="7" borderId="17" xfId="0" applyNumberFormat="1" applyFont="1" applyFill="1" applyBorder="1" applyAlignment="1" applyProtection="1">
      <alignment horizontal="center" vertical="center"/>
      <protection locked="0" hidden="1"/>
    </xf>
    <xf numFmtId="0" fontId="5" fillId="3" borderId="2" xfId="0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30" fillId="2" borderId="0" xfId="0" applyFont="1" applyFill="1" applyAlignment="1">
      <alignment horizontal="right"/>
    </xf>
    <xf numFmtId="0" fontId="44" fillId="2" borderId="0" xfId="0" applyFont="1" applyFill="1" applyAlignment="1">
      <alignment horizontal="right"/>
    </xf>
    <xf numFmtId="3" fontId="16" fillId="4" borderId="0" xfId="0" applyNumberFormat="1" applyFont="1" applyFill="1" applyAlignment="1" applyProtection="1">
      <alignment horizontal="center"/>
      <protection hidden="1"/>
    </xf>
    <xf numFmtId="2" fontId="0" fillId="4" borderId="0" xfId="0" applyNumberFormat="1" applyFill="1" applyProtection="1">
      <protection hidden="1"/>
    </xf>
    <xf numFmtId="2" fontId="16" fillId="4" borderId="0" xfId="0" applyNumberFormat="1" applyFont="1" applyFill="1" applyAlignment="1" applyProtection="1">
      <alignment horizontal="center" vertical="center"/>
      <protection hidden="1"/>
    </xf>
    <xf numFmtId="0" fontId="0" fillId="6" borderId="20" xfId="0" applyFill="1" applyBorder="1" applyAlignment="1" applyProtection="1">
      <alignment horizontal="center"/>
      <protection hidden="1"/>
    </xf>
    <xf numFmtId="2" fontId="0" fillId="2" borderId="26" xfId="0" applyNumberFormat="1" applyFill="1" applyBorder="1" applyProtection="1">
      <protection hidden="1"/>
    </xf>
    <xf numFmtId="0" fontId="30" fillId="2" borderId="0" xfId="0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0" fillId="14" borderId="13" xfId="0" applyFill="1" applyBorder="1" applyAlignment="1" applyProtection="1">
      <alignment horizontal="center"/>
      <protection hidden="1"/>
    </xf>
    <xf numFmtId="2" fontId="0" fillId="4" borderId="0" xfId="0" applyNumberFormat="1" applyFill="1" applyAlignment="1" applyProtection="1">
      <alignment horizontal="center"/>
      <protection hidden="1"/>
    </xf>
    <xf numFmtId="2" fontId="0" fillId="2" borderId="21" xfId="0" applyNumberFormat="1" applyFill="1" applyBorder="1" applyProtection="1">
      <protection hidden="1"/>
    </xf>
    <xf numFmtId="0" fontId="0" fillId="2" borderId="13" xfId="0" applyFill="1" applyBorder="1" applyAlignment="1" applyProtection="1">
      <alignment horizontal="center" vertical="center"/>
      <protection hidden="1"/>
    </xf>
    <xf numFmtId="164" fontId="16" fillId="4" borderId="0" xfId="0" applyNumberFormat="1" applyFont="1" applyFill="1" applyAlignment="1" applyProtection="1">
      <alignment horizontal="center"/>
      <protection hidden="1"/>
    </xf>
    <xf numFmtId="165" fontId="30" fillId="2" borderId="13" xfId="0" applyNumberFormat="1" applyFont="1" applyFill="1" applyBorder="1" applyAlignment="1" applyProtection="1">
      <alignment horizontal="left"/>
      <protection hidden="1"/>
    </xf>
    <xf numFmtId="2" fontId="0" fillId="2" borderId="22" xfId="0" applyNumberFormat="1" applyFill="1" applyBorder="1" applyAlignment="1" applyProtection="1">
      <alignment horizontal="center"/>
      <protection hidden="1"/>
    </xf>
    <xf numFmtId="0" fontId="0" fillId="6" borderId="27" xfId="0" applyFill="1" applyBorder="1" applyProtection="1">
      <protection hidden="1"/>
    </xf>
    <xf numFmtId="0" fontId="0" fillId="2" borderId="24" xfId="0" applyFill="1" applyBorder="1" applyProtection="1">
      <protection hidden="1"/>
    </xf>
    <xf numFmtId="0" fontId="0" fillId="3" borderId="24" xfId="0" applyFill="1" applyBorder="1" applyProtection="1">
      <protection hidden="1"/>
    </xf>
    <xf numFmtId="0" fontId="0" fillId="4" borderId="4" xfId="0" applyFill="1" applyBorder="1" applyProtection="1">
      <protection hidden="1"/>
    </xf>
    <xf numFmtId="2" fontId="0" fillId="3" borderId="0" xfId="0" applyNumberFormat="1" applyFill="1" applyAlignment="1" applyProtection="1">
      <alignment horizontal="center"/>
      <protection hidden="1"/>
    </xf>
    <xf numFmtId="164" fontId="0" fillId="3" borderId="0" xfId="0" applyNumberFormat="1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11" fontId="0" fillId="3" borderId="0" xfId="0" applyNumberFormat="1" applyFill="1" applyAlignment="1" applyProtection="1">
      <alignment horizontal="center"/>
      <protection hidden="1"/>
    </xf>
    <xf numFmtId="165" fontId="0" fillId="3" borderId="0" xfId="0" applyNumberFormat="1" applyFill="1" applyProtection="1">
      <protection hidden="1"/>
    </xf>
    <xf numFmtId="0" fontId="53" fillId="2" borderId="0" xfId="0" applyFont="1" applyFill="1" applyProtection="1">
      <protection hidden="1"/>
    </xf>
    <xf numFmtId="164" fontId="53" fillId="2" borderId="0" xfId="0" applyNumberFormat="1" applyFont="1" applyFill="1" applyAlignment="1" applyProtection="1">
      <alignment horizontal="right" vertical="center"/>
      <protection hidden="1"/>
    </xf>
    <xf numFmtId="3" fontId="53" fillId="2" borderId="0" xfId="0" applyNumberFormat="1" applyFont="1" applyFill="1" applyAlignment="1" applyProtection="1">
      <alignment horizontal="right"/>
      <protection hidden="1"/>
    </xf>
    <xf numFmtId="164" fontId="53" fillId="2" borderId="0" xfId="0" applyNumberFormat="1" applyFont="1" applyFill="1" applyAlignment="1" applyProtection="1">
      <alignment horizontal="right" vertical="center"/>
      <protection locked="0" hidden="1"/>
    </xf>
    <xf numFmtId="0" fontId="53" fillId="2" borderId="0" xfId="0" applyFont="1" applyFill="1" applyAlignment="1" applyProtection="1">
      <alignment horizontal="left"/>
      <protection hidden="1"/>
    </xf>
    <xf numFmtId="165" fontId="53" fillId="2" borderId="0" xfId="0" applyNumberFormat="1" applyFont="1" applyFill="1" applyAlignment="1" applyProtection="1">
      <alignment horizontal="left"/>
      <protection hidden="1"/>
    </xf>
    <xf numFmtId="0" fontId="0" fillId="15" borderId="0" xfId="0" applyFill="1" applyProtection="1">
      <protection hidden="1"/>
    </xf>
    <xf numFmtId="0" fontId="55" fillId="2" borderId="0" xfId="0" applyFont="1" applyFill="1" applyProtection="1">
      <protection hidden="1"/>
    </xf>
    <xf numFmtId="0" fontId="54" fillId="9" borderId="0" xfId="0" applyFont="1" applyFill="1" applyAlignment="1">
      <alignment horizontal="center" vertical="center"/>
    </xf>
    <xf numFmtId="1" fontId="0" fillId="4" borderId="0" xfId="0" applyNumberFormat="1" applyFill="1" applyAlignment="1" applyProtection="1">
      <alignment horizontal="center"/>
      <protection hidden="1"/>
    </xf>
    <xf numFmtId="0" fontId="0" fillId="4" borderId="5" xfId="0" applyFill="1" applyBorder="1" applyAlignment="1" applyProtection="1">
      <alignment horizontal="center"/>
      <protection hidden="1"/>
    </xf>
    <xf numFmtId="1" fontId="19" fillId="5" borderId="15" xfId="0" applyNumberFormat="1" applyFont="1" applyFill="1" applyBorder="1" applyAlignment="1" applyProtection="1">
      <alignment horizontal="center" vertical="center"/>
      <protection locked="0" hidden="1"/>
    </xf>
    <xf numFmtId="0" fontId="0" fillId="8" borderId="0" xfId="0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 vertical="center"/>
      <protection locked="0" hidden="1"/>
    </xf>
    <xf numFmtId="2" fontId="0" fillId="2" borderId="13" xfId="0" applyNumberFormat="1" applyFill="1" applyBorder="1" applyAlignment="1" applyProtection="1">
      <alignment horizontal="center"/>
      <protection hidden="1"/>
    </xf>
    <xf numFmtId="0" fontId="0" fillId="3" borderId="21" xfId="0" applyFill="1" applyBorder="1" applyProtection="1">
      <protection hidden="1"/>
    </xf>
    <xf numFmtId="0" fontId="1" fillId="4" borderId="0" xfId="0" applyFont="1" applyFill="1" applyProtection="1">
      <protection hidden="1"/>
    </xf>
    <xf numFmtId="1" fontId="60" fillId="5" borderId="15" xfId="0" applyNumberFormat="1" applyFont="1" applyFill="1" applyBorder="1" applyAlignment="1" applyProtection="1">
      <alignment horizontal="center"/>
      <protection hidden="1"/>
    </xf>
    <xf numFmtId="0" fontId="60" fillId="5" borderId="15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>
      <alignment horizontal="center"/>
    </xf>
    <xf numFmtId="1" fontId="0" fillId="4" borderId="0" xfId="0" applyNumberFormat="1" applyFill="1" applyProtection="1">
      <protection hidden="1"/>
    </xf>
    <xf numFmtId="0" fontId="19" fillId="4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0" fillId="9" borderId="19" xfId="0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0" fillId="2" borderId="13" xfId="0" applyFill="1" applyBorder="1"/>
    <xf numFmtId="0" fontId="0" fillId="7" borderId="13" xfId="0" applyFill="1" applyBorder="1"/>
    <xf numFmtId="164" fontId="61" fillId="2" borderId="0" xfId="0" applyNumberFormat="1" applyFont="1" applyFill="1" applyAlignment="1" applyProtection="1">
      <alignment horizontal="left" vertical="center"/>
      <protection hidden="1"/>
    </xf>
    <xf numFmtId="1" fontId="61" fillId="2" borderId="0" xfId="0" applyNumberFormat="1" applyFont="1" applyFill="1" applyAlignment="1" applyProtection="1">
      <alignment horizontal="left" vertical="center"/>
      <protection hidden="1"/>
    </xf>
    <xf numFmtId="0" fontId="61" fillId="2" borderId="0" xfId="0" applyFont="1" applyFill="1" applyAlignment="1" applyProtection="1">
      <alignment horizontal="left"/>
      <protection hidden="1"/>
    </xf>
    <xf numFmtId="0" fontId="61" fillId="2" borderId="0" xfId="0" applyFont="1" applyFill="1" applyAlignment="1" applyProtection="1">
      <alignment horizontal="center"/>
      <protection hidden="1"/>
    </xf>
    <xf numFmtId="0" fontId="61" fillId="2" borderId="0" xfId="0" applyFont="1" applyFill="1" applyAlignment="1" applyProtection="1">
      <alignment horizontal="right"/>
      <protection hidden="1"/>
    </xf>
    <xf numFmtId="0" fontId="61" fillId="2" borderId="0" xfId="0" applyFont="1" applyFill="1" applyAlignment="1" applyProtection="1">
      <alignment horizontal="right" vertical="center"/>
      <protection hidden="1"/>
    </xf>
    <xf numFmtId="0" fontId="0" fillId="18" borderId="15" xfId="0" applyFill="1" applyBorder="1" applyProtection="1">
      <protection hidden="1"/>
    </xf>
    <xf numFmtId="2" fontId="30" fillId="4" borderId="0" xfId="0" applyNumberFormat="1" applyFont="1" applyFill="1" applyProtection="1">
      <protection hidden="1"/>
    </xf>
    <xf numFmtId="11" fontId="0" fillId="4" borderId="0" xfId="0" applyNumberFormat="1" applyFill="1" applyProtection="1">
      <protection hidden="1"/>
    </xf>
    <xf numFmtId="165" fontId="0" fillId="4" borderId="0" xfId="0" applyNumberFormat="1" applyFill="1" applyAlignment="1" applyProtection="1">
      <alignment horizontal="center"/>
      <protection hidden="1"/>
    </xf>
    <xf numFmtId="0" fontId="1" fillId="4" borderId="4" xfId="0" applyFont="1" applyFill="1" applyBorder="1" applyProtection="1">
      <protection hidden="1"/>
    </xf>
    <xf numFmtId="2" fontId="0" fillId="3" borderId="0" xfId="0" applyNumberFormat="1" applyFill="1" applyAlignment="1" applyProtection="1">
      <alignment horizontal="center" vertical="center"/>
      <protection hidden="1"/>
    </xf>
    <xf numFmtId="166" fontId="0" fillId="4" borderId="0" xfId="0" applyNumberFormat="1" applyFill="1" applyAlignment="1" applyProtection="1">
      <alignment horizontal="center"/>
      <protection hidden="1"/>
    </xf>
    <xf numFmtId="0" fontId="0" fillId="4" borderId="23" xfId="0" applyFill="1" applyBorder="1" applyProtection="1">
      <protection hidden="1"/>
    </xf>
    <xf numFmtId="0" fontId="0" fillId="4" borderId="13" xfId="0" applyFill="1" applyBorder="1" applyProtection="1"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164" fontId="0" fillId="4" borderId="13" xfId="0" applyNumberFormat="1" applyFill="1" applyBorder="1" applyProtection="1">
      <protection hidden="1"/>
    </xf>
    <xf numFmtId="0" fontId="0" fillId="4" borderId="24" xfId="0" applyFill="1" applyBorder="1" applyProtection="1">
      <protection hidden="1"/>
    </xf>
    <xf numFmtId="0" fontId="0" fillId="4" borderId="28" xfId="0" applyFill="1" applyBorder="1" applyProtection="1">
      <protection hidden="1"/>
    </xf>
    <xf numFmtId="0" fontId="0" fillId="4" borderId="29" xfId="0" applyFill="1" applyBorder="1" applyProtection="1">
      <protection hidden="1"/>
    </xf>
    <xf numFmtId="0" fontId="0" fillId="4" borderId="29" xfId="0" applyFill="1" applyBorder="1" applyAlignment="1" applyProtection="1">
      <alignment horizontal="center"/>
      <protection hidden="1"/>
    </xf>
    <xf numFmtId="2" fontId="0" fillId="4" borderId="29" xfId="0" applyNumberFormat="1" applyFill="1" applyBorder="1" applyProtection="1">
      <protection hidden="1"/>
    </xf>
    <xf numFmtId="0" fontId="0" fillId="4" borderId="30" xfId="0" applyFill="1" applyBorder="1" applyProtection="1">
      <protection hidden="1"/>
    </xf>
    <xf numFmtId="2" fontId="0" fillId="4" borderId="29" xfId="0" applyNumberFormat="1" applyFill="1" applyBorder="1" applyAlignment="1" applyProtection="1">
      <alignment horizontal="center"/>
      <protection hidden="1"/>
    </xf>
    <xf numFmtId="2" fontId="0" fillId="3" borderId="13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0" fillId="13" borderId="7" xfId="0" applyFill="1" applyBorder="1" applyProtection="1">
      <protection hidden="1"/>
    </xf>
    <xf numFmtId="0" fontId="0" fillId="6" borderId="13" xfId="0" applyFill="1" applyBorder="1" applyProtection="1">
      <protection locked="0" hidden="1"/>
    </xf>
    <xf numFmtId="0" fontId="0" fillId="19" borderId="13" xfId="0" applyFill="1" applyBorder="1" applyAlignment="1" applyProtection="1">
      <alignment vertical="center"/>
      <protection locked="0" hidden="1"/>
    </xf>
    <xf numFmtId="0" fontId="0" fillId="20" borderId="13" xfId="0" applyFill="1" applyBorder="1" applyAlignment="1" applyProtection="1">
      <alignment vertical="center"/>
      <protection locked="0" hidden="1"/>
    </xf>
    <xf numFmtId="0" fontId="0" fillId="19" borderId="13" xfId="0" applyFill="1" applyBorder="1" applyProtection="1">
      <protection hidden="1"/>
    </xf>
    <xf numFmtId="0" fontId="0" fillId="19" borderId="0" xfId="0" applyFill="1" applyAlignment="1" applyProtection="1">
      <alignment vertical="center"/>
      <protection locked="0" hidden="1"/>
    </xf>
    <xf numFmtId="0" fontId="0" fillId="19" borderId="20" xfId="0" applyFill="1" applyBorder="1" applyAlignment="1" applyProtection="1">
      <alignment vertical="center"/>
      <protection locked="0" hidden="1"/>
    </xf>
    <xf numFmtId="0" fontId="0" fillId="2" borderId="0" xfId="0" applyFill="1" applyProtection="1">
      <protection locked="0" hidden="1"/>
    </xf>
    <xf numFmtId="0" fontId="0" fillId="19" borderId="18" xfId="0" applyFill="1" applyBorder="1" applyAlignment="1" applyProtection="1">
      <alignment horizontal="left" vertical="center"/>
      <protection locked="0" hidden="1"/>
    </xf>
    <xf numFmtId="0" fontId="0" fillId="19" borderId="18" xfId="0" applyFill="1" applyBorder="1" applyAlignment="1" applyProtection="1">
      <alignment vertical="center"/>
      <protection locked="0" hidden="1"/>
    </xf>
    <xf numFmtId="0" fontId="0" fillId="19" borderId="18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8" borderId="20" xfId="0" applyFill="1" applyBorder="1" applyProtection="1">
      <protection hidden="1"/>
    </xf>
    <xf numFmtId="0" fontId="0" fillId="21" borderId="13" xfId="0" applyFill="1" applyBorder="1" applyProtection="1">
      <protection hidden="1"/>
    </xf>
    <xf numFmtId="0" fontId="0" fillId="2" borderId="13" xfId="0" applyFill="1" applyBorder="1" applyAlignment="1" applyProtection="1">
      <alignment horizontal="center"/>
      <protection locked="0" hidden="1"/>
    </xf>
    <xf numFmtId="0" fontId="0" fillId="3" borderId="13" xfId="0" applyFill="1" applyBorder="1" applyAlignment="1" applyProtection="1">
      <alignment horizontal="center"/>
      <protection hidden="1"/>
    </xf>
    <xf numFmtId="3" fontId="0" fillId="3" borderId="13" xfId="0" applyNumberFormat="1" applyFill="1" applyBorder="1" applyAlignment="1" applyProtection="1">
      <alignment horizontal="center"/>
      <protection hidden="1"/>
    </xf>
    <xf numFmtId="165" fontId="30" fillId="3" borderId="13" xfId="0" applyNumberFormat="1" applyFont="1" applyFill="1" applyBorder="1" applyAlignment="1" applyProtection="1">
      <alignment horizontal="center"/>
      <protection hidden="1"/>
    </xf>
    <xf numFmtId="11" fontId="0" fillId="3" borderId="13" xfId="0" applyNumberFormat="1" applyFill="1" applyBorder="1" applyAlignment="1" applyProtection="1">
      <alignment horizontal="center"/>
      <protection hidden="1"/>
    </xf>
    <xf numFmtId="166" fontId="0" fillId="3" borderId="13" xfId="0" applyNumberFormat="1" applyFill="1" applyBorder="1" applyAlignment="1" applyProtection="1">
      <alignment horizontal="center"/>
      <protection hidden="1"/>
    </xf>
    <xf numFmtId="4" fontId="0" fillId="21" borderId="13" xfId="0" applyNumberFormat="1" applyFill="1" applyBorder="1" applyAlignment="1" applyProtection="1">
      <alignment horizontal="center"/>
      <protection hidden="1"/>
    </xf>
    <xf numFmtId="0" fontId="0" fillId="21" borderId="18" xfId="0" applyFill="1" applyBorder="1" applyAlignment="1" applyProtection="1">
      <alignment horizontal="center"/>
      <protection hidden="1"/>
    </xf>
    <xf numFmtId="0" fontId="0" fillId="2" borderId="18" xfId="0" applyFill="1" applyBorder="1" applyAlignment="1" applyProtection="1">
      <alignment horizontal="center"/>
      <protection locked="0" hidden="1"/>
    </xf>
    <xf numFmtId="2" fontId="0" fillId="2" borderId="18" xfId="0" applyNumberFormat="1" applyFill="1" applyBorder="1" applyAlignment="1" applyProtection="1">
      <alignment horizontal="center"/>
      <protection hidden="1"/>
    </xf>
    <xf numFmtId="3" fontId="0" fillId="2" borderId="18" xfId="0" applyNumberFormat="1" applyFill="1" applyBorder="1" applyAlignment="1" applyProtection="1">
      <alignment horizontal="center"/>
      <protection hidden="1"/>
    </xf>
    <xf numFmtId="165" fontId="30" fillId="2" borderId="18" xfId="0" applyNumberFormat="1" applyFont="1" applyFill="1" applyBorder="1" applyAlignment="1" applyProtection="1">
      <alignment horizontal="center"/>
      <protection hidden="1"/>
    </xf>
    <xf numFmtId="11" fontId="0" fillId="2" borderId="18" xfId="0" applyNumberFormat="1" applyFill="1" applyBorder="1" applyAlignment="1" applyProtection="1">
      <alignment horizontal="center"/>
      <protection hidden="1"/>
    </xf>
    <xf numFmtId="166" fontId="0" fillId="2" borderId="18" xfId="0" applyNumberFormat="1" applyFill="1" applyBorder="1" applyAlignment="1" applyProtection="1">
      <alignment horizontal="center"/>
      <protection hidden="1"/>
    </xf>
    <xf numFmtId="0" fontId="0" fillId="2" borderId="31" xfId="0" applyFill="1" applyBorder="1" applyAlignment="1" applyProtection="1">
      <alignment horizontal="center"/>
      <protection hidden="1"/>
    </xf>
    <xf numFmtId="0" fontId="0" fillId="15" borderId="14" xfId="0" applyFill="1" applyBorder="1" applyAlignment="1" applyProtection="1">
      <alignment horizontal="center"/>
      <protection hidden="1"/>
    </xf>
    <xf numFmtId="0" fontId="0" fillId="15" borderId="15" xfId="0" applyFill="1" applyBorder="1" applyAlignment="1" applyProtection="1">
      <alignment horizontal="center"/>
      <protection hidden="1"/>
    </xf>
    <xf numFmtId="1" fontId="16" fillId="15" borderId="15" xfId="0" applyNumberFormat="1" applyFont="1" applyFill="1" applyBorder="1" applyAlignment="1" applyProtection="1">
      <alignment horizontal="center"/>
      <protection hidden="1"/>
    </xf>
    <xf numFmtId="0" fontId="0" fillId="21" borderId="18" xfId="0" applyFill="1" applyBorder="1" applyProtection="1">
      <protection hidden="1"/>
    </xf>
    <xf numFmtId="0" fontId="0" fillId="2" borderId="31" xfId="0" applyFill="1" applyBorder="1" applyProtection="1">
      <protection hidden="1"/>
    </xf>
    <xf numFmtId="0" fontId="0" fillId="3" borderId="22" xfId="0" applyFill="1" applyBorder="1" applyAlignment="1" applyProtection="1">
      <alignment horizontal="center"/>
      <protection hidden="1"/>
    </xf>
    <xf numFmtId="0" fontId="0" fillId="3" borderId="32" xfId="0" applyFill="1" applyBorder="1" applyProtection="1">
      <protection hidden="1"/>
    </xf>
    <xf numFmtId="0" fontId="0" fillId="3" borderId="23" xfId="0" applyFill="1" applyBorder="1" applyAlignment="1" applyProtection="1">
      <alignment horizontal="center"/>
      <protection hidden="1"/>
    </xf>
    <xf numFmtId="0" fontId="0" fillId="3" borderId="24" xfId="0" applyFill="1" applyBorder="1" applyAlignment="1" applyProtection="1">
      <alignment horizontal="center"/>
      <protection hidden="1"/>
    </xf>
    <xf numFmtId="0" fontId="0" fillId="3" borderId="28" xfId="0" applyFill="1" applyBorder="1" applyAlignment="1" applyProtection="1">
      <alignment horizontal="center"/>
      <protection hidden="1"/>
    </xf>
    <xf numFmtId="0" fontId="0" fillId="3" borderId="30" xfId="0" applyFill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locked="0" hidden="1"/>
    </xf>
    <xf numFmtId="0" fontId="0" fillId="22" borderId="34" xfId="0" applyFill="1" applyBorder="1" applyProtection="1">
      <protection hidden="1"/>
    </xf>
    <xf numFmtId="0" fontId="0" fillId="22" borderId="35" xfId="0" applyFill="1" applyBorder="1" applyAlignment="1" applyProtection="1">
      <alignment horizontal="center" vertical="center"/>
      <protection hidden="1"/>
    </xf>
    <xf numFmtId="0" fontId="0" fillId="22" borderId="36" xfId="0" applyFill="1" applyBorder="1" applyProtection="1">
      <protection hidden="1"/>
    </xf>
    <xf numFmtId="0" fontId="0" fillId="22" borderId="16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26" xfId="0" applyFill="1" applyBorder="1" applyAlignment="1" applyProtection="1">
      <alignment horizontal="center"/>
      <protection hidden="1"/>
    </xf>
    <xf numFmtId="164" fontId="0" fillId="9" borderId="34" xfId="0" applyNumberFormat="1" applyFill="1" applyBorder="1" applyAlignment="1" applyProtection="1">
      <alignment horizontal="center" vertical="center"/>
      <protection hidden="1"/>
    </xf>
    <xf numFmtId="0" fontId="0" fillId="9" borderId="35" xfId="0" applyFill="1" applyBorder="1" applyAlignment="1" applyProtection="1">
      <alignment horizontal="center" vertical="center"/>
      <protection hidden="1"/>
    </xf>
    <xf numFmtId="2" fontId="0" fillId="9" borderId="35" xfId="0" applyNumberFormat="1" applyFill="1" applyBorder="1" applyAlignment="1" applyProtection="1">
      <alignment horizontal="center" vertical="center"/>
      <protection hidden="1"/>
    </xf>
    <xf numFmtId="0" fontId="0" fillId="9" borderId="38" xfId="0" applyFill="1" applyBorder="1" applyAlignment="1" applyProtection="1">
      <alignment horizontal="center" vertic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0" fillId="15" borderId="35" xfId="0" applyFill="1" applyBorder="1" applyAlignment="1" applyProtection="1">
      <alignment horizontal="center"/>
      <protection hidden="1"/>
    </xf>
    <xf numFmtId="0" fontId="0" fillId="2" borderId="18" xfId="0" applyFill="1" applyBorder="1" applyAlignment="1" applyProtection="1">
      <alignment horizontal="center"/>
      <protection hidden="1"/>
    </xf>
    <xf numFmtId="0" fontId="0" fillId="2" borderId="25" xfId="0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center"/>
      <protection locked="0" hidden="1"/>
    </xf>
    <xf numFmtId="0" fontId="0" fillId="3" borderId="23" xfId="0" applyFill="1" applyBorder="1" applyAlignment="1" applyProtection="1">
      <alignment horizontal="center" vertical="center"/>
      <protection hidden="1"/>
    </xf>
    <xf numFmtId="0" fontId="0" fillId="2" borderId="23" xfId="0" applyFill="1" applyBorder="1" applyAlignment="1" applyProtection="1">
      <alignment horizontal="center"/>
      <protection hidden="1"/>
    </xf>
    <xf numFmtId="0" fontId="0" fillId="2" borderId="23" xfId="0" applyFill="1" applyBorder="1" applyProtection="1">
      <protection locked="0" hidden="1"/>
    </xf>
    <xf numFmtId="0" fontId="0" fillId="4" borderId="5" xfId="0" applyFill="1" applyBorder="1" applyProtection="1"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4" borderId="7" xfId="0" applyFill="1" applyBorder="1" applyProtection="1">
      <protection hidden="1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1" fontId="16" fillId="3" borderId="9" xfId="0" applyNumberFormat="1" applyFont="1" applyFill="1" applyBorder="1" applyAlignment="1" applyProtection="1">
      <alignment horizontal="center"/>
      <protection hidden="1"/>
    </xf>
    <xf numFmtId="0" fontId="52" fillId="4" borderId="0" xfId="0" applyFont="1" applyFill="1" applyProtection="1">
      <protection locked="0" hidden="1"/>
    </xf>
    <xf numFmtId="0" fontId="0" fillId="20" borderId="13" xfId="0" applyFill="1" applyBorder="1" applyProtection="1">
      <protection hidden="1"/>
    </xf>
    <xf numFmtId="0" fontId="0" fillId="20" borderId="13" xfId="0" applyFill="1" applyBorder="1" applyAlignment="1" applyProtection="1">
      <alignment horizontal="center"/>
      <protection hidden="1"/>
    </xf>
    <xf numFmtId="0" fontId="20" fillId="20" borderId="13" xfId="0" applyFont="1" applyFill="1" applyBorder="1" applyAlignment="1" applyProtection="1">
      <alignment horizontal="center"/>
      <protection hidden="1"/>
    </xf>
    <xf numFmtId="164" fontId="53" fillId="2" borderId="0" xfId="0" applyNumberFormat="1" applyFont="1" applyFill="1" applyAlignment="1" applyProtection="1">
      <alignment horizontal="left"/>
      <protection hidden="1"/>
    </xf>
    <xf numFmtId="3" fontId="53" fillId="2" borderId="0" xfId="0" applyNumberFormat="1" applyFont="1" applyFill="1" applyAlignment="1" applyProtection="1">
      <alignment horizontal="left"/>
      <protection hidden="1"/>
    </xf>
    <xf numFmtId="0" fontId="0" fillId="3" borderId="13" xfId="0" applyFill="1" applyBorder="1" applyAlignment="1" applyProtection="1">
      <alignment horizontal="left"/>
      <protection hidden="1"/>
    </xf>
    <xf numFmtId="0" fontId="0" fillId="5" borderId="1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12" fillId="3" borderId="10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0" fontId="30" fillId="2" borderId="4" xfId="0" applyFont="1" applyFill="1" applyBorder="1" applyAlignment="1" applyProtection="1">
      <alignment horizontal="left" vertical="center" wrapText="1"/>
      <protection hidden="1"/>
    </xf>
    <xf numFmtId="0" fontId="30" fillId="2" borderId="0" xfId="0" applyFont="1" applyFill="1" applyAlignment="1" applyProtection="1">
      <alignment horizontal="left" vertical="center" wrapText="1"/>
      <protection hidden="1"/>
    </xf>
    <xf numFmtId="0" fontId="30" fillId="2" borderId="5" xfId="0" applyFont="1" applyFill="1" applyBorder="1" applyAlignment="1" applyProtection="1">
      <alignment horizontal="left" vertical="center" wrapText="1"/>
      <protection hidden="1"/>
    </xf>
    <xf numFmtId="0" fontId="0" fillId="2" borderId="18" xfId="0" applyFill="1" applyBorder="1" applyAlignment="1" applyProtection="1">
      <alignment horizontal="center"/>
      <protection hidden="1"/>
    </xf>
    <xf numFmtId="0" fontId="0" fillId="2" borderId="25" xfId="0" applyFill="1" applyBorder="1" applyAlignment="1" applyProtection="1">
      <alignment horizontal="center"/>
      <protection hidden="1"/>
    </xf>
    <xf numFmtId="0" fontId="13" fillId="2" borderId="0" xfId="0" applyFont="1" applyFill="1" applyAlignment="1" applyProtection="1">
      <alignment horizontal="left"/>
      <protection hidden="1"/>
    </xf>
    <xf numFmtId="0" fontId="19" fillId="5" borderId="15" xfId="0" applyFont="1" applyFill="1" applyBorder="1" applyAlignment="1" applyProtection="1">
      <alignment horizontal="center" textRotation="180"/>
      <protection hidden="1"/>
    </xf>
    <xf numFmtId="0" fontId="19" fillId="5" borderId="16" xfId="0" applyFont="1" applyFill="1" applyBorder="1" applyAlignment="1" applyProtection="1">
      <alignment horizontal="center" textRotation="180"/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0" fillId="5" borderId="15" xfId="0" applyFill="1" applyBorder="1" applyAlignment="1" applyProtection="1">
      <alignment horizontal="center" vertical="center" textRotation="180"/>
      <protection hidden="1"/>
    </xf>
    <xf numFmtId="0" fontId="18" fillId="2" borderId="1" xfId="0" applyFont="1" applyFill="1" applyBorder="1" applyAlignment="1" applyProtection="1">
      <alignment horizontal="justify" vertical="top" wrapText="1"/>
      <protection hidden="1"/>
    </xf>
    <xf numFmtId="0" fontId="18" fillId="2" borderId="2" xfId="0" applyFont="1" applyFill="1" applyBorder="1" applyAlignment="1" applyProtection="1">
      <alignment horizontal="justify" vertical="top" wrapText="1"/>
      <protection hidden="1"/>
    </xf>
    <xf numFmtId="0" fontId="18" fillId="2" borderId="3" xfId="0" applyFont="1" applyFill="1" applyBorder="1" applyAlignment="1" applyProtection="1">
      <alignment horizontal="justify" vertical="top" wrapText="1"/>
      <protection hidden="1"/>
    </xf>
    <xf numFmtId="0" fontId="18" fillId="2" borderId="4" xfId="0" applyFont="1" applyFill="1" applyBorder="1" applyAlignment="1" applyProtection="1">
      <alignment horizontal="justify" vertical="top" wrapText="1"/>
      <protection hidden="1"/>
    </xf>
    <xf numFmtId="0" fontId="18" fillId="2" borderId="0" xfId="0" applyFont="1" applyFill="1" applyAlignment="1" applyProtection="1">
      <alignment horizontal="justify" vertical="top" wrapText="1"/>
      <protection hidden="1"/>
    </xf>
    <xf numFmtId="0" fontId="18" fillId="2" borderId="5" xfId="0" applyFont="1" applyFill="1" applyBorder="1" applyAlignment="1" applyProtection="1">
      <alignment horizontal="justify" vertical="top" wrapText="1"/>
      <protection hidden="1"/>
    </xf>
    <xf numFmtId="165" fontId="34" fillId="2" borderId="0" xfId="0" applyNumberFormat="1" applyFont="1" applyFill="1" applyAlignment="1" applyProtection="1">
      <alignment horizontal="center"/>
      <protection hidden="1"/>
    </xf>
    <xf numFmtId="2" fontId="29" fillId="2" borderId="7" xfId="0" applyNumberFormat="1" applyFont="1" applyFill="1" applyBorder="1" applyAlignment="1" applyProtection="1">
      <alignment horizontal="left"/>
      <protection hidden="1"/>
    </xf>
    <xf numFmtId="0" fontId="34" fillId="2" borderId="0" xfId="0" applyFont="1" applyFill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right"/>
      <protection hidden="1"/>
    </xf>
    <xf numFmtId="0" fontId="0" fillId="2" borderId="0" xfId="0" applyFill="1" applyAlignment="1" applyProtection="1">
      <alignment horizontal="right"/>
      <protection hidden="1"/>
    </xf>
    <xf numFmtId="0" fontId="0" fillId="2" borderId="6" xfId="0" applyFill="1" applyBorder="1" applyAlignment="1" applyProtection="1">
      <alignment horizontal="right"/>
      <protection hidden="1"/>
    </xf>
    <xf numFmtId="0" fontId="0" fillId="2" borderId="7" xfId="0" applyFill="1" applyBorder="1" applyAlignment="1" applyProtection="1">
      <alignment horizontal="right"/>
      <protection hidden="1"/>
    </xf>
    <xf numFmtId="0" fontId="55" fillId="2" borderId="0" xfId="0" applyFont="1" applyFill="1" applyAlignment="1" applyProtection="1">
      <alignment horizontal="left"/>
      <protection hidden="1"/>
    </xf>
    <xf numFmtId="0" fontId="20" fillId="2" borderId="0" xfId="0" applyFont="1" applyFill="1" applyAlignment="1">
      <alignment horizontal="center"/>
    </xf>
    <xf numFmtId="0" fontId="0" fillId="2" borderId="14" xfId="0" applyFill="1" applyBorder="1" applyAlignment="1">
      <alignment horizontal="center" vertical="center" textRotation="90"/>
    </xf>
    <xf numFmtId="0" fontId="0" fillId="2" borderId="15" xfId="0" applyFill="1" applyBorder="1" applyAlignment="1">
      <alignment horizontal="center" vertical="center" textRotation="90"/>
    </xf>
    <xf numFmtId="0" fontId="0" fillId="2" borderId="16" xfId="0" applyFill="1" applyBorder="1" applyAlignment="1">
      <alignment horizontal="center" vertical="center" textRotation="90"/>
    </xf>
    <xf numFmtId="0" fontId="20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3" borderId="13" xfId="0" applyNumberForma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4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1"/>
      </font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D9D9D9"/>
      <color rgb="FF00FFFF"/>
      <color rgb="FF66FFFF"/>
      <color rgb="FFFFFFFF"/>
      <color rgb="FFFFCCFF"/>
      <color rgb="FFCC99FF"/>
      <color rgb="FFFF66CC"/>
      <color rgb="FF9966FF"/>
      <color rgb="FF99CCFF"/>
      <color rgb="FFCF51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Link="$D$9" fmlaRange="$AL$32:$AL$35" sel="2" val="0"/>
</file>

<file path=xl/ctrlProps/ctrlProp10.xml><?xml version="1.0" encoding="utf-8"?>
<formControlPr xmlns="http://schemas.microsoft.com/office/spreadsheetml/2009/9/main" objectType="CheckBox" checked="Checked" fmlaLink="$C$12" lockText="1"/>
</file>

<file path=xl/ctrlProps/ctrlProp11.xml><?xml version="1.0" encoding="utf-8"?>
<formControlPr xmlns="http://schemas.microsoft.com/office/spreadsheetml/2009/9/main" objectType="CheckBox" fmlaLink="$AL$27" lockText="1"/>
</file>

<file path=xl/ctrlProps/ctrlProp12.xml><?xml version="1.0" encoding="utf-8"?>
<formControlPr xmlns="http://schemas.microsoft.com/office/spreadsheetml/2009/9/main" objectType="Drop" dropStyle="combo" dx="16" fmlaLink="$C$11" fmlaRange="$AM$15:$AM$21" noThreeD="1" sel="5" val="0"/>
</file>

<file path=xl/ctrlProps/ctrlProp13.xml><?xml version="1.0" encoding="utf-8"?>
<formControlPr xmlns="http://schemas.microsoft.com/office/spreadsheetml/2009/9/main" objectType="Radio" firstButton="1" fmlaLink="$E$10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Drop" dropStyle="combo" dx="16" fmlaLink="$D$11" fmlaRange="$AL$7:$AL$9" sel="2" val="0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CheckBox" checked="Checked" fmlaLink="$C$16" lockText="1"/>
</file>

<file path=xl/ctrlProps/ctrlProp22.xml><?xml version="1.0" encoding="utf-8"?>
<formControlPr xmlns="http://schemas.microsoft.com/office/spreadsheetml/2009/9/main" objectType="CheckBox" checked="Checked" fmlaLink="$C$17" lockText="1"/>
</file>

<file path=xl/ctrlProps/ctrlProp23.xml><?xml version="1.0" encoding="utf-8"?>
<formControlPr xmlns="http://schemas.microsoft.com/office/spreadsheetml/2009/9/main" objectType="CheckBox" checked="Checked" fmlaLink="$C$18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CheckBox" checked="Checked" fmlaLink="$W$12" lockText="1"/>
</file>

<file path=xl/ctrlProps/ctrlProp26.xml><?xml version="1.0" encoding="utf-8"?>
<formControlPr xmlns="http://schemas.microsoft.com/office/spreadsheetml/2009/9/main" objectType="CheckBox" fmlaLink="$W$13" lockText="1"/>
</file>

<file path=xl/ctrlProps/ctrlProp27.xml><?xml version="1.0" encoding="utf-8"?>
<formControlPr xmlns="http://schemas.microsoft.com/office/spreadsheetml/2009/9/main" objectType="Spin" dx="22" fmlaLink="$Y$23" max="2" page="10" val="2"/>
</file>

<file path=xl/ctrlProps/ctrlProp28.xml><?xml version="1.0" encoding="utf-8"?>
<formControlPr xmlns="http://schemas.microsoft.com/office/spreadsheetml/2009/9/main" objectType="CheckBox" checked="Checked" fmlaLink="$AD$11" lockText="1"/>
</file>

<file path=xl/ctrlProps/ctrlProp29.xml><?xml version="1.0" encoding="utf-8"?>
<formControlPr xmlns="http://schemas.microsoft.com/office/spreadsheetml/2009/9/main" objectType="CheckBox" checked="Checked" fmlaLink="$AD$13" lockText="1"/>
</file>

<file path=xl/ctrlProps/ctrlProp3.xml><?xml version="1.0" encoding="utf-8"?>
<formControlPr xmlns="http://schemas.microsoft.com/office/spreadsheetml/2009/9/main" objectType="Drop" dropStyle="combo" dx="16" fmlaLink="$J$4" fmlaRange="$AQ$3:$AQ$13" sel="2"/>
</file>

<file path=xl/ctrlProps/ctrlProp30.xml><?xml version="1.0" encoding="utf-8"?>
<formControlPr xmlns="http://schemas.microsoft.com/office/spreadsheetml/2009/9/main" objectType="CheckBox" checked="Checked" fmlaLink="$AD$14" lockText="1"/>
</file>

<file path=xl/ctrlProps/ctrlProp31.xml><?xml version="1.0" encoding="utf-8"?>
<formControlPr xmlns="http://schemas.microsoft.com/office/spreadsheetml/2009/9/main" objectType="CheckBox" checked="Checked" fmlaLink="$AD$12" lockText="1"/>
</file>

<file path=xl/ctrlProps/ctrlProp32.xml><?xml version="1.0" encoding="utf-8"?>
<formControlPr xmlns="http://schemas.microsoft.com/office/spreadsheetml/2009/9/main" objectType="CheckBox" checked="Checked" fmlaLink="$AD$16" lockText="1"/>
</file>

<file path=xl/ctrlProps/ctrlProp33.xml><?xml version="1.0" encoding="utf-8"?>
<formControlPr xmlns="http://schemas.microsoft.com/office/spreadsheetml/2009/9/main" objectType="CheckBox" checked="Checked" fmlaLink="$AD$10" lockText="1"/>
</file>

<file path=xl/ctrlProps/ctrlProp34.xml><?xml version="1.0" encoding="utf-8"?>
<formControlPr xmlns="http://schemas.microsoft.com/office/spreadsheetml/2009/9/main" objectType="CheckBox" checked="Checked" fmlaLink="$AD$15" lockText="1"/>
</file>

<file path=xl/ctrlProps/ctrlProp35.xml><?xml version="1.0" encoding="utf-8"?>
<formControlPr xmlns="http://schemas.microsoft.com/office/spreadsheetml/2009/9/main" objectType="CheckBox" checked="Checked" fmlaLink="$AD$9" lockText="1"/>
</file>

<file path=xl/ctrlProps/ctrlProp36.xml><?xml version="1.0" encoding="utf-8"?>
<formControlPr xmlns="http://schemas.microsoft.com/office/spreadsheetml/2009/9/main" objectType="Radio" lockText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Radio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Drop" dropLines="9" dropStyle="combo" dx="16" fmlaLink="$D$10" fmlaRange="$AN$4:$AN$13" sel="8"/>
</file>

<file path=xl/ctrlProps/ctrlProp40.xml><?xml version="1.0" encoding="utf-8"?>
<formControlPr xmlns="http://schemas.microsoft.com/office/spreadsheetml/2009/9/main" objectType="Radio" checked="Checked" lockText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Radio" lockText="1"/>
</file>

<file path=xl/ctrlProps/ctrlProp43.xml><?xml version="1.0" encoding="utf-8"?>
<formControlPr xmlns="http://schemas.microsoft.com/office/spreadsheetml/2009/9/main" objectType="Radio" lockText="1"/>
</file>

<file path=xl/ctrlProps/ctrlProp44.xml><?xml version="1.0" encoding="utf-8"?>
<formControlPr xmlns="http://schemas.microsoft.com/office/spreadsheetml/2009/9/main" objectType="Radio" lockText="1"/>
</file>

<file path=xl/ctrlProps/ctrlProp45.xml><?xml version="1.0" encoding="utf-8"?>
<formControlPr xmlns="http://schemas.microsoft.com/office/spreadsheetml/2009/9/main" objectType="Radio" lockText="1"/>
</file>

<file path=xl/ctrlProps/ctrlProp46.xml><?xml version="1.0" encoding="utf-8"?>
<formControlPr xmlns="http://schemas.microsoft.com/office/spreadsheetml/2009/9/main" objectType="Radio" lockText="1"/>
</file>

<file path=xl/ctrlProps/ctrlProp47.xml><?xml version="1.0" encoding="utf-8"?>
<formControlPr xmlns="http://schemas.microsoft.com/office/spreadsheetml/2009/9/main" objectType="Radio" lockText="1"/>
</file>

<file path=xl/ctrlProps/ctrlProp48.xml><?xml version="1.0" encoding="utf-8"?>
<formControlPr xmlns="http://schemas.microsoft.com/office/spreadsheetml/2009/9/main" objectType="CheckBox" checked="Checked" fmlaLink="$AD$5" lockText="1"/>
</file>

<file path=xl/ctrlProps/ctrlProp49.xml><?xml version="1.0" encoding="utf-8"?>
<formControlPr xmlns="http://schemas.microsoft.com/office/spreadsheetml/2009/9/main" objectType="CheckBox" checked="Checked" fmlaLink="$AD$6" lockText="1"/>
</file>

<file path=xl/ctrlProps/ctrlProp5.xml><?xml version="1.0" encoding="utf-8"?>
<formControlPr xmlns="http://schemas.microsoft.com/office/spreadsheetml/2009/9/main" objectType="CheckBox" checked="Checked" fmlaLink="$R$23" lockText="1"/>
</file>

<file path=xl/ctrlProps/ctrlProp50.xml><?xml version="1.0" encoding="utf-8"?>
<formControlPr xmlns="http://schemas.microsoft.com/office/spreadsheetml/2009/9/main" objectType="CheckBox" checked="Checked" fmlaLink="$AD$7" lockText="1"/>
</file>

<file path=xl/ctrlProps/ctrlProp51.xml><?xml version="1.0" encoding="utf-8"?>
<formControlPr xmlns="http://schemas.microsoft.com/office/spreadsheetml/2009/9/main" objectType="CheckBox" checked="Checked" fmlaLink="$AD$8" lockText="1"/>
</file>

<file path=xl/ctrlProps/ctrlProp6.xml><?xml version="1.0" encoding="utf-8"?>
<formControlPr xmlns="http://schemas.microsoft.com/office/spreadsheetml/2009/9/main" objectType="CheckBox" checked="Checked" fmlaLink="$R$20" lockText="1"/>
</file>

<file path=xl/ctrlProps/ctrlProp7.xml><?xml version="1.0" encoding="utf-8"?>
<formControlPr xmlns="http://schemas.microsoft.com/office/spreadsheetml/2009/9/main" objectType="CheckBox" checked="Checked" fmlaLink="$R$22" lockText="1"/>
</file>

<file path=xl/ctrlProps/ctrlProp8.xml><?xml version="1.0" encoding="utf-8"?>
<formControlPr xmlns="http://schemas.microsoft.com/office/spreadsheetml/2009/9/main" objectType="CheckBox" checked="Checked" fmlaLink="$Q$24" lockText="1"/>
</file>

<file path=xl/ctrlProps/ctrlProp9.xml><?xml version="1.0" encoding="utf-8"?>
<formControlPr xmlns="http://schemas.microsoft.com/office/spreadsheetml/2009/9/main" objectType="Spin" dx="22" fmlaLink="$AB$3" max="1" page="1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18" Type="http://schemas.openxmlformats.org/officeDocument/2006/relationships/hyperlink" Target="Elektrolisis%20H2SO4_Cu.mp4" TargetMode="External"/><Relationship Id="rId26" Type="http://schemas.openxmlformats.org/officeDocument/2006/relationships/image" Target="../media/image22.emf"/><Relationship Id="rId3" Type="http://schemas.openxmlformats.org/officeDocument/2006/relationships/image" Target="../media/image4.png"/><Relationship Id="rId21" Type="http://schemas.openxmlformats.org/officeDocument/2006/relationships/image" Target="../media/image17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hyperlink" Target="Elektrolisis_Penyepuhan%20Emas.mpg" TargetMode="External"/><Relationship Id="rId25" Type="http://schemas.openxmlformats.org/officeDocument/2006/relationships/image" Target="../media/image21.emf"/><Relationship Id="rId2" Type="http://schemas.openxmlformats.org/officeDocument/2006/relationships/image" Target="../media/image3.png"/><Relationship Id="rId16" Type="http://schemas.openxmlformats.org/officeDocument/2006/relationships/hyperlink" Target="Elektrolisis%20Larutan%20NaCl.mp4" TargetMode="External"/><Relationship Id="rId20" Type="http://schemas.openxmlformats.org/officeDocument/2006/relationships/image" Target="../media/image16.emf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0.emf"/><Relationship Id="rId5" Type="http://schemas.openxmlformats.org/officeDocument/2006/relationships/image" Target="../media/image6.emf"/><Relationship Id="rId15" Type="http://schemas.openxmlformats.org/officeDocument/2006/relationships/hyperlink" Target="Elektrolisis%20Larutan%20CuSO4.mp4" TargetMode="External"/><Relationship Id="rId23" Type="http://schemas.openxmlformats.org/officeDocument/2006/relationships/image" Target="../media/image19.emf"/><Relationship Id="rId28" Type="http://schemas.openxmlformats.org/officeDocument/2006/relationships/image" Target="../media/image24.emf"/><Relationship Id="rId10" Type="http://schemas.openxmlformats.org/officeDocument/2006/relationships/image" Target="../media/image11.emf"/><Relationship Id="rId19" Type="http://schemas.openxmlformats.org/officeDocument/2006/relationships/image" Target="../media/image15.emf"/><Relationship Id="rId4" Type="http://schemas.openxmlformats.org/officeDocument/2006/relationships/image" Target="../media/image5.jpeg"/><Relationship Id="rId9" Type="http://schemas.openxmlformats.org/officeDocument/2006/relationships/image" Target="../media/image10.emf"/><Relationship Id="rId14" Type="http://schemas.openxmlformats.org/officeDocument/2006/relationships/hyperlink" Target="https://www.youtube.com/watch?v=GLE_CrtCA4U" TargetMode="External"/><Relationship Id="rId22" Type="http://schemas.openxmlformats.org/officeDocument/2006/relationships/image" Target="../media/image18.emf"/><Relationship Id="rId27" Type="http://schemas.openxmlformats.org/officeDocument/2006/relationships/image" Target="../media/image23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13" Type="http://schemas.openxmlformats.org/officeDocument/2006/relationships/image" Target="../media/image56.png"/><Relationship Id="rId18" Type="http://schemas.openxmlformats.org/officeDocument/2006/relationships/image" Target="../media/image61.png"/><Relationship Id="rId26" Type="http://schemas.openxmlformats.org/officeDocument/2006/relationships/image" Target="../media/image69.png"/><Relationship Id="rId3" Type="http://schemas.openxmlformats.org/officeDocument/2006/relationships/image" Target="../media/image46.png"/><Relationship Id="rId21" Type="http://schemas.openxmlformats.org/officeDocument/2006/relationships/image" Target="../media/image64.png"/><Relationship Id="rId7" Type="http://schemas.openxmlformats.org/officeDocument/2006/relationships/image" Target="../media/image50.png"/><Relationship Id="rId12" Type="http://schemas.openxmlformats.org/officeDocument/2006/relationships/image" Target="../media/image55.png"/><Relationship Id="rId17" Type="http://schemas.openxmlformats.org/officeDocument/2006/relationships/image" Target="../media/image60.png"/><Relationship Id="rId25" Type="http://schemas.openxmlformats.org/officeDocument/2006/relationships/image" Target="../media/image68.png"/><Relationship Id="rId2" Type="http://schemas.openxmlformats.org/officeDocument/2006/relationships/image" Target="../media/image45.png"/><Relationship Id="rId16" Type="http://schemas.openxmlformats.org/officeDocument/2006/relationships/image" Target="../media/image59.png"/><Relationship Id="rId20" Type="http://schemas.openxmlformats.org/officeDocument/2006/relationships/image" Target="../media/image63.png"/><Relationship Id="rId29" Type="http://schemas.openxmlformats.org/officeDocument/2006/relationships/image" Target="../media/image72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11" Type="http://schemas.openxmlformats.org/officeDocument/2006/relationships/image" Target="../media/image54.png"/><Relationship Id="rId24" Type="http://schemas.openxmlformats.org/officeDocument/2006/relationships/image" Target="../media/image67.png"/><Relationship Id="rId5" Type="http://schemas.openxmlformats.org/officeDocument/2006/relationships/image" Target="../media/image48.png"/><Relationship Id="rId15" Type="http://schemas.openxmlformats.org/officeDocument/2006/relationships/image" Target="../media/image58.png"/><Relationship Id="rId23" Type="http://schemas.openxmlformats.org/officeDocument/2006/relationships/image" Target="../media/image66.png"/><Relationship Id="rId28" Type="http://schemas.openxmlformats.org/officeDocument/2006/relationships/image" Target="../media/image71.png"/><Relationship Id="rId10" Type="http://schemas.openxmlformats.org/officeDocument/2006/relationships/image" Target="../media/image53.png"/><Relationship Id="rId19" Type="http://schemas.openxmlformats.org/officeDocument/2006/relationships/image" Target="../media/image62.png"/><Relationship Id="rId4" Type="http://schemas.openxmlformats.org/officeDocument/2006/relationships/image" Target="../media/image47.png"/><Relationship Id="rId9" Type="http://schemas.openxmlformats.org/officeDocument/2006/relationships/image" Target="../media/image52.png"/><Relationship Id="rId14" Type="http://schemas.openxmlformats.org/officeDocument/2006/relationships/image" Target="../media/image57.png"/><Relationship Id="rId22" Type="http://schemas.openxmlformats.org/officeDocument/2006/relationships/image" Target="../media/image65.png"/><Relationship Id="rId27" Type="http://schemas.openxmlformats.org/officeDocument/2006/relationships/image" Target="../media/image7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3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6.png"/><Relationship Id="rId18" Type="http://schemas.openxmlformats.org/officeDocument/2006/relationships/image" Target="../media/image91.png"/><Relationship Id="rId26" Type="http://schemas.openxmlformats.org/officeDocument/2006/relationships/image" Target="../media/image99.png"/><Relationship Id="rId39" Type="http://schemas.openxmlformats.org/officeDocument/2006/relationships/image" Target="../media/image112.png"/><Relationship Id="rId21" Type="http://schemas.openxmlformats.org/officeDocument/2006/relationships/image" Target="../media/image94.png"/><Relationship Id="rId34" Type="http://schemas.openxmlformats.org/officeDocument/2006/relationships/image" Target="../media/image107.png"/><Relationship Id="rId42" Type="http://schemas.openxmlformats.org/officeDocument/2006/relationships/image" Target="../media/image114.png"/><Relationship Id="rId47" Type="http://schemas.openxmlformats.org/officeDocument/2006/relationships/hyperlink" Target="#'CONTOH REAKSI'!A1"/><Relationship Id="rId50" Type="http://schemas.openxmlformats.org/officeDocument/2006/relationships/image" Target="../media/image119.png"/><Relationship Id="rId55" Type="http://schemas.openxmlformats.org/officeDocument/2006/relationships/image" Target="../media/image124.png"/><Relationship Id="rId7" Type="http://schemas.openxmlformats.org/officeDocument/2006/relationships/image" Target="../media/image80.png"/><Relationship Id="rId2" Type="http://schemas.openxmlformats.org/officeDocument/2006/relationships/image" Target="../media/image75.png"/><Relationship Id="rId16" Type="http://schemas.openxmlformats.org/officeDocument/2006/relationships/image" Target="../media/image89.png"/><Relationship Id="rId29" Type="http://schemas.openxmlformats.org/officeDocument/2006/relationships/image" Target="../media/image102.png"/><Relationship Id="rId11" Type="http://schemas.openxmlformats.org/officeDocument/2006/relationships/image" Target="../media/image84.png"/><Relationship Id="rId24" Type="http://schemas.openxmlformats.org/officeDocument/2006/relationships/image" Target="../media/image97.png"/><Relationship Id="rId32" Type="http://schemas.openxmlformats.org/officeDocument/2006/relationships/image" Target="../media/image105.png"/><Relationship Id="rId37" Type="http://schemas.openxmlformats.org/officeDocument/2006/relationships/image" Target="../media/image110.png"/><Relationship Id="rId40" Type="http://schemas.openxmlformats.org/officeDocument/2006/relationships/image" Target="../media/image113.png"/><Relationship Id="rId45" Type="http://schemas.openxmlformats.org/officeDocument/2006/relationships/image" Target="../media/image116.jpeg"/><Relationship Id="rId53" Type="http://schemas.openxmlformats.org/officeDocument/2006/relationships/image" Target="../media/image122.png"/><Relationship Id="rId58" Type="http://schemas.openxmlformats.org/officeDocument/2006/relationships/image" Target="../media/image127.png"/><Relationship Id="rId5" Type="http://schemas.openxmlformats.org/officeDocument/2006/relationships/image" Target="../media/image78.png"/><Relationship Id="rId19" Type="http://schemas.openxmlformats.org/officeDocument/2006/relationships/image" Target="../media/image92.png"/><Relationship Id="rId4" Type="http://schemas.openxmlformats.org/officeDocument/2006/relationships/image" Target="../media/image77.png"/><Relationship Id="rId9" Type="http://schemas.openxmlformats.org/officeDocument/2006/relationships/image" Target="../media/image82.png"/><Relationship Id="rId14" Type="http://schemas.openxmlformats.org/officeDocument/2006/relationships/image" Target="../media/image87.png"/><Relationship Id="rId22" Type="http://schemas.openxmlformats.org/officeDocument/2006/relationships/image" Target="../media/image95.png"/><Relationship Id="rId27" Type="http://schemas.openxmlformats.org/officeDocument/2006/relationships/image" Target="../media/image100.png"/><Relationship Id="rId30" Type="http://schemas.openxmlformats.org/officeDocument/2006/relationships/image" Target="../media/image103.png"/><Relationship Id="rId35" Type="http://schemas.openxmlformats.org/officeDocument/2006/relationships/image" Target="../media/image108.png"/><Relationship Id="rId43" Type="http://schemas.openxmlformats.org/officeDocument/2006/relationships/image" Target="../media/image115.svg"/><Relationship Id="rId48" Type="http://schemas.openxmlformats.org/officeDocument/2006/relationships/image" Target="../media/image117.png"/><Relationship Id="rId56" Type="http://schemas.openxmlformats.org/officeDocument/2006/relationships/image" Target="../media/image125.png"/><Relationship Id="rId8" Type="http://schemas.openxmlformats.org/officeDocument/2006/relationships/image" Target="../media/image81.png"/><Relationship Id="rId51" Type="http://schemas.openxmlformats.org/officeDocument/2006/relationships/image" Target="../media/image120.png"/><Relationship Id="rId3" Type="http://schemas.openxmlformats.org/officeDocument/2006/relationships/image" Target="../media/image76.png"/><Relationship Id="rId12" Type="http://schemas.openxmlformats.org/officeDocument/2006/relationships/image" Target="../media/image85.png"/><Relationship Id="rId17" Type="http://schemas.openxmlformats.org/officeDocument/2006/relationships/image" Target="../media/image90.png"/><Relationship Id="rId25" Type="http://schemas.openxmlformats.org/officeDocument/2006/relationships/image" Target="../media/image98.png"/><Relationship Id="rId33" Type="http://schemas.openxmlformats.org/officeDocument/2006/relationships/image" Target="../media/image106.png"/><Relationship Id="rId38" Type="http://schemas.openxmlformats.org/officeDocument/2006/relationships/image" Target="../media/image111.png"/><Relationship Id="rId46" Type="http://schemas.openxmlformats.org/officeDocument/2006/relationships/hyperlink" Target="#MATERI!A1"/><Relationship Id="rId59" Type="http://schemas.openxmlformats.org/officeDocument/2006/relationships/image" Target="../media/image128.png"/><Relationship Id="rId20" Type="http://schemas.openxmlformats.org/officeDocument/2006/relationships/image" Target="../media/image93.png"/><Relationship Id="rId41" Type="http://schemas.openxmlformats.org/officeDocument/2006/relationships/hyperlink" Target="#'Cover '!A1"/><Relationship Id="rId54" Type="http://schemas.openxmlformats.org/officeDocument/2006/relationships/image" Target="../media/image123.png"/><Relationship Id="rId1" Type="http://schemas.openxmlformats.org/officeDocument/2006/relationships/image" Target="../media/image74.png"/><Relationship Id="rId6" Type="http://schemas.openxmlformats.org/officeDocument/2006/relationships/image" Target="../media/image79.png"/><Relationship Id="rId15" Type="http://schemas.openxmlformats.org/officeDocument/2006/relationships/image" Target="../media/image88.png"/><Relationship Id="rId23" Type="http://schemas.openxmlformats.org/officeDocument/2006/relationships/image" Target="../media/image96.png"/><Relationship Id="rId28" Type="http://schemas.openxmlformats.org/officeDocument/2006/relationships/image" Target="../media/image101.png"/><Relationship Id="rId36" Type="http://schemas.openxmlformats.org/officeDocument/2006/relationships/image" Target="../media/image109.png"/><Relationship Id="rId49" Type="http://schemas.openxmlformats.org/officeDocument/2006/relationships/image" Target="../media/image118.png"/><Relationship Id="rId57" Type="http://schemas.openxmlformats.org/officeDocument/2006/relationships/image" Target="../media/image126.png"/><Relationship Id="rId10" Type="http://schemas.openxmlformats.org/officeDocument/2006/relationships/image" Target="../media/image83.png"/><Relationship Id="rId31" Type="http://schemas.openxmlformats.org/officeDocument/2006/relationships/image" Target="../media/image104.png"/><Relationship Id="rId44" Type="http://schemas.openxmlformats.org/officeDocument/2006/relationships/hyperlink" Target="#PENDAHULUAN!A1"/><Relationship Id="rId52" Type="http://schemas.openxmlformats.org/officeDocument/2006/relationships/image" Target="../media/image12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37.emf"/><Relationship Id="rId18" Type="http://schemas.openxmlformats.org/officeDocument/2006/relationships/image" Target="../media/image42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17" Type="http://schemas.openxmlformats.org/officeDocument/2006/relationships/image" Target="../media/image41.emf"/><Relationship Id="rId2" Type="http://schemas.openxmlformats.org/officeDocument/2006/relationships/image" Target="../media/image26.emf"/><Relationship Id="rId16" Type="http://schemas.openxmlformats.org/officeDocument/2006/relationships/image" Target="../media/image4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39.emf"/><Relationship Id="rId10" Type="http://schemas.openxmlformats.org/officeDocument/2006/relationships/image" Target="../media/image34.emf"/><Relationship Id="rId19" Type="http://schemas.openxmlformats.org/officeDocument/2006/relationships/image" Target="../media/image43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3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57150</xdr:rowOff>
    </xdr:from>
    <xdr:to>
      <xdr:col>12</xdr:col>
      <xdr:colOff>229236</xdr:colOff>
      <xdr:row>16</xdr:row>
      <xdr:rowOff>85724</xdr:rowOff>
    </xdr:to>
    <xdr:grpSp>
      <xdr:nvGrpSpPr>
        <xdr:cNvPr id="978361" name="Group 978360">
          <a:extLst>
            <a:ext uri="{FF2B5EF4-FFF2-40B4-BE49-F238E27FC236}">
              <a16:creationId xmlns:a16="http://schemas.microsoft.com/office/drawing/2014/main" id="{00000000-0008-0000-0000-0000B9ED0E00}"/>
            </a:ext>
          </a:extLst>
        </xdr:cNvPr>
        <xdr:cNvGrpSpPr/>
      </xdr:nvGrpSpPr>
      <xdr:grpSpPr>
        <a:xfrm>
          <a:off x="2123342" y="2584938"/>
          <a:ext cx="4018721" cy="819882"/>
          <a:chOff x="2238375" y="5143500"/>
          <a:chExt cx="4010661" cy="819149"/>
        </a:xfrm>
      </xdr:grpSpPr>
      <xdr:sp macro="" textlink="$AN$22">
        <xdr:nvSpPr>
          <xdr:cNvPr id="469" name="Rectangle 468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/>
        </xdr:nvSpPr>
        <xdr:spPr>
          <a:xfrm>
            <a:off x="2238375" y="5143500"/>
            <a:ext cx="4010026" cy="1619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CBB6BA4-24B2-4FC4-A974-FD47006CF5F9}" type="TxLink">
              <a:rPr lang="en-US" sz="1000" b="0" i="0" u="none" strike="noStrike">
                <a:solidFill>
                  <a:schemeClr val="tx1"/>
                </a:solidFill>
                <a:latin typeface="Calibri"/>
                <a:cs typeface="Calibri"/>
              </a:rPr>
              <a:pPr algn="l"/>
              <a:t> </a:t>
            </a:fld>
            <a:endParaRPr lang="en-US" sz="1000">
              <a:solidFill>
                <a:schemeClr val="tx1"/>
              </a:solidFill>
            </a:endParaRPr>
          </a:p>
        </xdr:txBody>
      </xdr:sp>
      <xdr:sp macro="" textlink="$AN$23">
        <xdr:nvSpPr>
          <xdr:cNvPr id="470" name="Rectangle 469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/>
        </xdr:nvSpPr>
        <xdr:spPr>
          <a:xfrm>
            <a:off x="2247901" y="5314841"/>
            <a:ext cx="4001135" cy="1619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E5248AEE-B82E-4B73-83A3-54C8200E8C3C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000"/>
          </a:p>
        </xdr:txBody>
      </xdr:sp>
      <xdr:sp macro="" textlink="$AN$25">
        <xdr:nvSpPr>
          <xdr:cNvPr id="471" name="Rectangle 470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/>
        </xdr:nvSpPr>
        <xdr:spPr>
          <a:xfrm>
            <a:off x="2238375" y="5781674"/>
            <a:ext cx="3992243" cy="180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83D5F851-DA0A-4B2C-9D26-D93C65E1B6D9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000"/>
          </a:p>
        </xdr:txBody>
      </xdr:sp>
      <xdr:sp macro="" textlink="$AN$24">
        <xdr:nvSpPr>
          <xdr:cNvPr id="472" name="Rectangle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SpPr/>
        </xdr:nvSpPr>
        <xdr:spPr>
          <a:xfrm>
            <a:off x="2238375" y="5467350"/>
            <a:ext cx="3992243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AF659179-E748-4AEA-A45F-8008D3C883A1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000"/>
          </a:p>
        </xdr:txBody>
      </xdr:sp>
      <xdr:sp macro="" textlink="$AV$33">
        <xdr:nvSpPr>
          <xdr:cNvPr id="473" name="Rectangle 472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/>
        </xdr:nvSpPr>
        <xdr:spPr>
          <a:xfrm>
            <a:off x="2238375" y="5629275"/>
            <a:ext cx="3992243" cy="180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C85A8D5-3641-4077-B225-CB0641E1189C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000"/>
          </a:p>
        </xdr:txBody>
      </xdr:sp>
    </xdr:grpSp>
    <xdr:clientData/>
  </xdr:twoCellAnchor>
  <xdr:twoCellAnchor>
    <xdr:from>
      <xdr:col>18</xdr:col>
      <xdr:colOff>257175</xdr:colOff>
      <xdr:row>3</xdr:row>
      <xdr:rowOff>219074</xdr:rowOff>
    </xdr:from>
    <xdr:to>
      <xdr:col>20</xdr:col>
      <xdr:colOff>95249</xdr:colOff>
      <xdr:row>5</xdr:row>
      <xdr:rowOff>95249</xdr:rowOff>
    </xdr:to>
    <xdr:grpSp>
      <xdr:nvGrpSpPr>
        <xdr:cNvPr id="395" name="Group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pSpPr/>
      </xdr:nvGrpSpPr>
      <xdr:grpSpPr>
        <a:xfrm>
          <a:off x="8741752" y="724632"/>
          <a:ext cx="1281478" cy="330444"/>
          <a:chOff x="5648324" y="590549"/>
          <a:chExt cx="1266824" cy="400092"/>
        </a:xfrm>
      </xdr:grpSpPr>
      <xdr:pic>
        <xdr:nvPicPr>
          <xdr:cNvPr id="396" name="Picture 395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397" name="Picture 396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398" name="Picture 397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352425</xdr:colOff>
      <xdr:row>6</xdr:row>
      <xdr:rowOff>47625</xdr:rowOff>
    </xdr:from>
    <xdr:to>
      <xdr:col>21</xdr:col>
      <xdr:colOff>57150</xdr:colOff>
      <xdr:row>15</xdr:row>
      <xdr:rowOff>57150</xdr:rowOff>
    </xdr:to>
    <xdr:pic>
      <xdr:nvPicPr>
        <xdr:cNvPr id="331" name="Picture 330" descr="https://tse1.mm.bing.net/th?id=OIP.21DcHGKvG-aB8KhY0mAbPwAAAA&amp;pid=Api&amp;P=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2571750" cy="1952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523875</xdr:colOff>
      <xdr:row>1</xdr:row>
      <xdr:rowOff>190500</xdr:rowOff>
    </xdr:from>
    <xdr:to>
      <xdr:col>13</xdr:col>
      <xdr:colOff>0</xdr:colOff>
      <xdr:row>7</xdr:row>
      <xdr:rowOff>9524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86200" y="247650"/>
          <a:ext cx="2495550" cy="1181099"/>
        </a:xfrm>
        <a:prstGeom prst="rect">
          <a:avLst/>
        </a:prstGeom>
        <a:noFill/>
        <a:ln w="381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161925</xdr:rowOff>
        </xdr:from>
        <xdr:to>
          <xdr:col>22</xdr:col>
          <xdr:colOff>9525</xdr:colOff>
          <xdr:row>21</xdr:row>
          <xdr:rowOff>190500</xdr:rowOff>
        </xdr:to>
        <xdr:pic>
          <xdr:nvPicPr>
            <xdr:cNvPr id="19" name="Image1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2" spid="_x0000_s195942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553450" y="4305300"/>
              <a:ext cx="28575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19</xdr:row>
          <xdr:rowOff>152400</xdr:rowOff>
        </xdr:from>
        <xdr:to>
          <xdr:col>20</xdr:col>
          <xdr:colOff>571500</xdr:colOff>
          <xdr:row>20</xdr:row>
          <xdr:rowOff>190500</xdr:rowOff>
        </xdr:to>
        <xdr:pic>
          <xdr:nvPicPr>
            <xdr:cNvPr id="20" name="Image1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2" spid="_x0000_s195942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486775" y="4095750"/>
              <a:ext cx="1990725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47</xdr:col>
      <xdr:colOff>600075</xdr:colOff>
      <xdr:row>10</xdr:row>
      <xdr:rowOff>47625</xdr:rowOff>
    </xdr:from>
    <xdr:to>
      <xdr:col>49</xdr:col>
      <xdr:colOff>28575</xdr:colOff>
      <xdr:row>13</xdr:row>
      <xdr:rowOff>38100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30105594" y="2157779"/>
          <a:ext cx="835269" cy="605936"/>
          <a:chOff x="9791700" y="2743200"/>
          <a:chExt cx="523875" cy="657225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X$4">
          <xdr:nvSpPr>
            <xdr:cNvPr id="80" name="Rectangl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o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X$4">
          <xdr:nvSpPr>
            <xdr:cNvPr id="81" name="Rectangl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o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X$4">
          <xdr:nvSpPr>
            <xdr:cNvPr id="82" name="Rectangl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o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X$4">
            <xdr:nvSpPr>
              <xdr:cNvPr id="78" name="Rectangle 77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79" name="Rectangle 78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X$4">
            <xdr:nvSpPr>
              <xdr:cNvPr id="73" name="Rectangle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74" name="Rectangle 73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75" name="Rectangle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76" name="Rectangle 75">
                <a:extLst>
                  <a:ext uri="{FF2B5EF4-FFF2-40B4-BE49-F238E27FC236}">
                    <a16:creationId xmlns:a16="http://schemas.microsoft.com/office/drawing/2014/main" id="{00000000-0008-0000-0000-00004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77" name="Rectangle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619125</xdr:colOff>
          <xdr:row>19</xdr:row>
          <xdr:rowOff>152400</xdr:rowOff>
        </xdr:from>
        <xdr:to>
          <xdr:col>17</xdr:col>
          <xdr:colOff>323850</xdr:colOff>
          <xdr:row>20</xdr:row>
          <xdr:rowOff>190500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KATODA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619125</xdr:colOff>
          <xdr:row>18</xdr:row>
          <xdr:rowOff>123825</xdr:rowOff>
        </xdr:from>
        <xdr:to>
          <xdr:col>17</xdr:col>
          <xdr:colOff>323850</xdr:colOff>
          <xdr:row>19</xdr:row>
          <xdr:rowOff>142875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IONISASI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619125</xdr:colOff>
          <xdr:row>20</xdr:row>
          <xdr:rowOff>180975</xdr:rowOff>
        </xdr:from>
        <xdr:to>
          <xdr:col>17</xdr:col>
          <xdr:colOff>323850</xdr:colOff>
          <xdr:row>22</xdr:row>
          <xdr:rowOff>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ANODA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628650</xdr:colOff>
          <xdr:row>22</xdr:row>
          <xdr:rowOff>66675</xdr:rowOff>
        </xdr:from>
        <xdr:to>
          <xdr:col>17</xdr:col>
          <xdr:colOff>333375</xdr:colOff>
          <xdr:row>23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REAKSI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9523</xdr:colOff>
          <xdr:row>18</xdr:row>
          <xdr:rowOff>123825</xdr:rowOff>
        </xdr:from>
        <xdr:to>
          <xdr:col>22</xdr:col>
          <xdr:colOff>2223</xdr:colOff>
          <xdr:row>19</xdr:row>
          <xdr:rowOff>152400</xdr:rowOff>
        </xdr:to>
        <xdr:pic>
          <xdr:nvPicPr>
            <xdr:cNvPr id="98" name="Image1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IONISASI" spid="_x0000_s195942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8543923" y="3857625"/>
              <a:ext cx="28575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48</xdr:col>
      <xdr:colOff>104775</xdr:colOff>
      <xdr:row>15</xdr:row>
      <xdr:rowOff>76200</xdr:rowOff>
    </xdr:from>
    <xdr:to>
      <xdr:col>48</xdr:col>
      <xdr:colOff>523875</xdr:colOff>
      <xdr:row>18</xdr:row>
      <xdr:rowOff>180975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30408929" y="3197469"/>
          <a:ext cx="419100" cy="698256"/>
          <a:chOff x="9791700" y="2743200"/>
          <a:chExt cx="523875" cy="657225"/>
        </a:xfrm>
      </xdr:grpSpPr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X$5">
          <xdr:nvSpPr>
            <xdr:cNvPr id="112" name="Rectangl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5D3AFB1-3E42-4C4D-A063-1DE749BC5299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X$5">
          <xdr:nvSpPr>
            <xdr:cNvPr id="113" name="Rectangl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576AE76-4C2B-4BD0-B04C-A5F11485D2B6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X$5">
          <xdr:nvSpPr>
            <xdr:cNvPr id="114" name="Rectangl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7D19487-9289-4B23-B023-303EED13890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03" name="Group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X$5">
            <xdr:nvSpPr>
              <xdr:cNvPr id="110" name="Rectangle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FAFAD5E-5CB1-4248-9464-9473D7E1DC96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X$5">
            <xdr:nvSpPr>
              <xdr:cNvPr id="111" name="Rectangle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49760C-51AF-474A-8F85-DA55609B5ED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104" name="Group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X$5">
            <xdr:nvSpPr>
              <xdr:cNvPr id="105" name="Rectang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D6A89D9D-2890-4574-8121-2BF799D5FEC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X$5">
            <xdr:nvSpPr>
              <xdr:cNvPr id="106" name="Rectangle 105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2D99397-2050-4BE3-B4D6-F80BF566BAA2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X$5">
            <xdr:nvSpPr>
              <xdr:cNvPr id="107" name="Rectangle 106">
                <a:extLst>
                  <a:ext uri="{FF2B5EF4-FFF2-40B4-BE49-F238E27FC236}">
                    <a16:creationId xmlns:a16="http://schemas.microsoft.com/office/drawing/2014/main" id="{00000000-0008-0000-0000-00006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1DF9087-6FAB-411A-8DFB-D2AF09C8062F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X$5">
            <xdr:nvSpPr>
              <xdr:cNvPr id="108" name="Rectangle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C06C8FF-764D-4F31-8177-FC749E8A9454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X$5">
            <xdr:nvSpPr>
              <xdr:cNvPr id="109" name="Rectangle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DFD9A3-03FC-4DCD-A6EE-F9FA56C30DDB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48</xdr:col>
      <xdr:colOff>28575</xdr:colOff>
      <xdr:row>20</xdr:row>
      <xdr:rowOff>76200</xdr:rowOff>
    </xdr:from>
    <xdr:to>
      <xdr:col>48</xdr:col>
      <xdr:colOff>438150</xdr:colOff>
      <xdr:row>22</xdr:row>
      <xdr:rowOff>180975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30332729" y="4201258"/>
          <a:ext cx="409575" cy="515082"/>
          <a:chOff x="9791700" y="2743200"/>
          <a:chExt cx="523875" cy="657225"/>
        </a:xfrm>
      </xdr:grpSpPr>
      <xdr:grpSp>
        <xdr:nvGrpSpPr>
          <xdr:cNvPr id="116" name="Group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X$6">
          <xdr:nvSpPr>
            <xdr:cNvPr id="127" name="Rectangle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X$6">
          <xdr:nvSpPr>
            <xdr:cNvPr id="128" name="Rectangle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X$6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18" name="Group 117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X$6">
            <xdr:nvSpPr>
              <xdr:cNvPr id="125" name="Rectangle 124">
                <a:extLst>
                  <a:ext uri="{FF2B5EF4-FFF2-40B4-BE49-F238E27FC236}">
                    <a16:creationId xmlns:a16="http://schemas.microsoft.com/office/drawing/2014/main" id="{00000000-0008-0000-0000-00007D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126" name="Rectangle 125">
                <a:extLst>
                  <a:ext uri="{FF2B5EF4-FFF2-40B4-BE49-F238E27FC236}">
                    <a16:creationId xmlns:a16="http://schemas.microsoft.com/office/drawing/2014/main" id="{00000000-0008-0000-0000-00007E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X$6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00000000-0008-0000-0000-000078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121" name="Rectangle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122" name="Rectangle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123" name="Rectangle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124" name="Rectangle 123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47</xdr:col>
      <xdr:colOff>295275</xdr:colOff>
      <xdr:row>31</xdr:row>
      <xdr:rowOff>95250</xdr:rowOff>
    </xdr:from>
    <xdr:to>
      <xdr:col>48</xdr:col>
      <xdr:colOff>38100</xdr:colOff>
      <xdr:row>34</xdr:row>
      <xdr:rowOff>161925</xdr:rowOff>
    </xdr:to>
    <xdr:grpSp>
      <xdr:nvGrpSpPr>
        <xdr:cNvPr id="145" name="Group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29800794" y="6411058"/>
          <a:ext cx="541460" cy="638175"/>
          <a:chOff x="9791700" y="2743200"/>
          <a:chExt cx="523875" cy="657225"/>
        </a:xfrm>
      </xdr:grpSpPr>
      <xdr:grpSp>
        <xdr:nvGrpSpPr>
          <xdr:cNvPr id="146" name="Group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X$7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F396863-BA87-44E5-9EAF-C5E83744AA6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X$7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B2FCAB55-F536-4814-A4A8-003871079FA8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X$7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B798994-6EE5-4DEA-83C2-6A461B5E41D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48" name="Group 147">
              <a:extLst>
                <a:ext uri="{FF2B5EF4-FFF2-40B4-BE49-F238E27FC236}">
                  <a16:creationId xmlns:a16="http://schemas.microsoft.com/office/drawing/2014/main" id="{00000000-0008-0000-0000-000094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X$7">
            <xdr:nvSpPr>
              <xdr:cNvPr id="155" name="Rectangle 154">
                <a:extLst>
                  <a:ext uri="{FF2B5EF4-FFF2-40B4-BE49-F238E27FC236}">
                    <a16:creationId xmlns:a16="http://schemas.microsoft.com/office/drawing/2014/main" id="{00000000-0008-0000-0000-00009B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AE6B91-B48C-45B6-8495-89318DE90D2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156" name="Rectangle 155">
                <a:extLst>
                  <a:ext uri="{FF2B5EF4-FFF2-40B4-BE49-F238E27FC236}">
                    <a16:creationId xmlns:a16="http://schemas.microsoft.com/office/drawing/2014/main" id="{00000000-0008-0000-0000-00009C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F17BD3A-D8E6-422F-BF26-0603E21529A6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49" name="Group 148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X$7">
            <xdr:nvSpPr>
              <xdr:cNvPr id="150" name="Rectangle 149"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DDA564D-A2C9-4A64-AD1C-27AFD0E7E974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151" name="Rectangle 150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45D59E2-DB63-41D5-B686-461F0E38C93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152" name="Rectangle 151">
                <a:extLst>
                  <a:ext uri="{FF2B5EF4-FFF2-40B4-BE49-F238E27FC236}">
                    <a16:creationId xmlns:a16="http://schemas.microsoft.com/office/drawing/2014/main" id="{00000000-0008-0000-0000-000098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8BE2236-7386-4D48-B81D-EC4D38DF088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153" name="Rectangle 152">
                <a:extLst>
                  <a:ext uri="{FF2B5EF4-FFF2-40B4-BE49-F238E27FC236}">
                    <a16:creationId xmlns:a16="http://schemas.microsoft.com/office/drawing/2014/main" id="{00000000-0008-0000-0000-000099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743C7A-338C-4AE5-8D34-E94E780453DE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154" name="Rectangle 153">
                <a:extLst>
                  <a:ext uri="{FF2B5EF4-FFF2-40B4-BE49-F238E27FC236}">
                    <a16:creationId xmlns:a16="http://schemas.microsoft.com/office/drawing/2014/main" id="{00000000-0008-0000-0000-00009A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E5A8BCF9-FB02-427A-A6C8-2D5016609889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50</xdr:col>
      <xdr:colOff>114300</xdr:colOff>
      <xdr:row>15</xdr:row>
      <xdr:rowOff>85724</xdr:rowOff>
    </xdr:from>
    <xdr:to>
      <xdr:col>50</xdr:col>
      <xdr:colOff>533400</xdr:colOff>
      <xdr:row>19</xdr:row>
      <xdr:rowOff>57150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pSpPr/>
      </xdr:nvGrpSpPr>
      <xdr:grpSpPr>
        <a:xfrm>
          <a:off x="31781262" y="3206993"/>
          <a:ext cx="419100" cy="777388"/>
          <a:chOff x="9791700" y="2743200"/>
          <a:chExt cx="523875" cy="657225"/>
        </a:xfrm>
      </xdr:grpSpPr>
      <xdr:grpSp>
        <xdr:nvGrpSpPr>
          <xdr:cNvPr id="207" name="Group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Y$5">
          <xdr:nvSpPr>
            <xdr:cNvPr id="218" name="Rectangle 217">
              <a:extLst>
                <a:ext uri="{FF2B5EF4-FFF2-40B4-BE49-F238E27FC236}">
                  <a16:creationId xmlns:a16="http://schemas.microsoft.com/office/drawing/2014/main" id="{00000000-0008-0000-0000-0000DA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Y$5">
          <xdr:nvSpPr>
            <xdr:cNvPr id="219" name="Rectangle 218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Y$5">
          <xdr:nvSpPr>
            <xdr:cNvPr id="220" name="Rectangle 219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Y$5">
            <xdr:nvSpPr>
              <xdr:cNvPr id="216" name="Rectangle 215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217" name="Rectangle 216">
                <a:extLst>
                  <a:ext uri="{FF2B5EF4-FFF2-40B4-BE49-F238E27FC236}">
                    <a16:creationId xmlns:a16="http://schemas.microsoft.com/office/drawing/2014/main" id="{00000000-0008-0000-0000-0000D9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10" name="Group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Y$5">
            <xdr:nvSpPr>
              <xdr:cNvPr id="211" name="Rectangle 210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212" name="Rectangle 211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213" name="Rectangle 212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214" name="Rectangle 213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215" name="Rectangle 214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49</xdr:col>
      <xdr:colOff>542924</xdr:colOff>
      <xdr:row>19</xdr:row>
      <xdr:rowOff>28575</xdr:rowOff>
    </xdr:from>
    <xdr:to>
      <xdr:col>51</xdr:col>
      <xdr:colOff>38099</xdr:colOff>
      <xdr:row>24</xdr:row>
      <xdr:rowOff>180975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pSpPr/>
      </xdr:nvGrpSpPr>
      <xdr:grpSpPr>
        <a:xfrm>
          <a:off x="31455212" y="3955806"/>
          <a:ext cx="857983" cy="1185496"/>
          <a:chOff x="9791700" y="2743200"/>
          <a:chExt cx="523875" cy="657225"/>
        </a:xfrm>
      </xdr:grpSpPr>
      <xdr:grpSp>
        <xdr:nvGrpSpPr>
          <xdr:cNvPr id="237" name="Group 236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Y$6">
          <xdr:nvSpPr>
            <xdr:cNvPr id="248" name="Rectangle 247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Y$6">
          <xdr:nvSpPr>
            <xdr:cNvPr id="249" name="Rectangle 248">
              <a:extLst>
                <a:ext uri="{FF2B5EF4-FFF2-40B4-BE49-F238E27FC236}">
                  <a16:creationId xmlns:a16="http://schemas.microsoft.com/office/drawing/2014/main" id="{00000000-0008-0000-0000-0000F9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Y$6">
          <xdr:nvSpPr>
            <xdr:cNvPr id="250" name="Rectangle 24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8" name="Group 237">
            <a:extLst>
              <a:ext uri="{FF2B5EF4-FFF2-40B4-BE49-F238E27FC236}">
                <a16:creationId xmlns:a16="http://schemas.microsoft.com/office/drawing/2014/main" id="{00000000-0008-0000-0000-0000EE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39" name="Group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Y$6">
            <xdr:nvSpPr>
              <xdr:cNvPr id="246" name="Rectangle 245">
                <a:extLst>
                  <a:ext uri="{FF2B5EF4-FFF2-40B4-BE49-F238E27FC236}">
                    <a16:creationId xmlns:a16="http://schemas.microsoft.com/office/drawing/2014/main" id="{00000000-0008-0000-0000-0000F6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247" name="Rectangle 246">
                <a:extLst>
                  <a:ext uri="{FF2B5EF4-FFF2-40B4-BE49-F238E27FC236}">
                    <a16:creationId xmlns:a16="http://schemas.microsoft.com/office/drawing/2014/main" id="{00000000-0008-0000-0000-0000F7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40" name="Group 239">
              <a:extLst>
                <a:ext uri="{FF2B5EF4-FFF2-40B4-BE49-F238E27FC236}">
                  <a16:creationId xmlns:a16="http://schemas.microsoft.com/office/drawing/2014/main" id="{00000000-0008-0000-0000-0000F0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Y$6">
            <xdr:nvSpPr>
              <xdr:cNvPr id="241" name="Rectangle 240">
                <a:extLst>
                  <a:ext uri="{FF2B5EF4-FFF2-40B4-BE49-F238E27FC236}">
                    <a16:creationId xmlns:a16="http://schemas.microsoft.com/office/drawing/2014/main" id="{00000000-0008-0000-0000-0000F1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242" name="Rectangle 241">
                <a:extLst>
                  <a:ext uri="{FF2B5EF4-FFF2-40B4-BE49-F238E27FC236}">
                    <a16:creationId xmlns:a16="http://schemas.microsoft.com/office/drawing/2014/main" id="{00000000-0008-0000-0000-0000F2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243" name="Rectangle 242">
                <a:extLst>
                  <a:ext uri="{FF2B5EF4-FFF2-40B4-BE49-F238E27FC236}">
                    <a16:creationId xmlns:a16="http://schemas.microsoft.com/office/drawing/2014/main" id="{00000000-0008-0000-0000-0000F3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244" name="Rectangle 243">
                <a:extLst>
                  <a:ext uri="{FF2B5EF4-FFF2-40B4-BE49-F238E27FC236}">
                    <a16:creationId xmlns:a16="http://schemas.microsoft.com/office/drawing/2014/main" id="{00000000-0008-0000-0000-0000F4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245" name="Rectangle 244">
                <a:extLst>
                  <a:ext uri="{FF2B5EF4-FFF2-40B4-BE49-F238E27FC236}">
                    <a16:creationId xmlns:a16="http://schemas.microsoft.com/office/drawing/2014/main" id="{00000000-0008-0000-0000-0000F5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50</xdr:col>
      <xdr:colOff>38101</xdr:colOff>
      <xdr:row>25</xdr:row>
      <xdr:rowOff>19050</xdr:rowOff>
    </xdr:from>
    <xdr:to>
      <xdr:col>50</xdr:col>
      <xdr:colOff>571500</xdr:colOff>
      <xdr:row>28</xdr:row>
      <xdr:rowOff>95250</xdr:rowOff>
    </xdr:to>
    <xdr:grpSp>
      <xdr:nvGrpSpPr>
        <xdr:cNvPr id="281" name="Group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GrpSpPr/>
      </xdr:nvGrpSpPr>
      <xdr:grpSpPr>
        <a:xfrm>
          <a:off x="31705063" y="5177204"/>
          <a:ext cx="533399" cy="655027"/>
          <a:chOff x="9791700" y="2743200"/>
          <a:chExt cx="523875" cy="657225"/>
        </a:xfrm>
      </xdr:grpSpPr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Y$8">
          <xdr:nvSpPr>
            <xdr:cNvPr id="293" name="Rectangle 292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*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Y$8">
          <xdr:nvSpPr>
            <xdr:cNvPr id="294" name="Rectangle 293">
              <a:extLst>
                <a:ext uri="{FF2B5EF4-FFF2-40B4-BE49-F238E27FC236}">
                  <a16:creationId xmlns:a16="http://schemas.microsoft.com/office/drawing/2014/main" id="{00000000-0008-0000-0000-000026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*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Y$8">
          <xdr:nvSpPr>
            <xdr:cNvPr id="295" name="Rectangle 294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*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283" name="Group 282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84" name="Group 283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Y$8">
            <xdr:nvSpPr>
              <xdr:cNvPr id="291" name="Rectangle 290">
                <a:extLst>
                  <a:ext uri="{FF2B5EF4-FFF2-40B4-BE49-F238E27FC236}">
                    <a16:creationId xmlns:a16="http://schemas.microsoft.com/office/drawing/2014/main" id="{00000000-0008-0000-0000-000023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292" name="Rectangle 291">
                <a:extLst>
                  <a:ext uri="{FF2B5EF4-FFF2-40B4-BE49-F238E27FC236}">
                    <a16:creationId xmlns:a16="http://schemas.microsoft.com/office/drawing/2014/main" id="{00000000-0008-0000-0000-000024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285" name="Group 284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Y$8">
            <xdr:nvSpPr>
              <xdr:cNvPr id="286" name="Rectangle 285">
                <a:extLst>
                  <a:ext uri="{FF2B5EF4-FFF2-40B4-BE49-F238E27FC236}">
                    <a16:creationId xmlns:a16="http://schemas.microsoft.com/office/drawing/2014/main" id="{00000000-0008-0000-0000-00001E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287" name="Rectangle 286">
                <a:extLst>
                  <a:ext uri="{FF2B5EF4-FFF2-40B4-BE49-F238E27FC236}">
                    <a16:creationId xmlns:a16="http://schemas.microsoft.com/office/drawing/2014/main" id="{00000000-0008-0000-0000-00001F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288" name="Rectangle 287">
                <a:extLst>
                  <a:ext uri="{FF2B5EF4-FFF2-40B4-BE49-F238E27FC236}">
                    <a16:creationId xmlns:a16="http://schemas.microsoft.com/office/drawing/2014/main" id="{00000000-0008-0000-0000-000020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289" name="Rectangle 288">
                <a:extLst>
                  <a:ext uri="{FF2B5EF4-FFF2-40B4-BE49-F238E27FC236}">
                    <a16:creationId xmlns:a16="http://schemas.microsoft.com/office/drawing/2014/main" id="{00000000-0008-0000-0000-000021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290" name="Rectangle 289">
                <a:extLst>
                  <a:ext uri="{FF2B5EF4-FFF2-40B4-BE49-F238E27FC236}">
                    <a16:creationId xmlns:a16="http://schemas.microsoft.com/office/drawing/2014/main" id="{00000000-0008-0000-0000-000022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114301</xdr:colOff>
          <xdr:row>3</xdr:row>
          <xdr:rowOff>9525</xdr:rowOff>
        </xdr:from>
        <xdr:to>
          <xdr:col>17</xdr:col>
          <xdr:colOff>19051</xdr:colOff>
          <xdr:row>4</xdr:row>
          <xdr:rowOff>19050</xdr:rowOff>
        </xdr:to>
        <xdr:pic>
          <xdr:nvPicPr>
            <xdr:cNvPr id="298" name="Image1">
              <a:extLst>
                <a:ext uri="{FF2B5EF4-FFF2-40B4-BE49-F238E27FC236}">
                  <a16:creationId xmlns:a16="http://schemas.microsoft.com/office/drawing/2014/main" id="{00000000-0008-0000-0000-00002A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" spid="_x0000_s195942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6886576" y="514350"/>
              <a:ext cx="11811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123824</xdr:colOff>
          <xdr:row>3</xdr:row>
          <xdr:rowOff>219075</xdr:rowOff>
        </xdr:from>
        <xdr:to>
          <xdr:col>17</xdr:col>
          <xdr:colOff>104774</xdr:colOff>
          <xdr:row>5</xdr:row>
          <xdr:rowOff>0</xdr:rowOff>
        </xdr:to>
        <xdr:pic>
          <xdr:nvPicPr>
            <xdr:cNvPr id="299" name="Image1">
              <a:extLst>
                <a:ext uri="{FF2B5EF4-FFF2-40B4-BE49-F238E27FC236}">
                  <a16:creationId xmlns:a16="http://schemas.microsoft.com/office/drawing/2014/main" id="{00000000-0008-0000-0000-00002B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2" spid="_x0000_s195942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6896099" y="723900"/>
              <a:ext cx="12573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4</xdr:row>
          <xdr:rowOff>180975</xdr:rowOff>
        </xdr:from>
        <xdr:to>
          <xdr:col>17</xdr:col>
          <xdr:colOff>38100</xdr:colOff>
          <xdr:row>5</xdr:row>
          <xdr:rowOff>190500</xdr:rowOff>
        </xdr:to>
        <xdr:pic>
          <xdr:nvPicPr>
            <xdr:cNvPr id="300" name="Image1">
              <a:extLst>
                <a:ext uri="{FF2B5EF4-FFF2-40B4-BE49-F238E27FC236}">
                  <a16:creationId xmlns:a16="http://schemas.microsoft.com/office/drawing/2014/main" id="{00000000-0008-0000-0000-00002C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3" spid="_x0000_s195943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6905625" y="914400"/>
              <a:ext cx="11811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3</xdr:row>
          <xdr:rowOff>66675</xdr:rowOff>
        </xdr:from>
        <xdr:to>
          <xdr:col>22</xdr:col>
          <xdr:colOff>561975</xdr:colOff>
          <xdr:row>4</xdr:row>
          <xdr:rowOff>76200</xdr:rowOff>
        </xdr:to>
        <xdr:pic>
          <xdr:nvPicPr>
            <xdr:cNvPr id="301" name="Image1">
              <a:extLst>
                <a:ext uri="{FF2B5EF4-FFF2-40B4-BE49-F238E27FC236}">
                  <a16:creationId xmlns:a16="http://schemas.microsoft.com/office/drawing/2014/main" id="{00000000-0008-0000-0000-00002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2" spid="_x0000_s195943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1010900" y="571500"/>
              <a:ext cx="11811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4</xdr:row>
          <xdr:rowOff>85725</xdr:rowOff>
        </xdr:from>
        <xdr:to>
          <xdr:col>22</xdr:col>
          <xdr:colOff>561975</xdr:colOff>
          <xdr:row>5</xdr:row>
          <xdr:rowOff>95250</xdr:rowOff>
        </xdr:to>
        <xdr:pic>
          <xdr:nvPicPr>
            <xdr:cNvPr id="302" name="Image1">
              <a:extLst>
                <a:ext uri="{FF2B5EF4-FFF2-40B4-BE49-F238E27FC236}">
                  <a16:creationId xmlns:a16="http://schemas.microsoft.com/office/drawing/2014/main" id="{00000000-0008-0000-0000-00002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3" spid="_x0000_s1959432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1010900" y="819150"/>
              <a:ext cx="11811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409575</xdr:colOff>
          <xdr:row>13</xdr:row>
          <xdr:rowOff>95250</xdr:rowOff>
        </xdr:from>
        <xdr:to>
          <xdr:col>20</xdr:col>
          <xdr:colOff>19050</xdr:colOff>
          <xdr:row>14</xdr:row>
          <xdr:rowOff>133350</xdr:rowOff>
        </xdr:to>
        <xdr:pic>
          <xdr:nvPicPr>
            <xdr:cNvPr id="296" name="Image1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SAMPEL" spid="_x0000_s195943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8943975" y="2828925"/>
              <a:ext cx="10477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19050</xdr:colOff>
          <xdr:row>1</xdr:row>
          <xdr:rowOff>133350</xdr:rowOff>
        </xdr:from>
        <xdr:to>
          <xdr:col>28</xdr:col>
          <xdr:colOff>0</xdr:colOff>
          <xdr:row>3</xdr:row>
          <xdr:rowOff>104775</xdr:rowOff>
        </xdr:to>
        <xdr:sp macro="" textlink="">
          <xdr:nvSpPr>
            <xdr:cNvPr id="65604" name="Spinner 2116" hidden="1">
              <a:extLst>
                <a:ext uri="{63B3BB69-23CF-44E3-9099-C40C66FF867C}">
                  <a14:compatExt spid="_x0000_s65604"/>
                </a:ext>
                <a:ext uri="{FF2B5EF4-FFF2-40B4-BE49-F238E27FC236}">
                  <a16:creationId xmlns:a16="http://schemas.microsoft.com/office/drawing/2014/main" id="{00000000-0008-0000-0000-00004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333375</xdr:colOff>
      <xdr:row>18</xdr:row>
      <xdr:rowOff>133350</xdr:rowOff>
    </xdr:from>
    <xdr:to>
      <xdr:col>15</xdr:col>
      <xdr:colOff>609600</xdr:colOff>
      <xdr:row>19</xdr:row>
      <xdr:rowOff>142874</xdr:rowOff>
    </xdr:to>
    <xdr:sp macro="" textlink="$AC$8">
      <xdr:nvSpPr>
        <xdr:cNvPr id="309" name="Rectangl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7277100" y="382905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6BEBD9-F57F-4477-86C3-32A90318E90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E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19</xdr:row>
      <xdr:rowOff>161925</xdr:rowOff>
    </xdr:from>
    <xdr:to>
      <xdr:col>15</xdr:col>
      <xdr:colOff>609600</xdr:colOff>
      <xdr:row>20</xdr:row>
      <xdr:rowOff>180974</xdr:rowOff>
    </xdr:to>
    <xdr:sp macro="" textlink="$AC$9">
      <xdr:nvSpPr>
        <xdr:cNvPr id="327" name="Rectangl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7296150" y="407670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B06018A-C2CA-4E49-A04F-98E81FABA16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F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21</xdr:row>
      <xdr:rowOff>0</xdr:rowOff>
    </xdr:from>
    <xdr:to>
      <xdr:col>15</xdr:col>
      <xdr:colOff>609600</xdr:colOff>
      <xdr:row>22</xdr:row>
      <xdr:rowOff>19049</xdr:rowOff>
    </xdr:to>
    <xdr:sp macro="" textlink="$AC$10">
      <xdr:nvSpPr>
        <xdr:cNvPr id="328" name="Rectangl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7277100" y="43148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892AD78-03D9-49F3-AA22-C63B9FCEFEA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G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22</xdr:row>
      <xdr:rowOff>85725</xdr:rowOff>
    </xdr:from>
    <xdr:to>
      <xdr:col>15</xdr:col>
      <xdr:colOff>609600</xdr:colOff>
      <xdr:row>23</xdr:row>
      <xdr:rowOff>95249</xdr:rowOff>
    </xdr:to>
    <xdr:sp macro="" textlink="$AC$11">
      <xdr:nvSpPr>
        <xdr:cNvPr id="329" name="Rectangl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6953250" y="46196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8CEF58-8F05-4102-8DC7-768040AEBC3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H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38100</xdr:colOff>
      <xdr:row>15</xdr:row>
      <xdr:rowOff>171450</xdr:rowOff>
    </xdr:from>
    <xdr:to>
      <xdr:col>4</xdr:col>
      <xdr:colOff>257175</xdr:colOff>
      <xdr:row>17</xdr:row>
      <xdr:rowOff>19050</xdr:rowOff>
    </xdr:to>
    <xdr:sp macro="" textlink="$AP$25">
      <xdr:nvSpPr>
        <xdr:cNvPr id="330" name="Rectangl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>
          <a:off x="1771650" y="3305175"/>
          <a:ext cx="219075" cy="2286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51A40F0-BA79-4F76-81E6-14DD9FA96CF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9525</xdr:colOff>
      <xdr:row>16</xdr:row>
      <xdr:rowOff>142875</xdr:rowOff>
    </xdr:from>
    <xdr:to>
      <xdr:col>22</xdr:col>
      <xdr:colOff>704850</xdr:colOff>
      <xdr:row>17</xdr:row>
      <xdr:rowOff>180975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667500" y="3448050"/>
          <a:ext cx="5543550" cy="228600"/>
        </a:xfrm>
        <a:prstGeom prst="rect">
          <a:avLst/>
        </a:prstGeom>
        <a:solidFill>
          <a:schemeClr val="tx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104776</xdr:colOff>
      <xdr:row>16</xdr:row>
      <xdr:rowOff>180976</xdr:rowOff>
    </xdr:from>
    <xdr:to>
      <xdr:col>17</xdr:col>
      <xdr:colOff>647700</xdr:colOff>
      <xdr:row>17</xdr:row>
      <xdr:rowOff>161925</xdr:rowOff>
    </xdr:to>
    <xdr:sp macro="" textlink="$AL$40">
      <xdr:nvSpPr>
        <xdr:cNvPr id="334" name="Rectangle 33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7239001" y="3476626"/>
          <a:ext cx="542924" cy="180974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2FB2080-47CC-4BA5-9E14-AC2BD7BDB13C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38100</xdr:colOff>
      <xdr:row>16</xdr:row>
      <xdr:rowOff>190499</xdr:rowOff>
    </xdr:from>
    <xdr:to>
      <xdr:col>20</xdr:col>
      <xdr:colOff>171450</xdr:colOff>
      <xdr:row>17</xdr:row>
      <xdr:rowOff>161925</xdr:rowOff>
    </xdr:to>
    <xdr:sp macro="" textlink="$AL$42">
      <xdr:nvSpPr>
        <xdr:cNvPr id="339" name="Rectangle 33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8601075" y="3486149"/>
          <a:ext cx="847725" cy="171451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761294-C39F-4AC2-9F2D-2664A4DB47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123824</xdr:colOff>
      <xdr:row>16</xdr:row>
      <xdr:rowOff>180975</xdr:rowOff>
    </xdr:from>
    <xdr:to>
      <xdr:col>21</xdr:col>
      <xdr:colOff>123824</xdr:colOff>
      <xdr:row>17</xdr:row>
      <xdr:rowOff>152400</xdr:rowOff>
    </xdr:to>
    <xdr:sp macro="" textlink="$AL$43">
      <xdr:nvSpPr>
        <xdr:cNvPr id="340" name="Rectangle 33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9401174" y="3476625"/>
          <a:ext cx="714375" cy="17145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6E9F352-7EF4-49F9-AC0D-0C4EE3BD0E6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47625</xdr:colOff>
      <xdr:row>16</xdr:row>
      <xdr:rowOff>190500</xdr:rowOff>
    </xdr:from>
    <xdr:to>
      <xdr:col>22</xdr:col>
      <xdr:colOff>361949</xdr:colOff>
      <xdr:row>17</xdr:row>
      <xdr:rowOff>133350</xdr:rowOff>
    </xdr:to>
    <xdr:sp macro="" textlink="$AL$44">
      <xdr:nvSpPr>
        <xdr:cNvPr id="341" name="Rectangle 34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10039350" y="3486150"/>
          <a:ext cx="1028699" cy="142875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95897EA-FA8A-4870-A6BD-2F699745B8A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647700</xdr:colOff>
      <xdr:row>16</xdr:row>
      <xdr:rowOff>171450</xdr:rowOff>
    </xdr:from>
    <xdr:to>
      <xdr:col>19</xdr:col>
      <xdr:colOff>57150</xdr:colOff>
      <xdr:row>17</xdr:row>
      <xdr:rowOff>161925</xdr:rowOff>
    </xdr:to>
    <xdr:sp macro="" textlink="$AL$41">
      <xdr:nvSpPr>
        <xdr:cNvPr id="342" name="Rectangle 34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7781925" y="3467100"/>
          <a:ext cx="838200" cy="19050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EA16920D-02A2-42EA-9017-F828BACD187A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551008</xdr:colOff>
      <xdr:row>1</xdr:row>
      <xdr:rowOff>179132</xdr:rowOff>
    </xdr:from>
    <xdr:to>
      <xdr:col>12</xdr:col>
      <xdr:colOff>485779</xdr:colOff>
      <xdr:row>6</xdr:row>
      <xdr:rowOff>211394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745546" y="237747"/>
          <a:ext cx="2653060" cy="1160609"/>
          <a:chOff x="4018106" y="245807"/>
          <a:chExt cx="2131110" cy="1146687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Drop Dow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010150" y="2476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8" name="Drop Dow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5010150" y="7048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Drop Down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000-000005040000}"/>
                  </a:ext>
                </a:extLst>
              </xdr:cNvPr>
              <xdr:cNvSpPr/>
            </xdr:nvSpPr>
            <xdr:spPr bwMode="auto">
              <a:xfrm>
                <a:off x="5008506" y="481854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0" name="Drop Down 6" hidden="1">
                <a:extLst>
                  <a:ext uri="{63B3BB69-23CF-44E3-9099-C40C66FF867C}">
                    <a14:compatExt spid="_x0000_s1030"/>
                  </a:ext>
                  <a:ext uri="{FF2B5EF4-FFF2-40B4-BE49-F238E27FC236}">
                    <a16:creationId xmlns:a16="http://schemas.microsoft.com/office/drawing/2014/main" id="{00000000-0008-0000-0000-000006040000}"/>
                  </a:ext>
                </a:extLst>
              </xdr:cNvPr>
              <xdr:cNvSpPr/>
            </xdr:nvSpPr>
            <xdr:spPr bwMode="auto">
              <a:xfrm>
                <a:off x="5008506" y="940952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AL$4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4018106" y="245807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526A708-51F8-4215-BB5D-1F04FDDE3DC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ANODA</a:t>
            </a:fld>
            <a:endParaRPr lang="en-US" sz="1100"/>
          </a:p>
        </xdr:txBody>
      </xdr:sp>
      <xdr:sp macro="" textlink="$AC$4">
        <xdr:nvSpPr>
          <xdr:cNvPr id="297" name="Rectangle 296">
            <a:extLst>
              <a:ext uri="{FF2B5EF4-FFF2-40B4-BE49-F238E27FC236}">
                <a16:creationId xmlns:a16="http://schemas.microsoft.com/office/drawing/2014/main" id="{00000000-0008-0000-0000-000029010000}"/>
              </a:ext>
            </a:extLst>
          </xdr:cNvPr>
          <xdr:cNvSpPr/>
        </xdr:nvSpPr>
        <xdr:spPr>
          <a:xfrm>
            <a:off x="5872991" y="257176"/>
            <a:ext cx="276225" cy="22859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C407A9B-35CA-42BF-BD10-87371963A70E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A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AC$5">
        <xdr:nvSpPr>
          <xdr:cNvPr id="305" name="Rectangle 304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/>
        </xdr:nvSpPr>
        <xdr:spPr>
          <a:xfrm>
            <a:off x="5872991" y="485775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A854738-E781-4B86-87D2-83686700B05E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B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AC$6">
        <xdr:nvSpPr>
          <xdr:cNvPr id="310" name="Rectangle 309">
            <a:extLst>
              <a:ext uri="{FF2B5EF4-FFF2-40B4-BE49-F238E27FC236}">
                <a16:creationId xmlns:a16="http://schemas.microsoft.com/office/drawing/2014/main" id="{00000000-0008-0000-0000-000036010000}"/>
              </a:ext>
            </a:extLst>
          </xdr:cNvPr>
          <xdr:cNvSpPr/>
        </xdr:nvSpPr>
        <xdr:spPr>
          <a:xfrm>
            <a:off x="5872991" y="714219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27572C6-E21D-4531-92D5-B5CC2CBA3C40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C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AC$7">
        <xdr:nvSpPr>
          <xdr:cNvPr id="326" name="Rectangle 325">
            <a:extLst>
              <a:ext uri="{FF2B5EF4-FFF2-40B4-BE49-F238E27FC236}">
                <a16:creationId xmlns:a16="http://schemas.microsoft.com/office/drawing/2014/main" id="{00000000-0008-0000-0000-000046010000}"/>
              </a:ext>
            </a:extLst>
          </xdr:cNvPr>
          <xdr:cNvSpPr/>
        </xdr:nvSpPr>
        <xdr:spPr>
          <a:xfrm>
            <a:off x="5872989" y="942664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6F4801C-C857-47C8-BCC4-6455BCC2E050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D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AM$4">
        <xdr:nvSpPr>
          <xdr:cNvPr id="574" name="Rectangle 573">
            <a:extLst>
              <a:ext uri="{FF2B5EF4-FFF2-40B4-BE49-F238E27FC236}">
                <a16:creationId xmlns:a16="http://schemas.microsoft.com/office/drawing/2014/main" id="{00000000-0008-0000-0000-00003E020000}"/>
              </a:ext>
            </a:extLst>
          </xdr:cNvPr>
          <xdr:cNvSpPr/>
        </xdr:nvSpPr>
        <xdr:spPr>
          <a:xfrm>
            <a:off x="4019550" y="4762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55C8E16-96C7-44A7-809C-943E958FF38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KATODA</a:t>
            </a:fld>
            <a:endParaRPr lang="en-US" sz="1100"/>
          </a:p>
        </xdr:txBody>
      </xdr:sp>
      <xdr:sp macro="" textlink="$AL$3">
        <xdr:nvSpPr>
          <xdr:cNvPr id="575" name="Rectangle 574">
            <a:extLst>
              <a:ext uri="{FF2B5EF4-FFF2-40B4-BE49-F238E27FC236}">
                <a16:creationId xmlns:a16="http://schemas.microsoft.com/office/drawing/2014/main" id="{00000000-0008-0000-0000-00003F020000}"/>
              </a:ext>
            </a:extLst>
          </xdr:cNvPr>
          <xdr:cNvSpPr/>
        </xdr:nvSpPr>
        <xdr:spPr>
          <a:xfrm>
            <a:off x="4019550" y="7048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3DA7DD0-4F1A-47F4-9E7E-0FE1C3E241C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ELEKTROLIT</a:t>
            </a:fld>
            <a:endParaRPr lang="en-US" sz="1100"/>
          </a:p>
        </xdr:txBody>
      </xdr:sp>
      <xdr:sp macro="" textlink="$AL$13">
        <xdr:nvSpPr>
          <xdr:cNvPr id="576" name="Rectangle 575">
            <a:extLst>
              <a:ext uri="{FF2B5EF4-FFF2-40B4-BE49-F238E27FC236}">
                <a16:creationId xmlns:a16="http://schemas.microsoft.com/office/drawing/2014/main" id="{00000000-0008-0000-0000-000040020000}"/>
              </a:ext>
            </a:extLst>
          </xdr:cNvPr>
          <xdr:cNvSpPr/>
        </xdr:nvSpPr>
        <xdr:spPr>
          <a:xfrm>
            <a:off x="4019550" y="9334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C9238A3-66FA-402D-B423-0F6752946E3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SAMPEL</a:t>
            </a:fld>
            <a:endParaRPr lang="en-US" sz="1100"/>
          </a:p>
        </xdr:txBody>
      </xdr:sp>
      <xdr:sp macro="" textlink="$AN$14">
        <xdr:nvSpPr>
          <xdr:cNvPr id="577" name="Rectangle 576">
            <a:extLst>
              <a:ext uri="{FF2B5EF4-FFF2-40B4-BE49-F238E27FC236}">
                <a16:creationId xmlns:a16="http://schemas.microsoft.com/office/drawing/2014/main" id="{00000000-0008-0000-0000-000041020000}"/>
              </a:ext>
            </a:extLst>
          </xdr:cNvPr>
          <xdr:cNvSpPr/>
        </xdr:nvSpPr>
        <xdr:spPr>
          <a:xfrm>
            <a:off x="4019550" y="1162050"/>
            <a:ext cx="1847264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EE748811-C280-43C1-BC95-1AE6B2A61763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r"/>
              <a:t>NOMOR PERCOBAAN →</a:t>
            </a:fld>
            <a:endParaRPr lang="en-US" sz="1100" b="1"/>
          </a:p>
        </xdr:txBody>
      </xdr:sp>
    </xdr:grpSp>
    <xdr:clientData/>
  </xdr:twoCellAnchor>
  <xdr:twoCellAnchor>
    <xdr:from>
      <xdr:col>14</xdr:col>
      <xdr:colOff>57149</xdr:colOff>
      <xdr:row>5</xdr:row>
      <xdr:rowOff>133350</xdr:rowOff>
    </xdr:from>
    <xdr:to>
      <xdr:col>17</xdr:col>
      <xdr:colOff>333374</xdr:colOff>
      <xdr:row>6</xdr:row>
      <xdr:rowOff>38100</xdr:rowOff>
    </xdr:to>
    <xdr:sp macro="" textlink="$AF$25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05549" y="1076325"/>
          <a:ext cx="15525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400D018-C4CC-4037-8711-CE17CE65854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Persaingan Oksidasi Ion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20</xdr:col>
      <xdr:colOff>676275</xdr:colOff>
      <xdr:row>5</xdr:row>
      <xdr:rowOff>85725</xdr:rowOff>
    </xdr:from>
    <xdr:to>
      <xdr:col>23</xdr:col>
      <xdr:colOff>76200</xdr:colOff>
      <xdr:row>6</xdr:row>
      <xdr:rowOff>28575</xdr:rowOff>
    </xdr:to>
    <xdr:sp macro="" textlink="$AF$24">
      <xdr:nvSpPr>
        <xdr:cNvPr id="491" name="Rectangle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10858500" y="1028700"/>
          <a:ext cx="15430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09A68C5-C1BB-42AB-9135-75C7ECB1A96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Persaingan Reduksi Ion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704850</xdr:colOff>
      <xdr:row>18</xdr:row>
      <xdr:rowOff>9525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6953250" y="257175"/>
          <a:ext cx="5553075" cy="3457575"/>
        </a:xfrm>
        <a:prstGeom prst="rect">
          <a:avLst/>
        </a:prstGeom>
        <a:noFill/>
        <a:ln w="60325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342901</xdr:colOff>
      <xdr:row>7</xdr:row>
      <xdr:rowOff>183411</xdr:rowOff>
    </xdr:from>
    <xdr:to>
      <xdr:col>19</xdr:col>
      <xdr:colOff>28576</xdr:colOff>
      <xdr:row>8</xdr:row>
      <xdr:rowOff>209550</xdr:rowOff>
    </xdr:to>
    <xdr:sp macro="" textlink="$AL$11">
      <xdr:nvSpPr>
        <xdr:cNvPr id="314" name="Rectangl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9210676" y="1583586"/>
          <a:ext cx="400050" cy="2261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79C3903-0EEF-45C2-A06B-084E8B0608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C</a:t>
          </a:fld>
          <a:endParaRPr lang="en-US" sz="1100"/>
        </a:p>
      </xdr:txBody>
    </xdr:sp>
    <xdr:clientData/>
  </xdr:twoCellAnchor>
  <xdr:twoCellAnchor>
    <xdr:from>
      <xdr:col>19</xdr:col>
      <xdr:colOff>428624</xdr:colOff>
      <xdr:row>7</xdr:row>
      <xdr:rowOff>193030</xdr:rowOff>
    </xdr:from>
    <xdr:to>
      <xdr:col>20</xdr:col>
      <xdr:colOff>57148</xdr:colOff>
      <xdr:row>8</xdr:row>
      <xdr:rowOff>200024</xdr:rowOff>
    </xdr:to>
    <xdr:sp macro="" textlink="$AL$12">
      <xdr:nvSpPr>
        <xdr:cNvPr id="315" name="Rectangl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9791699" y="1593205"/>
          <a:ext cx="342899" cy="2070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8DD27231-4907-4235-9F76-F98B4C25D7A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C</a:t>
          </a:fld>
          <a:endParaRPr lang="en-US" sz="1100"/>
        </a:p>
      </xdr:txBody>
    </xdr:sp>
    <xdr:clientData/>
  </xdr:twoCellAnchor>
  <xdr:twoCellAnchor>
    <xdr:from>
      <xdr:col>18</xdr:col>
      <xdr:colOff>38100</xdr:colOff>
      <xdr:row>11</xdr:row>
      <xdr:rowOff>57150</xdr:rowOff>
    </xdr:from>
    <xdr:to>
      <xdr:col>18</xdr:col>
      <xdr:colOff>476250</xdr:colOff>
      <xdr:row>14</xdr:row>
      <xdr:rowOff>95250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GrpSpPr/>
      </xdr:nvGrpSpPr>
      <xdr:grpSpPr>
        <a:xfrm>
          <a:off x="8522677" y="2416419"/>
          <a:ext cx="438150" cy="602273"/>
          <a:chOff x="9791700" y="2743200"/>
          <a:chExt cx="523875" cy="65722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X$4">
          <xdr:nvSpPr>
            <xdr:cNvPr id="509" name="Rectangle 508">
              <a:extLst>
                <a:ext uri="{FF2B5EF4-FFF2-40B4-BE49-F238E27FC236}">
                  <a16:creationId xmlns:a16="http://schemas.microsoft.com/office/drawing/2014/main" id="{00000000-0008-0000-0000-0000FD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o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X$4">
          <xdr:nvSpPr>
            <xdr:cNvPr id="510" name="Rectangle 509">
              <a:extLst>
                <a:ext uri="{FF2B5EF4-FFF2-40B4-BE49-F238E27FC236}">
                  <a16:creationId xmlns:a16="http://schemas.microsoft.com/office/drawing/2014/main" id="{00000000-0008-0000-0000-0000FE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o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X$4">
          <xdr:nvSpPr>
            <xdr:cNvPr id="511" name="Rectangle 510">
              <a:extLst>
                <a:ext uri="{FF2B5EF4-FFF2-40B4-BE49-F238E27FC236}">
                  <a16:creationId xmlns:a16="http://schemas.microsoft.com/office/drawing/2014/main" id="{00000000-0008-0000-0000-0000FF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o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499" name="Group 49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00" name="Group 499">
              <a:extLst>
                <a:ext uri="{FF2B5EF4-FFF2-40B4-BE49-F238E27FC236}">
                  <a16:creationId xmlns:a16="http://schemas.microsoft.com/office/drawing/2014/main" id="{00000000-0008-0000-0000-0000F4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X$4">
            <xdr:nvSpPr>
              <xdr:cNvPr id="507" name="Rectangle 506">
                <a:extLst>
                  <a:ext uri="{FF2B5EF4-FFF2-40B4-BE49-F238E27FC236}">
                    <a16:creationId xmlns:a16="http://schemas.microsoft.com/office/drawing/2014/main" id="{00000000-0008-0000-0000-0000FB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508" name="Rectangle 507">
                <a:extLst>
                  <a:ext uri="{FF2B5EF4-FFF2-40B4-BE49-F238E27FC236}">
                    <a16:creationId xmlns:a16="http://schemas.microsoft.com/office/drawing/2014/main" id="{00000000-0008-0000-0000-0000FC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501" name="Group 500">
              <a:extLst>
                <a:ext uri="{FF2B5EF4-FFF2-40B4-BE49-F238E27FC236}">
                  <a16:creationId xmlns:a16="http://schemas.microsoft.com/office/drawing/2014/main" id="{00000000-0008-0000-0000-0000F5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X$4">
            <xdr:nvSpPr>
              <xdr:cNvPr id="502" name="Rectangle 501">
                <a:extLst>
                  <a:ext uri="{FF2B5EF4-FFF2-40B4-BE49-F238E27FC236}">
                    <a16:creationId xmlns:a16="http://schemas.microsoft.com/office/drawing/2014/main" id="{00000000-0008-0000-0000-0000F6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503" name="Rectangle 502">
                <a:extLst>
                  <a:ext uri="{FF2B5EF4-FFF2-40B4-BE49-F238E27FC236}">
                    <a16:creationId xmlns:a16="http://schemas.microsoft.com/office/drawing/2014/main" id="{00000000-0008-0000-0000-0000F7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504" name="Rectangle 503">
                <a:extLst>
                  <a:ext uri="{FF2B5EF4-FFF2-40B4-BE49-F238E27FC236}">
                    <a16:creationId xmlns:a16="http://schemas.microsoft.com/office/drawing/2014/main" id="{00000000-0008-0000-0000-0000F8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505" name="Rectangle 504">
                <a:extLst>
                  <a:ext uri="{FF2B5EF4-FFF2-40B4-BE49-F238E27FC236}">
                    <a16:creationId xmlns:a16="http://schemas.microsoft.com/office/drawing/2014/main" id="{00000000-0008-0000-0000-0000F9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X$4">
            <xdr:nvSpPr>
              <xdr:cNvPr id="506" name="Rectangle 505">
                <a:extLst>
                  <a:ext uri="{FF2B5EF4-FFF2-40B4-BE49-F238E27FC236}">
                    <a16:creationId xmlns:a16="http://schemas.microsoft.com/office/drawing/2014/main" id="{00000000-0008-0000-0000-0000FA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o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581025</xdr:colOff>
      <xdr:row>11</xdr:row>
      <xdr:rowOff>66675</xdr:rowOff>
    </xdr:from>
    <xdr:to>
      <xdr:col>20</xdr:col>
      <xdr:colOff>285750</xdr:colOff>
      <xdr:row>14</xdr:row>
      <xdr:rowOff>123825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GrpSpPr/>
      </xdr:nvGrpSpPr>
      <xdr:grpSpPr>
        <a:xfrm>
          <a:off x="9783640" y="2425944"/>
          <a:ext cx="430091" cy="621323"/>
          <a:chOff x="9791700" y="2743200"/>
          <a:chExt cx="523875" cy="657225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Y$5">
          <xdr:nvSpPr>
            <xdr:cNvPr id="524" name="Rectangle 523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Y$5">
          <xdr:nvSpPr>
            <xdr:cNvPr id="525" name="Rectangle 524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Y$5">
          <xdr:nvSpPr>
            <xdr:cNvPr id="526" name="Rectangle 525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14" name="Group 513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000-000003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Y$5">
            <xdr:nvSpPr>
              <xdr:cNvPr id="522" name="Rectangle 521">
                <a:extLst>
                  <a:ext uri="{FF2B5EF4-FFF2-40B4-BE49-F238E27FC236}">
                    <a16:creationId xmlns:a16="http://schemas.microsoft.com/office/drawing/2014/main" id="{00000000-0008-0000-0000-00000A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523" name="Rectangle 522">
                <a:extLst>
                  <a:ext uri="{FF2B5EF4-FFF2-40B4-BE49-F238E27FC236}">
                    <a16:creationId xmlns:a16="http://schemas.microsoft.com/office/drawing/2014/main" id="{00000000-0008-0000-0000-00000B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16" name="Group 515">
              <a:extLst>
                <a:ext uri="{FF2B5EF4-FFF2-40B4-BE49-F238E27FC236}">
                  <a16:creationId xmlns:a16="http://schemas.microsoft.com/office/drawing/2014/main" id="{00000000-0008-0000-0000-000004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Y$5">
            <xdr:nvSpPr>
              <xdr:cNvPr id="517" name="Rectangle 516">
                <a:extLst>
                  <a:ext uri="{FF2B5EF4-FFF2-40B4-BE49-F238E27FC236}">
                    <a16:creationId xmlns:a16="http://schemas.microsoft.com/office/drawing/2014/main" id="{00000000-0008-0000-0000-000005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518" name="Rectangle 517">
                <a:extLst>
                  <a:ext uri="{FF2B5EF4-FFF2-40B4-BE49-F238E27FC236}">
                    <a16:creationId xmlns:a16="http://schemas.microsoft.com/office/drawing/2014/main" id="{00000000-0008-0000-0000-000006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519" name="Rectangle 518">
                <a:extLst>
                  <a:ext uri="{FF2B5EF4-FFF2-40B4-BE49-F238E27FC236}">
                    <a16:creationId xmlns:a16="http://schemas.microsoft.com/office/drawing/2014/main" id="{00000000-0008-0000-0000-000007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520" name="Rectangle 519">
                <a:extLst>
                  <a:ext uri="{FF2B5EF4-FFF2-40B4-BE49-F238E27FC236}">
                    <a16:creationId xmlns:a16="http://schemas.microsoft.com/office/drawing/2014/main" id="{00000000-0008-0000-0000-000008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5">
            <xdr:nvSpPr>
              <xdr:cNvPr id="521" name="Rectangle 520">
                <a:extLst>
                  <a:ext uri="{FF2B5EF4-FFF2-40B4-BE49-F238E27FC236}">
                    <a16:creationId xmlns:a16="http://schemas.microsoft.com/office/drawing/2014/main" id="{00000000-0008-0000-0000-000009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47625</xdr:colOff>
      <xdr:row>11</xdr:row>
      <xdr:rowOff>85725</xdr:rowOff>
    </xdr:from>
    <xdr:to>
      <xdr:col>18</xdr:col>
      <xdr:colOff>457200</xdr:colOff>
      <xdr:row>14</xdr:row>
      <xdr:rowOff>28575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GrpSpPr/>
      </xdr:nvGrpSpPr>
      <xdr:grpSpPr>
        <a:xfrm>
          <a:off x="8532202" y="2444994"/>
          <a:ext cx="409575" cy="507023"/>
          <a:chOff x="9791700" y="2743200"/>
          <a:chExt cx="523875" cy="657225"/>
        </a:xfrm>
      </xdr:grpSpPr>
      <xdr:grpSp>
        <xdr:nvGrpSpPr>
          <xdr:cNvPr id="528" name="Group 527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X$6">
          <xdr:nvSpPr>
            <xdr:cNvPr id="539" name="Rectangle 538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X$6">
          <xdr:nvSpPr>
            <xdr:cNvPr id="540" name="Rectangle 539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X$6">
          <xdr:nvSpPr>
            <xdr:cNvPr id="541" name="Rectangle 540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29" name="Group 528">
            <a:extLst>
              <a:ext uri="{FF2B5EF4-FFF2-40B4-BE49-F238E27FC236}">
                <a16:creationId xmlns:a16="http://schemas.microsoft.com/office/drawing/2014/main" id="{00000000-0008-0000-0000-000011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30" name="Group 529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X$6">
            <xdr:nvSpPr>
              <xdr:cNvPr id="537" name="Rectangle 536">
                <a:extLst>
                  <a:ext uri="{FF2B5EF4-FFF2-40B4-BE49-F238E27FC236}">
                    <a16:creationId xmlns:a16="http://schemas.microsoft.com/office/drawing/2014/main" id="{00000000-0008-0000-0000-000019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538" name="Rectangle 537">
                <a:extLst>
                  <a:ext uri="{FF2B5EF4-FFF2-40B4-BE49-F238E27FC236}">
                    <a16:creationId xmlns:a16="http://schemas.microsoft.com/office/drawing/2014/main" id="{00000000-0008-0000-0000-00001A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31" name="Group 530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X$6">
            <xdr:nvSpPr>
              <xdr:cNvPr id="532" name="Rectangle 531">
                <a:extLst>
                  <a:ext uri="{FF2B5EF4-FFF2-40B4-BE49-F238E27FC236}">
                    <a16:creationId xmlns:a16="http://schemas.microsoft.com/office/drawing/2014/main" id="{00000000-0008-0000-0000-000014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533" name="Rectangle 532">
                <a:extLst>
                  <a:ext uri="{FF2B5EF4-FFF2-40B4-BE49-F238E27FC236}">
                    <a16:creationId xmlns:a16="http://schemas.microsoft.com/office/drawing/2014/main" id="{00000000-0008-0000-0000-000015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534" name="Rectangle 533">
                <a:extLst>
                  <a:ext uri="{FF2B5EF4-FFF2-40B4-BE49-F238E27FC236}">
                    <a16:creationId xmlns:a16="http://schemas.microsoft.com/office/drawing/2014/main" id="{00000000-0008-0000-0000-000016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535" name="Rectangle 534">
                <a:extLst>
                  <a:ext uri="{FF2B5EF4-FFF2-40B4-BE49-F238E27FC236}">
                    <a16:creationId xmlns:a16="http://schemas.microsoft.com/office/drawing/2014/main" id="{00000000-0008-0000-0000-000017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6">
            <xdr:nvSpPr>
              <xdr:cNvPr id="536" name="Rectangle 535">
                <a:extLst>
                  <a:ext uri="{FF2B5EF4-FFF2-40B4-BE49-F238E27FC236}">
                    <a16:creationId xmlns:a16="http://schemas.microsoft.com/office/drawing/2014/main" id="{00000000-0008-0000-0000-000018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66675</xdr:colOff>
      <xdr:row>10</xdr:row>
      <xdr:rowOff>219075</xdr:rowOff>
    </xdr:from>
    <xdr:to>
      <xdr:col>18</xdr:col>
      <xdr:colOff>609600</xdr:colOff>
      <xdr:row>14</xdr:row>
      <xdr:rowOff>38100</xdr:rowOff>
    </xdr:to>
    <xdr:grpSp>
      <xdr:nvGrpSpPr>
        <xdr:cNvPr id="557" name="Group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GrpSpPr/>
      </xdr:nvGrpSpPr>
      <xdr:grpSpPr>
        <a:xfrm>
          <a:off x="8551252" y="2329229"/>
          <a:ext cx="542925" cy="632313"/>
          <a:chOff x="9791700" y="2743200"/>
          <a:chExt cx="523875" cy="657225"/>
        </a:xfrm>
      </xdr:grpSpPr>
      <xdr:grpSp>
        <xdr:nvGrpSpPr>
          <xdr:cNvPr id="558" name="Group 557">
            <a:extLst>
              <a:ext uri="{FF2B5EF4-FFF2-40B4-BE49-F238E27FC236}">
                <a16:creationId xmlns:a16="http://schemas.microsoft.com/office/drawing/2014/main" id="{00000000-0008-0000-0000-00002E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X$7">
          <xdr:nvSpPr>
            <xdr:cNvPr id="569" name="Rectangle 568">
              <a:extLst>
                <a:ext uri="{FF2B5EF4-FFF2-40B4-BE49-F238E27FC236}">
                  <a16:creationId xmlns:a16="http://schemas.microsoft.com/office/drawing/2014/main" id="{00000000-0008-0000-0000-000039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F396863-BA87-44E5-9EAF-C5E83744AA6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X$7">
          <xdr:nvSpPr>
            <xdr:cNvPr id="570" name="Rectangle 569">
              <a:extLst>
                <a:ext uri="{FF2B5EF4-FFF2-40B4-BE49-F238E27FC236}">
                  <a16:creationId xmlns:a16="http://schemas.microsoft.com/office/drawing/2014/main" id="{00000000-0008-0000-0000-00003A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B2FCAB55-F536-4814-A4A8-003871079FA8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X$7">
          <xdr:nvSpPr>
            <xdr:cNvPr id="571" name="Rectangle 570">
              <a:extLst>
                <a:ext uri="{FF2B5EF4-FFF2-40B4-BE49-F238E27FC236}">
                  <a16:creationId xmlns:a16="http://schemas.microsoft.com/office/drawing/2014/main" id="{00000000-0008-0000-0000-00003B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B798994-6EE5-4DEA-83C2-6A461B5E41D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59" name="Group 558">
            <a:extLst>
              <a:ext uri="{FF2B5EF4-FFF2-40B4-BE49-F238E27FC236}">
                <a16:creationId xmlns:a16="http://schemas.microsoft.com/office/drawing/2014/main" id="{00000000-0008-0000-0000-00002F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60" name="Group 559">
              <a:extLst>
                <a:ext uri="{FF2B5EF4-FFF2-40B4-BE49-F238E27FC236}">
                  <a16:creationId xmlns:a16="http://schemas.microsoft.com/office/drawing/2014/main" id="{00000000-0008-0000-0000-000030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X$7">
            <xdr:nvSpPr>
              <xdr:cNvPr id="567" name="Rectangle 566">
                <a:extLst>
                  <a:ext uri="{FF2B5EF4-FFF2-40B4-BE49-F238E27FC236}">
                    <a16:creationId xmlns:a16="http://schemas.microsoft.com/office/drawing/2014/main" id="{00000000-0008-0000-0000-000037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AE6B91-B48C-45B6-8495-89318DE90D2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568" name="Rectangle 567">
                <a:extLst>
                  <a:ext uri="{FF2B5EF4-FFF2-40B4-BE49-F238E27FC236}">
                    <a16:creationId xmlns:a16="http://schemas.microsoft.com/office/drawing/2014/main" id="{00000000-0008-0000-0000-000038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F17BD3A-D8E6-422F-BF26-0603E21529A6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61" name="Group 560">
              <a:extLst>
                <a:ext uri="{FF2B5EF4-FFF2-40B4-BE49-F238E27FC236}">
                  <a16:creationId xmlns:a16="http://schemas.microsoft.com/office/drawing/2014/main" id="{00000000-0008-0000-0000-000031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X$7">
            <xdr:nvSpPr>
              <xdr:cNvPr id="562" name="Rectangle 561">
                <a:extLst>
                  <a:ext uri="{FF2B5EF4-FFF2-40B4-BE49-F238E27FC236}">
                    <a16:creationId xmlns:a16="http://schemas.microsoft.com/office/drawing/2014/main" id="{00000000-0008-0000-0000-000032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DDA564D-A2C9-4A64-AD1C-27AFD0E7E974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563" name="Rectangle 562">
                <a:extLst>
                  <a:ext uri="{FF2B5EF4-FFF2-40B4-BE49-F238E27FC236}">
                    <a16:creationId xmlns:a16="http://schemas.microsoft.com/office/drawing/2014/main" id="{00000000-0008-0000-0000-000033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45D59E2-DB63-41D5-B686-461F0E38C93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564" name="Rectangle 563">
                <a:extLst>
                  <a:ext uri="{FF2B5EF4-FFF2-40B4-BE49-F238E27FC236}">
                    <a16:creationId xmlns:a16="http://schemas.microsoft.com/office/drawing/2014/main" id="{00000000-0008-0000-0000-000034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8BE2236-7386-4D48-B81D-EC4D38DF088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565" name="Rectangle 564">
                <a:extLst>
                  <a:ext uri="{FF2B5EF4-FFF2-40B4-BE49-F238E27FC236}">
                    <a16:creationId xmlns:a16="http://schemas.microsoft.com/office/drawing/2014/main" id="{00000000-0008-0000-0000-000035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743C7A-338C-4AE5-8D34-E94E780453DE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X$7">
            <xdr:nvSpPr>
              <xdr:cNvPr id="566" name="Rectangle 565">
                <a:extLst>
                  <a:ext uri="{FF2B5EF4-FFF2-40B4-BE49-F238E27FC236}">
                    <a16:creationId xmlns:a16="http://schemas.microsoft.com/office/drawing/2014/main" id="{00000000-0008-0000-0000-000036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E5A8BCF9-FB02-427A-A6C8-2D5016609889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514350</xdr:colOff>
      <xdr:row>10</xdr:row>
      <xdr:rowOff>190500</xdr:rowOff>
    </xdr:from>
    <xdr:to>
      <xdr:col>20</xdr:col>
      <xdr:colOff>190500</xdr:colOff>
      <xdr:row>13</xdr:row>
      <xdr:rowOff>190500</xdr:rowOff>
    </xdr:to>
    <xdr:grpSp>
      <xdr:nvGrpSpPr>
        <xdr:cNvPr id="542" name="Group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GrpSpPr/>
      </xdr:nvGrpSpPr>
      <xdr:grpSpPr>
        <a:xfrm>
          <a:off x="9716965" y="2300654"/>
          <a:ext cx="401516" cy="615461"/>
          <a:chOff x="9791700" y="2743200"/>
          <a:chExt cx="523875" cy="628230"/>
        </a:xfrm>
      </xdr:grpSpPr>
      <xdr:grpSp>
        <xdr:nvGrpSpPr>
          <xdr:cNvPr id="543" name="Group 542">
            <a:extLst>
              <a:ext uri="{FF2B5EF4-FFF2-40B4-BE49-F238E27FC236}">
                <a16:creationId xmlns:a16="http://schemas.microsoft.com/office/drawing/2014/main" id="{00000000-0008-0000-0000-00001F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Y$8">
          <xdr:nvSpPr>
            <xdr:cNvPr id="554" name="Rectangle 553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*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Y$8">
          <xdr:nvSpPr>
            <xdr:cNvPr id="555" name="Rectangle 554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*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Y$8">
          <xdr:nvSpPr>
            <xdr:cNvPr id="556" name="Rectangle 555">
              <a:extLst>
                <a:ext uri="{FF2B5EF4-FFF2-40B4-BE49-F238E27FC236}">
                  <a16:creationId xmlns:a16="http://schemas.microsoft.com/office/drawing/2014/main" id="{00000000-0008-0000-0000-00002C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*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544" name="Group 543">
            <a:extLst>
              <a:ext uri="{FF2B5EF4-FFF2-40B4-BE49-F238E27FC236}">
                <a16:creationId xmlns:a16="http://schemas.microsoft.com/office/drawing/2014/main" id="{00000000-0008-0000-0000-000020020000}"/>
              </a:ext>
            </a:extLst>
          </xdr:cNvPr>
          <xdr:cNvGrpSpPr/>
        </xdr:nvGrpSpPr>
        <xdr:grpSpPr>
          <a:xfrm>
            <a:off x="9791700" y="2828925"/>
            <a:ext cx="523875" cy="542505"/>
            <a:chOff x="9810750" y="2771775"/>
            <a:chExt cx="523875" cy="542505"/>
          </a:xfrm>
        </xdr:grpSpPr>
        <xdr:grpSp>
          <xdr:nvGrpSpPr>
            <xdr:cNvPr id="545" name="Group 544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Y$8">
            <xdr:nvSpPr>
              <xdr:cNvPr id="552" name="Rectangle 551">
                <a:extLst>
                  <a:ext uri="{FF2B5EF4-FFF2-40B4-BE49-F238E27FC236}">
                    <a16:creationId xmlns:a16="http://schemas.microsoft.com/office/drawing/2014/main" id="{00000000-0008-0000-0000-000028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553" name="Rectangle 552">
                <a:extLst>
                  <a:ext uri="{FF2B5EF4-FFF2-40B4-BE49-F238E27FC236}">
                    <a16:creationId xmlns:a16="http://schemas.microsoft.com/office/drawing/2014/main" id="{00000000-0008-0000-0000-000029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546" name="Group 545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GrpSpPr/>
          </xdr:nvGrpSpPr>
          <xdr:grpSpPr>
            <a:xfrm>
              <a:off x="9810750" y="2771775"/>
              <a:ext cx="523875" cy="542505"/>
              <a:chOff x="8715375" y="2733675"/>
              <a:chExt cx="523875" cy="542505"/>
            </a:xfrm>
          </xdr:grpSpPr>
          <xdr:sp macro="" textlink="$AY$8">
            <xdr:nvSpPr>
              <xdr:cNvPr id="547" name="Rectangle 546">
                <a:extLst>
                  <a:ext uri="{FF2B5EF4-FFF2-40B4-BE49-F238E27FC236}">
                    <a16:creationId xmlns:a16="http://schemas.microsoft.com/office/drawing/2014/main" id="{00000000-0008-0000-0000-000023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548" name="Rectangle 547">
                <a:extLst>
                  <a:ext uri="{FF2B5EF4-FFF2-40B4-BE49-F238E27FC236}">
                    <a16:creationId xmlns:a16="http://schemas.microsoft.com/office/drawing/2014/main" id="{00000000-0008-0000-0000-000024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549" name="Rectangle 548">
                <a:extLst>
                  <a:ext uri="{FF2B5EF4-FFF2-40B4-BE49-F238E27FC236}">
                    <a16:creationId xmlns:a16="http://schemas.microsoft.com/office/drawing/2014/main" id="{00000000-0008-0000-0000-000025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550" name="Rectangle 549">
                <a:extLst>
                  <a:ext uri="{FF2B5EF4-FFF2-40B4-BE49-F238E27FC236}">
                    <a16:creationId xmlns:a16="http://schemas.microsoft.com/office/drawing/2014/main" id="{00000000-0008-0000-0000-000026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Y$8">
            <xdr:nvSpPr>
              <xdr:cNvPr id="551" name="Rectangle 550">
                <a:extLst>
                  <a:ext uri="{FF2B5EF4-FFF2-40B4-BE49-F238E27FC236}">
                    <a16:creationId xmlns:a16="http://schemas.microsoft.com/office/drawing/2014/main" id="{00000000-0008-0000-0000-000027020000}"/>
                  </a:ext>
                </a:extLst>
              </xdr:cNvPr>
              <xdr:cNvSpPr/>
            </xdr:nvSpPr>
            <xdr:spPr>
              <a:xfrm>
                <a:off x="8836413" y="303805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*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561989</xdr:colOff>
      <xdr:row>10</xdr:row>
      <xdr:rowOff>57149</xdr:rowOff>
    </xdr:from>
    <xdr:to>
      <xdr:col>20</xdr:col>
      <xdr:colOff>228614</xdr:colOff>
      <xdr:row>14</xdr:row>
      <xdr:rowOff>47624</xdr:rowOff>
    </xdr:to>
    <xdr:grpSp>
      <xdr:nvGrpSpPr>
        <xdr:cNvPr id="316" name="Group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GrpSpPr/>
      </xdr:nvGrpSpPr>
      <xdr:grpSpPr>
        <a:xfrm>
          <a:off x="9764604" y="2167303"/>
          <a:ext cx="391991" cy="803763"/>
          <a:chOff x="9791701" y="2743200"/>
          <a:chExt cx="523874" cy="657225"/>
        </a:xfrm>
      </xdr:grpSpPr>
      <xdr:grpSp>
        <xdr:nvGrpSpPr>
          <xdr:cNvPr id="317" name="Group 316">
            <a:extLst>
              <a:ext uri="{FF2B5EF4-FFF2-40B4-BE49-F238E27FC236}">
                <a16:creationId xmlns:a16="http://schemas.microsoft.com/office/drawing/2014/main" id="{00000000-0008-0000-0000-00003D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Y$6">
          <xdr:nvSpPr>
            <xdr:cNvPr id="353" name="Rectangle 352">
              <a:extLst>
                <a:ext uri="{FF2B5EF4-FFF2-40B4-BE49-F238E27FC236}">
                  <a16:creationId xmlns:a16="http://schemas.microsoft.com/office/drawing/2014/main" id="{00000000-0008-0000-0000-000061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Y$6">
          <xdr:nvSpPr>
            <xdr:cNvPr id="354" name="Rectangle 353">
              <a:extLst>
                <a:ext uri="{FF2B5EF4-FFF2-40B4-BE49-F238E27FC236}">
                  <a16:creationId xmlns:a16="http://schemas.microsoft.com/office/drawing/2014/main" id="{00000000-0008-0000-0000-000062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Y$6">
          <xdr:nvSpPr>
            <xdr:cNvPr id="355" name="Rectangle 354">
              <a:extLst>
                <a:ext uri="{FF2B5EF4-FFF2-40B4-BE49-F238E27FC236}">
                  <a16:creationId xmlns:a16="http://schemas.microsoft.com/office/drawing/2014/main" id="{00000000-0008-0000-0000-000063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18" name="Group 317">
            <a:extLst>
              <a:ext uri="{FF2B5EF4-FFF2-40B4-BE49-F238E27FC236}">
                <a16:creationId xmlns:a16="http://schemas.microsoft.com/office/drawing/2014/main" id="{00000000-0008-0000-0000-00003E010000}"/>
              </a:ext>
            </a:extLst>
          </xdr:cNvPr>
          <xdr:cNvGrpSpPr/>
        </xdr:nvGrpSpPr>
        <xdr:grpSpPr>
          <a:xfrm>
            <a:off x="9791701" y="2828925"/>
            <a:ext cx="523874" cy="571500"/>
            <a:chOff x="9810751" y="2771775"/>
            <a:chExt cx="523874" cy="571500"/>
          </a:xfrm>
        </xdr:grpSpPr>
        <xdr:grpSp>
          <xdr:nvGrpSpPr>
            <xdr:cNvPr id="319" name="Group 318">
              <a:extLst>
                <a:ext uri="{FF2B5EF4-FFF2-40B4-BE49-F238E27FC236}">
                  <a16:creationId xmlns:a16="http://schemas.microsoft.com/office/drawing/2014/main" id="{00000000-0008-0000-0000-00003F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Y$6">
            <xdr:nvSpPr>
              <xdr:cNvPr id="333" name="Rectangle 332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352" name="Rectangle 351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0" name="Group 319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9810751" y="2771775"/>
              <a:ext cx="523874" cy="571500"/>
              <a:chOff x="8715376" y="2733675"/>
              <a:chExt cx="523874" cy="571500"/>
            </a:xfrm>
          </xdr:grpSpPr>
          <xdr:sp macro="" textlink="$AY$6">
            <xdr:nvSpPr>
              <xdr:cNvPr id="321" name="Rectangle 320">
                <a:extLst>
                  <a:ext uri="{FF2B5EF4-FFF2-40B4-BE49-F238E27FC236}">
                    <a16:creationId xmlns:a16="http://schemas.microsoft.com/office/drawing/2014/main" id="{00000000-0008-0000-0000-000041010000}"/>
                  </a:ext>
                </a:extLst>
              </xdr:cNvPr>
              <xdr:cNvSpPr/>
            </xdr:nvSpPr>
            <xdr:spPr>
              <a:xfrm>
                <a:off x="8715376" y="2943225"/>
                <a:ext cx="228601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322" name="Rectangle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323" name="Rectangle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324" name="Rectangle 323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Y$6">
            <xdr:nvSpPr>
              <xdr:cNvPr id="325" name="Rectangle 324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104775</xdr:colOff>
      <xdr:row>9</xdr:row>
      <xdr:rowOff>228599</xdr:rowOff>
    </xdr:from>
    <xdr:to>
      <xdr:col>2</xdr:col>
      <xdr:colOff>1400175</xdr:colOff>
      <xdr:row>12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8675" y="2076449"/>
          <a:ext cx="1409700" cy="561976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66675</xdr:colOff>
      <xdr:row>19</xdr:row>
      <xdr:rowOff>190500</xdr:rowOff>
    </xdr:from>
    <xdr:to>
      <xdr:col>4</xdr:col>
      <xdr:colOff>285750</xdr:colOff>
      <xdr:row>21</xdr:row>
      <xdr:rowOff>28575</xdr:rowOff>
    </xdr:to>
    <xdr:sp macro="" textlink="$AP$26">
      <xdr:nvSpPr>
        <xdr:cNvPr id="332" name="Rectangl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1905000" y="4133850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123825</xdr:colOff>
      <xdr:row>18</xdr:row>
      <xdr:rowOff>161926</xdr:rowOff>
    </xdr:from>
    <xdr:to>
      <xdr:col>17</xdr:col>
      <xdr:colOff>590550</xdr:colOff>
      <xdr:row>19</xdr:row>
      <xdr:rowOff>104776</xdr:rowOff>
    </xdr:to>
    <xdr:sp macro="" textlink="$AG$20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781925" y="3857626"/>
          <a:ext cx="847725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EE53F949-81E4-4705-AEBB-67401149B9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IONISASI:</a:t>
          </a:fld>
          <a:endParaRPr lang="en-US" sz="1100"/>
        </a:p>
      </xdr:txBody>
    </xdr:sp>
    <xdr:clientData/>
  </xdr:twoCellAnchor>
  <xdr:twoCellAnchor>
    <xdr:from>
      <xdr:col>16</xdr:col>
      <xdr:colOff>104775</xdr:colOff>
      <xdr:row>20</xdr:row>
      <xdr:rowOff>19050</xdr:rowOff>
    </xdr:from>
    <xdr:to>
      <xdr:col>18</xdr:col>
      <xdr:colOff>0</xdr:colOff>
      <xdr:row>20</xdr:row>
      <xdr:rowOff>142875</xdr:rowOff>
    </xdr:to>
    <xdr:sp macro="" textlink="$AG$21">
      <xdr:nvSpPr>
        <xdr:cNvPr id="357" name="Rectangle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7762875" y="4124325"/>
          <a:ext cx="990600" cy="1238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8968A7E5-26A0-4543-9355-7A197A478D9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KATODA (C):</a:t>
          </a:fld>
          <a:endParaRPr lang="en-US" sz="1100"/>
        </a:p>
      </xdr:txBody>
    </xdr:sp>
    <xdr:clientData/>
  </xdr:twoCellAnchor>
  <xdr:twoCellAnchor>
    <xdr:from>
      <xdr:col>16</xdr:col>
      <xdr:colOff>114300</xdr:colOff>
      <xdr:row>21</xdr:row>
      <xdr:rowOff>0</xdr:rowOff>
    </xdr:from>
    <xdr:to>
      <xdr:col>17</xdr:col>
      <xdr:colOff>657225</xdr:colOff>
      <xdr:row>21</xdr:row>
      <xdr:rowOff>152400</xdr:rowOff>
    </xdr:to>
    <xdr:sp macro="" textlink="$AG$22">
      <xdr:nvSpPr>
        <xdr:cNvPr id="358" name="Rectangle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7772400" y="4314825"/>
          <a:ext cx="923925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496836C1-5577-487F-ADA3-651805DA1A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ANODA (C):</a:t>
          </a:fld>
          <a:endParaRPr lang="en-US" sz="1100"/>
        </a:p>
      </xdr:txBody>
    </xdr:sp>
    <xdr:clientData/>
  </xdr:twoCellAnchor>
  <xdr:twoCellAnchor>
    <xdr:from>
      <xdr:col>16</xdr:col>
      <xdr:colOff>104775</xdr:colOff>
      <xdr:row>22</xdr:row>
      <xdr:rowOff>76199</xdr:rowOff>
    </xdr:from>
    <xdr:to>
      <xdr:col>17</xdr:col>
      <xdr:colOff>381000</xdr:colOff>
      <xdr:row>23</xdr:row>
      <xdr:rowOff>47625</xdr:rowOff>
    </xdr:to>
    <xdr:sp macro="" textlink="$AG$23">
      <xdr:nvSpPr>
        <xdr:cNvPr id="359" name="Rectangle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7439025" y="4610099"/>
          <a:ext cx="657225" cy="1809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3001061-F185-449F-991C-F4F289BF300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REAKSI:</a:t>
          </a:fld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0</xdr:rowOff>
        </xdr:from>
        <xdr:to>
          <xdr:col>2</xdr:col>
          <xdr:colOff>1390650</xdr:colOff>
          <xdr:row>12</xdr:row>
          <xdr:rowOff>95250</xdr:rowOff>
        </xdr:to>
        <xdr:sp macro="" textlink="">
          <xdr:nvSpPr>
            <xdr:cNvPr id="573413" name="Drop Down 15333" hidden="1">
              <a:extLst>
                <a:ext uri="{63B3BB69-23CF-44E3-9099-C40C66FF867C}">
                  <a14:compatExt spid="_x0000_s573413"/>
                </a:ext>
                <a:ext uri="{FF2B5EF4-FFF2-40B4-BE49-F238E27FC236}">
                  <a16:creationId xmlns:a16="http://schemas.microsoft.com/office/drawing/2014/main" id="{00000000-0008-0000-0000-0000E5BF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485775</xdr:colOff>
          <xdr:row>10</xdr:row>
          <xdr:rowOff>104775</xdr:rowOff>
        </xdr:from>
        <xdr:to>
          <xdr:col>19</xdr:col>
          <xdr:colOff>152400</xdr:colOff>
          <xdr:row>11</xdr:row>
          <xdr:rowOff>95250</xdr:rowOff>
        </xdr:to>
        <xdr:pic>
          <xdr:nvPicPr>
            <xdr:cNvPr id="365" name="Image1">
              <a:extLst>
                <a:ext uri="{FF2B5EF4-FFF2-40B4-BE49-F238E27FC236}">
                  <a16:creationId xmlns:a16="http://schemas.microsoft.com/office/drawing/2014/main" id="{00000000-0008-0000-0000-00006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3" spid="_x0000_s1959434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9020175" y="221932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495300</xdr:colOff>
          <xdr:row>12</xdr:row>
          <xdr:rowOff>47625</xdr:rowOff>
        </xdr:from>
        <xdr:to>
          <xdr:col>19</xdr:col>
          <xdr:colOff>161925</xdr:colOff>
          <xdr:row>13</xdr:row>
          <xdr:rowOff>85725</xdr:rowOff>
        </xdr:to>
        <xdr:pic>
          <xdr:nvPicPr>
            <xdr:cNvPr id="367" name="Image1">
              <a:extLst>
                <a:ext uri="{FF2B5EF4-FFF2-40B4-BE49-F238E27FC236}">
                  <a16:creationId xmlns:a16="http://schemas.microsoft.com/office/drawing/2014/main" id="{00000000-0008-0000-0000-00006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4" spid="_x0000_s1959435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9029700" y="258127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10</xdr:row>
          <xdr:rowOff>114300</xdr:rowOff>
        </xdr:from>
        <xdr:to>
          <xdr:col>19</xdr:col>
          <xdr:colOff>609600</xdr:colOff>
          <xdr:row>11</xdr:row>
          <xdr:rowOff>104775</xdr:rowOff>
        </xdr:to>
        <xdr:pic>
          <xdr:nvPicPr>
            <xdr:cNvPr id="368" name="Image1">
              <a:extLst>
                <a:ext uri="{FF2B5EF4-FFF2-40B4-BE49-F238E27FC236}">
                  <a16:creationId xmlns:a16="http://schemas.microsoft.com/office/drawing/2014/main" id="{00000000-0008-0000-0000-000070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3" spid="_x0000_s1959436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9810750" y="220980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238126</xdr:colOff>
          <xdr:row>12</xdr:row>
          <xdr:rowOff>57150</xdr:rowOff>
        </xdr:from>
        <xdr:to>
          <xdr:col>19</xdr:col>
          <xdr:colOff>619126</xdr:colOff>
          <xdr:row>13</xdr:row>
          <xdr:rowOff>95250</xdr:rowOff>
        </xdr:to>
        <xdr:pic>
          <xdr:nvPicPr>
            <xdr:cNvPr id="369" name="Image1">
              <a:extLst>
                <a:ext uri="{FF2B5EF4-FFF2-40B4-BE49-F238E27FC236}">
                  <a16:creationId xmlns:a16="http://schemas.microsoft.com/office/drawing/2014/main" id="{00000000-0008-0000-0000-000071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4" spid="_x0000_s1959437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9820276" y="257175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342900</xdr:colOff>
      <xdr:row>7</xdr:row>
      <xdr:rowOff>142876</xdr:rowOff>
    </xdr:from>
    <xdr:to>
      <xdr:col>18</xdr:col>
      <xdr:colOff>266700</xdr:colOff>
      <xdr:row>8</xdr:row>
      <xdr:rowOff>123825</xdr:rowOff>
    </xdr:to>
    <xdr:sp macro="" textlink="$AL$4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496300" y="1543051"/>
          <a:ext cx="638175" cy="18097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EAE297-6CBF-48DB-8718-D66234F1729C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ANODA</a:t>
          </a:fld>
          <a:endParaRPr lang="en-US" sz="1000"/>
        </a:p>
      </xdr:txBody>
    </xdr:sp>
    <xdr:clientData/>
  </xdr:twoCellAnchor>
  <xdr:twoCellAnchor>
    <xdr:from>
      <xdr:col>20</xdr:col>
      <xdr:colOff>180975</xdr:colOff>
      <xdr:row>7</xdr:row>
      <xdr:rowOff>152399</xdr:rowOff>
    </xdr:from>
    <xdr:to>
      <xdr:col>21</xdr:col>
      <xdr:colOff>142875</xdr:colOff>
      <xdr:row>8</xdr:row>
      <xdr:rowOff>133349</xdr:rowOff>
    </xdr:to>
    <xdr:sp macro="" textlink="$AM$4">
      <xdr:nvSpPr>
        <xdr:cNvPr id="370" name="Rectangl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10477500" y="1552574"/>
          <a:ext cx="676275" cy="180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95D47F-63E0-4E48-B312-9628D9BB63B2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KATODA</a:t>
          </a:fld>
          <a:endParaRPr lang="en-US" sz="1000"/>
        </a:p>
      </xdr:txBody>
    </xdr:sp>
    <xdr:clientData/>
  </xdr:twoCellAnchor>
  <xdr:twoCellAnchor>
    <xdr:from>
      <xdr:col>18</xdr:col>
      <xdr:colOff>390525</xdr:colOff>
      <xdr:row>7</xdr:row>
      <xdr:rowOff>85725</xdr:rowOff>
    </xdr:from>
    <xdr:to>
      <xdr:col>20</xdr:col>
      <xdr:colOff>38100</xdr:colOff>
      <xdr:row>8</xdr:row>
      <xdr:rowOff>19050</xdr:rowOff>
    </xdr:to>
    <xdr:sp macro="" textlink="$AN$3">
      <xdr:nvSpPr>
        <xdr:cNvPr id="371" name="Rectangl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9258300" y="1485900"/>
          <a:ext cx="1076325" cy="1333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3553EDB-D53E-4AFD-9499-816B61066277}" type="TxLink">
            <a:rPr lang="en-US" sz="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ACCU 40 AH</a:t>
          </a:fld>
          <a:endParaRPr lang="en-US" sz="800" b="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161925</xdr:rowOff>
        </xdr:from>
        <xdr:to>
          <xdr:col>18</xdr:col>
          <xdr:colOff>590550</xdr:colOff>
          <xdr:row>11</xdr:row>
          <xdr:rowOff>152400</xdr:rowOff>
        </xdr:to>
        <xdr:pic>
          <xdr:nvPicPr>
            <xdr:cNvPr id="311" name="Image1">
              <a:extLst>
                <a:ext uri="{FF2B5EF4-FFF2-40B4-BE49-F238E27FC236}">
                  <a16:creationId xmlns:a16="http://schemas.microsoft.com/office/drawing/2014/main" id="{00000000-0008-0000-0000-00003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1959438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9210675" y="225742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10</xdr:row>
          <xdr:rowOff>171450</xdr:rowOff>
        </xdr:from>
        <xdr:to>
          <xdr:col>20</xdr:col>
          <xdr:colOff>47625</xdr:colOff>
          <xdr:row>11</xdr:row>
          <xdr:rowOff>161925</xdr:rowOff>
        </xdr:to>
        <xdr:pic>
          <xdr:nvPicPr>
            <xdr:cNvPr id="312" name="Image1">
              <a:extLst>
                <a:ext uri="{FF2B5EF4-FFF2-40B4-BE49-F238E27FC236}">
                  <a16:creationId xmlns:a16="http://schemas.microsoft.com/office/drawing/2014/main" id="{00000000-0008-0000-0000-00003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1959439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9772650" y="2286000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11</xdr:row>
          <xdr:rowOff>123825</xdr:rowOff>
        </xdr:from>
        <xdr:to>
          <xdr:col>18</xdr:col>
          <xdr:colOff>590550</xdr:colOff>
          <xdr:row>12</xdr:row>
          <xdr:rowOff>190500</xdr:rowOff>
        </xdr:to>
        <xdr:pic>
          <xdr:nvPicPr>
            <xdr:cNvPr id="313" name="Image1">
              <a:extLst>
                <a:ext uri="{FF2B5EF4-FFF2-40B4-BE49-F238E27FC236}">
                  <a16:creationId xmlns:a16="http://schemas.microsoft.com/office/drawing/2014/main" id="{00000000-0008-0000-0000-000039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1959440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8877300" y="248602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11</xdr:row>
          <xdr:rowOff>123825</xdr:rowOff>
        </xdr:from>
        <xdr:to>
          <xdr:col>20</xdr:col>
          <xdr:colOff>47625</xdr:colOff>
          <xdr:row>12</xdr:row>
          <xdr:rowOff>190500</xdr:rowOff>
        </xdr:to>
        <xdr:pic>
          <xdr:nvPicPr>
            <xdr:cNvPr id="366" name="Image1">
              <a:extLst>
                <a:ext uri="{FF2B5EF4-FFF2-40B4-BE49-F238E27FC236}">
                  <a16:creationId xmlns:a16="http://schemas.microsoft.com/office/drawing/2014/main" id="{00000000-0008-0000-0000-00006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1959441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9772650" y="248602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704850</xdr:colOff>
      <xdr:row>6</xdr:row>
      <xdr:rowOff>95251</xdr:rowOff>
    </xdr:from>
    <xdr:to>
      <xdr:col>19</xdr:col>
      <xdr:colOff>361950</xdr:colOff>
      <xdr:row>7</xdr:row>
      <xdr:rowOff>57151</xdr:rowOff>
    </xdr:to>
    <xdr:sp macro="" textlink="$AP$37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72625" y="1266826"/>
          <a:ext cx="371475" cy="190500"/>
        </a:xfrm>
        <a:prstGeom prst="rect">
          <a:avLst/>
        </a:prstGeom>
        <a:solidFill>
          <a:srgbClr val="3399FF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645142-3341-41C5-A9E4-94BA2CBAB9A7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ABC</a:t>
          </a:fld>
          <a:endParaRPr lang="en-US" sz="8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485775</xdr:colOff>
      <xdr:row>15</xdr:row>
      <xdr:rowOff>57150</xdr:rowOff>
    </xdr:from>
    <xdr:to>
      <xdr:col>20</xdr:col>
      <xdr:colOff>657225</xdr:colOff>
      <xdr:row>16</xdr:row>
      <xdr:rowOff>47625</xdr:rowOff>
    </xdr:to>
    <xdr:sp macro="" textlink="$AM$43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201025" y="3190875"/>
          <a:ext cx="2314575" cy="1809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1A312DB-CE3D-4FD6-A8E5-8811490C5E20}" type="TxLink">
            <a:rPr lang="en-US" sz="1100" b="0" i="0" u="none" strike="noStrike">
              <a:solidFill>
                <a:srgbClr val="FF0000"/>
              </a:solidFill>
              <a:latin typeface="Bell MT" panose="02020503060305020303" pitchFamily="18" charset="0"/>
              <a:cs typeface="Calibri"/>
            </a:rPr>
            <a:pPr algn="ctr"/>
            <a:t> </a:t>
          </a:fld>
          <a:endParaRPr lang="en-US" sz="1400" b="1">
            <a:solidFill>
              <a:srgbClr val="FF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15</xdr:col>
      <xdr:colOff>209550</xdr:colOff>
      <xdr:row>9</xdr:row>
      <xdr:rowOff>171450</xdr:rowOff>
    </xdr:from>
    <xdr:to>
      <xdr:col>17</xdr:col>
      <xdr:colOff>466725</xdr:colOff>
      <xdr:row>10</xdr:row>
      <xdr:rowOff>171450</xdr:rowOff>
    </xdr:to>
    <xdr:sp macro="" textlink="$AG$24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7343775" y="2019300"/>
          <a:ext cx="1352550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57A2A76-64F9-444D-9582-8524122319CF}" type="TxLink">
            <a:rPr lang="en-US" sz="11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INPUT DATA</a:t>
          </a:fld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18</xdr:col>
      <xdr:colOff>266700</xdr:colOff>
      <xdr:row>5</xdr:row>
      <xdr:rowOff>123825</xdr:rowOff>
    </xdr:from>
    <xdr:to>
      <xdr:col>20</xdr:col>
      <xdr:colOff>133350</xdr:colOff>
      <xdr:row>6</xdr:row>
      <xdr:rowOff>85725</xdr:rowOff>
    </xdr:to>
    <xdr:sp macro="" textlink="$AL$28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134475" y="1066800"/>
          <a:ext cx="129540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432D6E8-EC0F-47F1-A952-C5598DCE4785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17</xdr:col>
      <xdr:colOff>247650</xdr:colOff>
      <xdr:row>8</xdr:row>
      <xdr:rowOff>0</xdr:rowOff>
    </xdr:from>
    <xdr:to>
      <xdr:col>18</xdr:col>
      <xdr:colOff>381000</xdr:colOff>
      <xdr:row>8</xdr:row>
      <xdr:rowOff>142875</xdr:rowOff>
    </xdr:to>
    <xdr:sp macro="" textlink="$AL$29">
      <xdr:nvSpPr>
        <xdr:cNvPr id="381" name="Rectangl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8401050" y="1600200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B2E21E-3F06-416D-BB3E-0FFCF087E928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20</xdr:col>
      <xdr:colOff>95250</xdr:colOff>
      <xdr:row>7</xdr:row>
      <xdr:rowOff>190500</xdr:rowOff>
    </xdr:from>
    <xdr:to>
      <xdr:col>21</xdr:col>
      <xdr:colOff>228600</xdr:colOff>
      <xdr:row>8</xdr:row>
      <xdr:rowOff>133350</xdr:rowOff>
    </xdr:to>
    <xdr:sp macro="" textlink="$AL$30">
      <xdr:nvSpPr>
        <xdr:cNvPr id="382" name="Rectangl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10391775" y="1590675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151A79-1CA6-4D33-A61B-EF6FCD761D7E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228600</xdr:colOff>
      <xdr:row>15</xdr:row>
      <xdr:rowOff>0</xdr:rowOff>
    </xdr:from>
    <xdr:to>
      <xdr:col>20</xdr:col>
      <xdr:colOff>95250</xdr:colOff>
      <xdr:row>15</xdr:row>
      <xdr:rowOff>190500</xdr:rowOff>
    </xdr:to>
    <xdr:sp macro="" textlink="$AL$31">
      <xdr:nvSpPr>
        <xdr:cNvPr id="383" name="Rectangl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9096375" y="3114675"/>
          <a:ext cx="129540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C40DF92-EF96-4584-84D1-497557B7C0FD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200025</xdr:colOff>
      <xdr:row>11</xdr:row>
      <xdr:rowOff>133350</xdr:rowOff>
    </xdr:from>
    <xdr:to>
      <xdr:col>20</xdr:col>
      <xdr:colOff>66675</xdr:colOff>
      <xdr:row>12</xdr:row>
      <xdr:rowOff>152400</xdr:rowOff>
    </xdr:to>
    <xdr:sp macro="" textlink="$AN$41">
      <xdr:nvSpPr>
        <xdr:cNvPr id="384" name="Rectangl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9067800" y="2476500"/>
          <a:ext cx="129540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3BE944A-866F-4AD6-B98E-DA61F4C0B1F3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352425</xdr:colOff>
      <xdr:row>7</xdr:row>
      <xdr:rowOff>190500</xdr:rowOff>
    </xdr:from>
    <xdr:to>
      <xdr:col>20</xdr:col>
      <xdr:colOff>85725</xdr:colOff>
      <xdr:row>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220200" y="1590675"/>
          <a:ext cx="1162050" cy="57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114300</xdr:colOff>
          <xdr:row>3</xdr:row>
          <xdr:rowOff>200025</xdr:rowOff>
        </xdr:from>
        <xdr:to>
          <xdr:col>20</xdr:col>
          <xdr:colOff>266700</xdr:colOff>
          <xdr:row>5</xdr:row>
          <xdr:rowOff>123825</xdr:rowOff>
        </xdr:to>
        <xdr:pic>
          <xdr:nvPicPr>
            <xdr:cNvPr id="385" name="Image1">
              <a:extLs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5" spid="_x0000_s1959442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8648700" y="70485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47625</xdr:colOff>
      <xdr:row>5</xdr:row>
      <xdr:rowOff>95250</xdr:rowOff>
    </xdr:from>
    <xdr:to>
      <xdr:col>20</xdr:col>
      <xdr:colOff>171450</xdr:colOff>
      <xdr:row>5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915400" y="1038225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3</xdr:row>
      <xdr:rowOff>161925</xdr:rowOff>
    </xdr:from>
    <xdr:to>
      <xdr:col>20</xdr:col>
      <xdr:colOff>190500</xdr:colOff>
      <xdr:row>4</xdr:row>
      <xdr:rowOff>0</xdr:rowOff>
    </xdr:to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8934450" y="6477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104775</xdr:colOff>
      <xdr:row>6</xdr:row>
      <xdr:rowOff>9525</xdr:rowOff>
    </xdr:from>
    <xdr:to>
      <xdr:col>20</xdr:col>
      <xdr:colOff>228600</xdr:colOff>
      <xdr:row>6</xdr:row>
      <xdr:rowOff>76200</xdr:rowOff>
    </xdr:to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8972550" y="11811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6</xdr:row>
      <xdr:rowOff>38100</xdr:rowOff>
    </xdr:from>
    <xdr:to>
      <xdr:col>17</xdr:col>
      <xdr:colOff>428625</xdr:colOff>
      <xdr:row>6</xdr:row>
      <xdr:rowOff>171450</xdr:rowOff>
    </xdr:to>
    <xdr:sp macro="" textlink="$AR$41">
      <xdr:nvSpPr>
        <xdr:cNvPr id="374" name="Rectangl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6934200" y="1209675"/>
          <a:ext cx="164782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72B56E2-EA9B-40D3-82EC-D67F65AD403D}" type="TxLink">
            <a:rPr lang="en-US" sz="9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konsentrasi [Cl-] harus besar</a:t>
          </a:fld>
          <a:endParaRPr lang="en-US" sz="900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285750</xdr:colOff>
      <xdr:row>6</xdr:row>
      <xdr:rowOff>85725</xdr:rowOff>
    </xdr:from>
    <xdr:to>
      <xdr:col>20</xdr:col>
      <xdr:colOff>123824</xdr:colOff>
      <xdr:row>7</xdr:row>
      <xdr:rowOff>190500</xdr:rowOff>
    </xdr:to>
    <xdr:grpSp>
      <xdr:nvGrpSpPr>
        <xdr:cNvPr id="403" name="Group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GrpSpPr/>
      </xdr:nvGrpSpPr>
      <xdr:grpSpPr>
        <a:xfrm>
          <a:off x="8770327" y="1272687"/>
          <a:ext cx="1281478" cy="331909"/>
          <a:chOff x="5648324" y="590549"/>
          <a:chExt cx="1266824" cy="400092"/>
        </a:xfrm>
      </xdr:grpSpPr>
      <xdr:pic>
        <xdr:nvPicPr>
          <xdr:cNvPr id="404" name="Picture 403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405" name="Picture 404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406" name="Picture 405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104775</xdr:colOff>
          <xdr:row>5</xdr:row>
          <xdr:rowOff>171450</xdr:rowOff>
        </xdr:from>
        <xdr:to>
          <xdr:col>20</xdr:col>
          <xdr:colOff>257175</xdr:colOff>
          <xdr:row>7</xdr:row>
          <xdr:rowOff>95250</xdr:rowOff>
        </xdr:to>
        <xdr:pic>
          <xdr:nvPicPr>
            <xdr:cNvPr id="407" name="Image1">
              <a:extLs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4" spid="_x0000_s1959443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8639175" y="1133475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409575</xdr:colOff>
      <xdr:row>5</xdr:row>
      <xdr:rowOff>1</xdr:rowOff>
    </xdr:from>
    <xdr:to>
      <xdr:col>19</xdr:col>
      <xdr:colOff>638175</xdr:colOff>
      <xdr:row>5</xdr:row>
      <xdr:rowOff>133351</xdr:rowOff>
    </xdr:to>
    <xdr:sp macro="" textlink="$AL$28">
      <xdr:nvSpPr>
        <xdr:cNvPr id="375" name="Rectangl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9353550" y="942976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9D969A0-7953-4271-82CA-F6C9A2399FE8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18</xdr:col>
      <xdr:colOff>104775</xdr:colOff>
      <xdr:row>5</xdr:row>
      <xdr:rowOff>104775</xdr:rowOff>
    </xdr:from>
    <xdr:to>
      <xdr:col>20</xdr:col>
      <xdr:colOff>238125</xdr:colOff>
      <xdr:row>5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972550" y="1047750"/>
          <a:ext cx="1562100" cy="76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</xdr:row>
      <xdr:rowOff>180975</xdr:rowOff>
    </xdr:from>
    <xdr:to>
      <xdr:col>2</xdr:col>
      <xdr:colOff>1400175</xdr:colOff>
      <xdr:row>9</xdr:row>
      <xdr:rowOff>209550</xdr:rowOff>
    </xdr:to>
    <xdr:grpSp>
      <xdr:nvGrpSpPr>
        <xdr:cNvPr id="978336" name="Group 978335">
          <a:extLst>
            <a:ext uri="{FF2B5EF4-FFF2-40B4-BE49-F238E27FC236}">
              <a16:creationId xmlns:a16="http://schemas.microsoft.com/office/drawing/2014/main" id="{00000000-0008-0000-0000-0000A0ED0E00}"/>
            </a:ext>
          </a:extLst>
        </xdr:cNvPr>
        <xdr:cNvGrpSpPr/>
      </xdr:nvGrpSpPr>
      <xdr:grpSpPr>
        <a:xfrm>
          <a:off x="131885" y="239590"/>
          <a:ext cx="1400175" cy="1830998"/>
          <a:chOff x="2847975" y="647700"/>
          <a:chExt cx="1409700" cy="175260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78345" name="Option Button 22953" hidden="1">
                <a:extLst>
                  <a:ext uri="{63B3BB69-23CF-44E3-9099-C40C66FF867C}">
                    <a14:compatExt spid="_x0000_s978345"/>
                  </a:ext>
                  <a:ext uri="{FF2B5EF4-FFF2-40B4-BE49-F238E27FC236}">
                    <a16:creationId xmlns:a16="http://schemas.microsoft.com/office/drawing/2014/main" id="{00000000-0008-0000-0000-0000A9ED0E00}"/>
                  </a:ext>
                </a:extLst>
              </xdr:cNvPr>
              <xdr:cNvSpPr/>
            </xdr:nvSpPr>
            <xdr:spPr bwMode="auto">
              <a:xfrm>
                <a:off x="2867025" y="657226"/>
                <a:ext cx="1371600" cy="209549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STANDAR KOMPETENSI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3" name="Option Button 24411" hidden="1">
                <a:extLst>
                  <a:ext uri="{63B3BB69-23CF-44E3-9099-C40C66FF867C}">
                    <a14:compatExt spid="_x0000_s1010523"/>
                  </a:ext>
                  <a:ext uri="{FF2B5EF4-FFF2-40B4-BE49-F238E27FC236}">
                    <a16:creationId xmlns:a16="http://schemas.microsoft.com/office/drawing/2014/main" id="{00000000-0008-0000-0000-00005B6B0F00}"/>
                  </a:ext>
                </a:extLst>
              </xdr:cNvPr>
              <xdr:cNvSpPr/>
            </xdr:nvSpPr>
            <xdr:spPr bwMode="auto">
              <a:xfrm>
                <a:off x="2867025" y="8763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KOMPETENSI DASAR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4" name="Option Button 24412" hidden="1">
                <a:extLst>
                  <a:ext uri="{63B3BB69-23CF-44E3-9099-C40C66FF867C}">
                    <a14:compatExt spid="_x0000_s1010524"/>
                  </a:ext>
                  <a:ext uri="{FF2B5EF4-FFF2-40B4-BE49-F238E27FC236}">
                    <a16:creationId xmlns:a16="http://schemas.microsoft.com/office/drawing/2014/main" id="{00000000-0008-0000-0000-00005C6B0F00}"/>
                  </a:ext>
                </a:extLst>
              </xdr:cNvPr>
              <xdr:cNvSpPr/>
            </xdr:nvSpPr>
            <xdr:spPr bwMode="auto">
              <a:xfrm>
                <a:off x="2867025" y="10953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INDIKATOR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5" name="Option Button 24413" hidden="1">
                <a:extLst>
                  <a:ext uri="{63B3BB69-23CF-44E3-9099-C40C66FF867C}">
                    <a14:compatExt spid="_x0000_s1010525"/>
                  </a:ext>
                  <a:ext uri="{FF2B5EF4-FFF2-40B4-BE49-F238E27FC236}">
                    <a16:creationId xmlns:a16="http://schemas.microsoft.com/office/drawing/2014/main" id="{00000000-0008-0000-0000-00005D6B0F00}"/>
                  </a:ext>
                </a:extLst>
              </xdr:cNvPr>
              <xdr:cNvSpPr/>
            </xdr:nvSpPr>
            <xdr:spPr bwMode="auto">
              <a:xfrm>
                <a:off x="2867025" y="13049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TUJUAN EKSPERIMEN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6" name="Option Button 24414" hidden="1">
                <a:extLst>
                  <a:ext uri="{63B3BB69-23CF-44E3-9099-C40C66FF867C}">
                    <a14:compatExt spid="_x0000_s1010526"/>
                  </a:ext>
                  <a:ext uri="{FF2B5EF4-FFF2-40B4-BE49-F238E27FC236}">
                    <a16:creationId xmlns:a16="http://schemas.microsoft.com/office/drawing/2014/main" id="{00000000-0008-0000-0000-00005E6B0F00}"/>
                  </a:ext>
                </a:extLst>
              </xdr:cNvPr>
              <xdr:cNvSpPr/>
            </xdr:nvSpPr>
            <xdr:spPr bwMode="auto">
              <a:xfrm>
                <a:off x="2867025" y="15240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ALAT DAN BAHAN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7" name="Option Button 24415" hidden="1">
                <a:extLst>
                  <a:ext uri="{63B3BB69-23CF-44E3-9099-C40C66FF867C}">
                    <a14:compatExt spid="_x0000_s1010527"/>
                  </a:ext>
                  <a:ext uri="{FF2B5EF4-FFF2-40B4-BE49-F238E27FC236}">
                    <a16:creationId xmlns:a16="http://schemas.microsoft.com/office/drawing/2014/main" id="{00000000-0008-0000-0000-00005F6B0F00}"/>
                  </a:ext>
                </a:extLst>
              </xdr:cNvPr>
              <xdr:cNvSpPr/>
            </xdr:nvSpPr>
            <xdr:spPr bwMode="auto">
              <a:xfrm>
                <a:off x="2867025" y="17430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VIDEO 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8" name="Option Button 24416" hidden="1">
                <a:extLst>
                  <a:ext uri="{63B3BB69-23CF-44E3-9099-C40C66FF867C}">
                    <a14:compatExt spid="_x0000_s1010528"/>
                  </a:ext>
                  <a:ext uri="{FF2B5EF4-FFF2-40B4-BE49-F238E27FC236}">
                    <a16:creationId xmlns:a16="http://schemas.microsoft.com/office/drawing/2014/main" id="{00000000-0008-0000-0000-0000606B0F00}"/>
                  </a:ext>
                </a:extLst>
              </xdr:cNvPr>
              <xdr:cNvSpPr/>
            </xdr:nvSpPr>
            <xdr:spPr bwMode="auto">
              <a:xfrm>
                <a:off x="2867025" y="196215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ELEKTROLISIS INTERAKTIF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9" name="Option Button 24417" hidden="1">
                <a:extLst>
                  <a:ext uri="{63B3BB69-23CF-44E3-9099-C40C66FF867C}">
                    <a14:compatExt spid="_x0000_s1010529"/>
                  </a:ext>
                  <a:ext uri="{FF2B5EF4-FFF2-40B4-BE49-F238E27FC236}">
                    <a16:creationId xmlns:a16="http://schemas.microsoft.com/office/drawing/2014/main" id="{00000000-0008-0000-0000-0000616B0F00}"/>
                  </a:ext>
                </a:extLst>
              </xdr:cNvPr>
              <xdr:cNvSpPr/>
            </xdr:nvSpPr>
            <xdr:spPr bwMode="auto">
              <a:xfrm>
                <a:off x="2867025" y="21812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STOIKIOMETRI</a:t>
                </a:r>
              </a:p>
            </xdr:txBody>
          </xdr:sp>
        </mc:Choice>
        <mc:Fallback/>
      </mc:AlternateContent>
      <xdr:sp macro="" textlink="">
        <xdr:nvSpPr>
          <xdr:cNvPr id="376" name="Rectangle 375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/>
        </xdr:nvSpPr>
        <xdr:spPr>
          <a:xfrm>
            <a:off x="2847975" y="647700"/>
            <a:ext cx="1409700" cy="17526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209551</xdr:colOff>
      <xdr:row>14</xdr:row>
      <xdr:rowOff>57150</xdr:rowOff>
    </xdr:from>
    <xdr:to>
      <xdr:col>23</xdr:col>
      <xdr:colOff>9525</xdr:colOff>
      <xdr:row>15</xdr:row>
      <xdr:rowOff>38100</xdr:rowOff>
    </xdr:to>
    <xdr:sp macro="" textlink="$AV$40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296651" y="2971800"/>
          <a:ext cx="1228724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8038714-09F2-411F-93B3-EEA8161320E1}" type="TxLink">
            <a:rPr lang="en-US" sz="8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3782</xdr:colOff>
      <xdr:row>13</xdr:row>
      <xdr:rowOff>38101</xdr:rowOff>
    </xdr:from>
    <xdr:to>
      <xdr:col>8</xdr:col>
      <xdr:colOff>704850</xdr:colOff>
      <xdr:row>16</xdr:row>
      <xdr:rowOff>161929</xdr:rowOff>
    </xdr:to>
    <xdr:grpSp>
      <xdr:nvGrpSpPr>
        <xdr:cNvPr id="978342" name="Group 978341">
          <a:extLst>
            <a:ext uri="{FF2B5EF4-FFF2-40B4-BE49-F238E27FC236}">
              <a16:creationId xmlns:a16="http://schemas.microsoft.com/office/drawing/2014/main" id="{00000000-0008-0000-0000-0000A6ED0E00}"/>
            </a:ext>
          </a:extLst>
        </xdr:cNvPr>
        <xdr:cNvGrpSpPr/>
      </xdr:nvGrpSpPr>
      <xdr:grpSpPr>
        <a:xfrm>
          <a:off x="2069974" y="2763716"/>
          <a:ext cx="1829414" cy="717309"/>
          <a:chOff x="2851272" y="5114926"/>
          <a:chExt cx="1806453" cy="723903"/>
        </a:xfrm>
      </xdr:grpSpPr>
      <xdr:sp macro="" textlink="$AG$4">
        <xdr:nvSpPr>
          <xdr:cNvPr id="410" name="Rectangle 409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/>
        </xdr:nvSpPr>
        <xdr:spPr>
          <a:xfrm>
            <a:off x="2860798" y="5124577"/>
            <a:ext cx="950167" cy="1809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A389DA5E-312A-4AC9-B98F-08DBDDAFAC84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Volume (V) :</a:t>
            </a:fld>
            <a:endParaRPr lang="en-US" sz="1000"/>
          </a:p>
        </xdr:txBody>
      </xdr:sp>
      <xdr:sp macro="" textlink="$AG$7">
        <xdr:nvSpPr>
          <xdr:cNvPr id="433" name="Rectangle 432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/>
        </xdr:nvSpPr>
        <xdr:spPr>
          <a:xfrm>
            <a:off x="2851272" y="5657850"/>
            <a:ext cx="950168" cy="1809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7615725F-80FF-48F9-A0B7-C42539DC99A1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Waktu (t):</a:t>
            </a:fld>
            <a:endParaRPr lang="en-US" sz="1000"/>
          </a:p>
        </xdr:txBody>
      </xdr:sp>
      <xdr:sp macro="" textlink="$AG$6">
        <xdr:nvSpPr>
          <xdr:cNvPr id="432" name="Rectangle 431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/>
        </xdr:nvSpPr>
        <xdr:spPr>
          <a:xfrm>
            <a:off x="2860798" y="5476875"/>
            <a:ext cx="950168" cy="1809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98DA61B6-572A-43FC-82B5-F8C711665A1A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Kuat Arus (i):</a:t>
            </a:fld>
            <a:endParaRPr lang="en-US" sz="1000"/>
          </a:p>
        </xdr:txBody>
      </xdr:sp>
      <xdr:sp macro="" textlink="$AG$5">
        <xdr:nvSpPr>
          <xdr:cNvPr id="421" name="Rectangle 420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/>
        </xdr:nvSpPr>
        <xdr:spPr>
          <a:xfrm>
            <a:off x="2860797" y="5295902"/>
            <a:ext cx="1053493" cy="15684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0A043BC-A29E-4675-A14D-88D9019FE277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Konsentrasi (M):</a:t>
            </a:fld>
            <a:endParaRPr lang="en-US" sz="1000"/>
          </a:p>
        </xdr:txBody>
      </xdr:sp>
      <xdr:grpSp>
        <xdr:nvGrpSpPr>
          <xdr:cNvPr id="422" name="Group 421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GrpSpPr/>
        </xdr:nvGrpSpPr>
        <xdr:grpSpPr>
          <a:xfrm>
            <a:off x="3802715" y="5114927"/>
            <a:ext cx="502147" cy="723902"/>
            <a:chOff x="3952875" y="5057775"/>
            <a:chExt cx="657225" cy="762003"/>
          </a:xfrm>
        </xdr:grpSpPr>
        <xdr:sp macro="" textlink="$AH$4">
          <xdr:nvSpPr>
            <xdr:cNvPr id="428" name="Rectangle 427">
              <a:extLst>
                <a:ext uri="{FF2B5EF4-FFF2-40B4-BE49-F238E27FC236}">
                  <a16:creationId xmlns:a16="http://schemas.microsoft.com/office/drawing/2014/main" id="{00000000-0008-0000-0000-0000AC010000}"/>
                </a:ext>
              </a:extLst>
            </xdr:cNvPr>
            <xdr:cNvSpPr/>
          </xdr:nvSpPr>
          <xdr:spPr>
            <a:xfrm>
              <a:off x="3952875" y="5057775"/>
              <a:ext cx="657225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1AA11394-728E-4B3F-8477-55C7DA1540B3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1.00</a:t>
              </a:fld>
              <a:endParaRPr lang="en-US" sz="1000"/>
            </a:p>
          </xdr:txBody>
        </xdr:sp>
        <xdr:sp macro="" textlink="$AH$5">
          <xdr:nvSpPr>
            <xdr:cNvPr id="429" name="Rectangle 428">
              <a:extLst>
                <a:ext uri="{FF2B5EF4-FFF2-40B4-BE49-F238E27FC236}">
                  <a16:creationId xmlns:a16="http://schemas.microsoft.com/office/drawing/2014/main" id="{00000000-0008-0000-0000-0000AD010000}"/>
                </a:ext>
              </a:extLst>
            </xdr:cNvPr>
            <xdr:cNvSpPr/>
          </xdr:nvSpPr>
          <xdr:spPr>
            <a:xfrm>
              <a:off x="3952875" y="5248275"/>
              <a:ext cx="657225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AD66105A-1D32-4FD5-8B9A-AE8CB77B1FA0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1.00</a:t>
              </a:fld>
              <a:endParaRPr lang="en-US" sz="1000"/>
            </a:p>
          </xdr:txBody>
        </xdr:sp>
        <xdr:sp macro="" textlink="$AH$7">
          <xdr:nvSpPr>
            <xdr:cNvPr id="430" name="Rectangle 429">
              <a:extLst>
                <a:ext uri="{FF2B5EF4-FFF2-40B4-BE49-F238E27FC236}">
                  <a16:creationId xmlns:a16="http://schemas.microsoft.com/office/drawing/2014/main" id="{00000000-0008-0000-0000-0000AE010000}"/>
                </a:ext>
              </a:extLst>
            </xdr:cNvPr>
            <xdr:cNvSpPr/>
          </xdr:nvSpPr>
          <xdr:spPr>
            <a:xfrm>
              <a:off x="3952875" y="5629277"/>
              <a:ext cx="657225" cy="19050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74679540-7144-48A1-939E-018925B734F4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7,197.00</a:t>
              </a:fld>
              <a:endParaRPr lang="en-US" sz="1000"/>
            </a:p>
          </xdr:txBody>
        </xdr:sp>
        <xdr:sp macro="" textlink="$AH$6">
          <xdr:nvSpPr>
            <xdr:cNvPr id="431" name="Rectangle 430">
              <a:extLst>
                <a:ext uri="{FF2B5EF4-FFF2-40B4-BE49-F238E27FC236}">
                  <a16:creationId xmlns:a16="http://schemas.microsoft.com/office/drawing/2014/main" id="{00000000-0008-0000-0000-0000AF010000}"/>
                </a:ext>
              </a:extLst>
            </xdr:cNvPr>
            <xdr:cNvSpPr/>
          </xdr:nvSpPr>
          <xdr:spPr>
            <a:xfrm>
              <a:off x="3952875" y="5438775"/>
              <a:ext cx="657225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6E7D7DC4-0D5D-48A2-BF32-9FFF8DE7D739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10.00</a:t>
              </a:fld>
              <a:endParaRPr lang="en-US" sz="1000"/>
            </a:p>
          </xdr:txBody>
        </xdr:sp>
      </xdr:grpSp>
      <xdr:grpSp>
        <xdr:nvGrpSpPr>
          <xdr:cNvPr id="423" name="Group 422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GrpSpPr/>
        </xdr:nvGrpSpPr>
        <xdr:grpSpPr>
          <a:xfrm>
            <a:off x="4162425" y="5114926"/>
            <a:ext cx="495300" cy="723899"/>
            <a:chOff x="3716657" y="5057775"/>
            <a:chExt cx="1080440" cy="762000"/>
          </a:xfrm>
        </xdr:grpSpPr>
        <xdr:sp macro="" textlink="$AI$4">
          <xdr:nvSpPr>
            <xdr:cNvPr id="424" name="Rectangle 423">
              <a:extLst>
                <a:ext uri="{FF2B5EF4-FFF2-40B4-BE49-F238E27FC236}">
                  <a16:creationId xmlns:a16="http://schemas.microsoft.com/office/drawing/2014/main" id="{00000000-0008-0000-0000-0000A8010000}"/>
                </a:ext>
              </a:extLst>
            </xdr:cNvPr>
            <xdr:cNvSpPr/>
          </xdr:nvSpPr>
          <xdr:spPr>
            <a:xfrm>
              <a:off x="3952875" y="5057775"/>
              <a:ext cx="657225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389ECAA9-35D2-48BB-BD11-3B16B98C1D77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L</a:t>
              </a:fld>
              <a:endParaRPr lang="en-US" sz="1000"/>
            </a:p>
          </xdr:txBody>
        </xdr:sp>
        <xdr:sp macro="" textlink="$AI$5">
          <xdr:nvSpPr>
            <xdr:cNvPr id="425" name="Rectangle 424">
              <a:extLst>
                <a:ext uri="{FF2B5EF4-FFF2-40B4-BE49-F238E27FC236}">
                  <a16:creationId xmlns:a16="http://schemas.microsoft.com/office/drawing/2014/main" id="{00000000-0008-0000-0000-0000A9010000}"/>
                </a:ext>
              </a:extLst>
            </xdr:cNvPr>
            <xdr:cNvSpPr/>
          </xdr:nvSpPr>
          <xdr:spPr>
            <a:xfrm>
              <a:off x="3716657" y="5248274"/>
              <a:ext cx="1080440" cy="18542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8A715F-0448-442D-8585-1F1554D8E437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mol/L</a:t>
              </a:fld>
              <a:endParaRPr lang="en-US" sz="1000"/>
            </a:p>
          </xdr:txBody>
        </xdr:sp>
        <xdr:sp macro="" textlink="$AI$7">
          <xdr:nvSpPr>
            <xdr:cNvPr id="426" name="Rectangle 425">
              <a:extLst>
                <a:ext uri="{FF2B5EF4-FFF2-40B4-BE49-F238E27FC236}">
                  <a16:creationId xmlns:a16="http://schemas.microsoft.com/office/drawing/2014/main" id="{00000000-0008-0000-0000-0000AA010000}"/>
                </a:ext>
              </a:extLst>
            </xdr:cNvPr>
            <xdr:cNvSpPr/>
          </xdr:nvSpPr>
          <xdr:spPr>
            <a:xfrm>
              <a:off x="3952875" y="5629275"/>
              <a:ext cx="657225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B9C29ACB-ABDB-478B-BA19-B2EDB5E70A26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s</a:t>
              </a:fld>
              <a:endParaRPr lang="en-US" sz="1000"/>
            </a:p>
          </xdr:txBody>
        </xdr:sp>
        <xdr:sp macro="" textlink="$AI$6">
          <xdr:nvSpPr>
            <xdr:cNvPr id="427" name="Rectangle 426">
              <a:extLst>
                <a:ext uri="{FF2B5EF4-FFF2-40B4-BE49-F238E27FC236}">
                  <a16:creationId xmlns:a16="http://schemas.microsoft.com/office/drawing/2014/main" id="{00000000-0008-0000-0000-0000AB010000}"/>
                </a:ext>
              </a:extLst>
            </xdr:cNvPr>
            <xdr:cNvSpPr/>
          </xdr:nvSpPr>
          <xdr:spPr>
            <a:xfrm>
              <a:off x="3952875" y="5438775"/>
              <a:ext cx="657225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28DBD798-BB02-404B-995A-928E303DB342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A</a:t>
              </a:fld>
              <a:endParaRPr lang="en-US" sz="1000"/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9525</xdr:rowOff>
        </xdr:from>
        <xdr:to>
          <xdr:col>2</xdr:col>
          <xdr:colOff>1381125</xdr:colOff>
          <xdr:row>1</xdr:row>
          <xdr:rowOff>180975</xdr:rowOff>
        </xdr:to>
        <xdr:sp macro="" textlink="">
          <xdr:nvSpPr>
            <xdr:cNvPr id="1178632" name="Option Button 27656" hidden="1">
              <a:extLst>
                <a:ext uri="{63B3BB69-23CF-44E3-9099-C40C66FF867C}">
                  <a14:compatExt spid="_x0000_s1178632"/>
                </a:ext>
                <a:ext uri="{FF2B5EF4-FFF2-40B4-BE49-F238E27FC236}">
                  <a16:creationId xmlns:a16="http://schemas.microsoft.com/office/drawing/2014/main" id="{00000000-0008-0000-0000-000008FC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1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Klik Tombol di bawah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9525</xdr:colOff>
      <xdr:row>10</xdr:row>
      <xdr:rowOff>19050</xdr:rowOff>
    </xdr:from>
    <xdr:to>
      <xdr:col>2</xdr:col>
      <xdr:colOff>1381125</xdr:colOff>
      <xdr:row>10</xdr:row>
      <xdr:rowOff>228600</xdr:rowOff>
    </xdr:to>
    <xdr:grpSp>
      <xdr:nvGrpSpPr>
        <xdr:cNvPr id="978343" name="Group 978342">
          <a:extLst>
            <a:ext uri="{FF2B5EF4-FFF2-40B4-BE49-F238E27FC236}">
              <a16:creationId xmlns:a16="http://schemas.microsoft.com/office/drawing/2014/main" id="{00000000-0008-0000-0000-0000A7ED0E00}"/>
            </a:ext>
          </a:extLst>
        </xdr:cNvPr>
        <xdr:cNvGrpSpPr/>
      </xdr:nvGrpSpPr>
      <xdr:grpSpPr>
        <a:xfrm>
          <a:off x="141410" y="2129204"/>
          <a:ext cx="1371600" cy="209550"/>
          <a:chOff x="247650" y="2724150"/>
          <a:chExt cx="1371600" cy="209550"/>
        </a:xfrm>
        <a:solidFill>
          <a:srgbClr val="FFFF00"/>
        </a:solidFill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9805" name="Check Box 3549" hidden="1">
                <a:extLst>
                  <a:ext uri="{63B3BB69-23CF-44E3-9099-C40C66FF867C}">
                    <a14:compatExt spid="_x0000_s99805"/>
                  </a:ext>
                  <a:ext uri="{FF2B5EF4-FFF2-40B4-BE49-F238E27FC236}">
                    <a16:creationId xmlns:a16="http://schemas.microsoft.com/office/drawing/2014/main" id="{00000000-0008-0000-0000-0000DD850100}"/>
                  </a:ext>
                </a:extLst>
              </xdr:cNvPr>
              <xdr:cNvSpPr/>
            </xdr:nvSpPr>
            <xdr:spPr bwMode="auto">
              <a:xfrm>
                <a:off x="247650" y="2724150"/>
                <a:ext cx="1371600" cy="200025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AP$49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23875" y="2724150"/>
            <a:ext cx="1057276" cy="2095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04B946B-1FF6-45EA-8C80-97C52007112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LATIHAN</a:t>
            </a:fld>
            <a:endParaRPr lang="en-US" sz="1100"/>
          </a:p>
        </xdr:txBody>
      </xdr:sp>
    </xdr:grpSp>
    <xdr:clientData/>
  </xdr:twoCellAnchor>
  <xdr:twoCellAnchor>
    <xdr:from>
      <xdr:col>14</xdr:col>
      <xdr:colOff>47625</xdr:colOff>
      <xdr:row>16</xdr:row>
      <xdr:rowOff>161924</xdr:rowOff>
    </xdr:from>
    <xdr:to>
      <xdr:col>16</xdr:col>
      <xdr:colOff>190500</xdr:colOff>
      <xdr:row>18</xdr:row>
      <xdr:rowOff>0</xdr:rowOff>
    </xdr:to>
    <xdr:grpSp>
      <xdr:nvGrpSpPr>
        <xdr:cNvPr id="978346" name="Group 978345">
          <a:extLst>
            <a:ext uri="{FF2B5EF4-FFF2-40B4-BE49-F238E27FC236}">
              <a16:creationId xmlns:a16="http://schemas.microsoft.com/office/drawing/2014/main" id="{00000000-0008-0000-0000-0000AAED0E00}"/>
            </a:ext>
          </a:extLst>
        </xdr:cNvPr>
        <xdr:cNvGrpSpPr/>
      </xdr:nvGrpSpPr>
      <xdr:grpSpPr>
        <a:xfrm>
          <a:off x="6531952" y="3481020"/>
          <a:ext cx="1044086" cy="233730"/>
          <a:chOff x="7248517" y="2647949"/>
          <a:chExt cx="1038233" cy="228758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5015" name="Check Box 4967" hidden="1">
                <a:extLst>
                  <a:ext uri="{63B3BB69-23CF-44E3-9099-C40C66FF867C}">
                    <a14:compatExt spid="_x0000_s135015"/>
                  </a:ext>
                  <a:ext uri="{FF2B5EF4-FFF2-40B4-BE49-F238E27FC236}">
                    <a16:creationId xmlns:a16="http://schemas.microsoft.com/office/drawing/2014/main" id="{00000000-0008-0000-0000-0000670F0200}"/>
                  </a:ext>
                </a:extLst>
              </xdr:cNvPr>
              <xdr:cNvSpPr/>
            </xdr:nvSpPr>
            <xdr:spPr bwMode="auto">
              <a:xfrm>
                <a:off x="7248517" y="2657631"/>
                <a:ext cx="1019170" cy="219076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 w="9525">
                <a:solidFill>
                  <a:srgbClr val="FFFF00" mc:Ignorable="a14" a14:legacySpreadsheetColorIndex="13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$AV$49">
        <xdr:nvSpPr>
          <xdr:cNvPr id="978344" name="Rectangle 978343">
            <a:extLst>
              <a:ext uri="{FF2B5EF4-FFF2-40B4-BE49-F238E27FC236}">
                <a16:creationId xmlns:a16="http://schemas.microsoft.com/office/drawing/2014/main" id="{00000000-0008-0000-0000-0000A8ED0E00}"/>
              </a:ext>
            </a:extLst>
          </xdr:cNvPr>
          <xdr:cNvSpPr/>
        </xdr:nvSpPr>
        <xdr:spPr>
          <a:xfrm>
            <a:off x="7467600" y="2647949"/>
            <a:ext cx="819150" cy="21907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0100D61-8FFA-4157-89B2-4A846CBC97B3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</xdr:grpSp>
    <xdr:clientData/>
  </xdr:twoCellAnchor>
  <xdr:twoCellAnchor>
    <xdr:from>
      <xdr:col>21</xdr:col>
      <xdr:colOff>476252</xdr:colOff>
      <xdr:row>11</xdr:row>
      <xdr:rowOff>47625</xdr:rowOff>
    </xdr:from>
    <xdr:to>
      <xdr:col>22</xdr:col>
      <xdr:colOff>600075</xdr:colOff>
      <xdr:row>13</xdr:row>
      <xdr:rowOff>171450</xdr:rowOff>
    </xdr:to>
    <xdr:grpSp>
      <xdr:nvGrpSpPr>
        <xdr:cNvPr id="978355" name="Group 978354">
          <a:extLst>
            <a:ext uri="{FF2B5EF4-FFF2-40B4-BE49-F238E27FC236}">
              <a16:creationId xmlns:a16="http://schemas.microsoft.com/office/drawing/2014/main" id="{00000000-0008-0000-0000-0000B3ED0E00}"/>
            </a:ext>
          </a:extLst>
        </xdr:cNvPr>
        <xdr:cNvGrpSpPr/>
      </xdr:nvGrpSpPr>
      <xdr:grpSpPr>
        <a:xfrm>
          <a:off x="11122271" y="2406894"/>
          <a:ext cx="841862" cy="490171"/>
          <a:chOff x="13992227" y="1028700"/>
          <a:chExt cx="838198" cy="495300"/>
        </a:xfrm>
      </xdr:grpSpPr>
      <xdr:grpSp>
        <xdr:nvGrpSpPr>
          <xdr:cNvPr id="978354" name="Group 978353">
            <a:extLst>
              <a:ext uri="{FF2B5EF4-FFF2-40B4-BE49-F238E27FC236}">
                <a16:creationId xmlns:a16="http://schemas.microsoft.com/office/drawing/2014/main" id="{00000000-0008-0000-0000-0000B2ED0E00}"/>
              </a:ext>
            </a:extLst>
          </xdr:cNvPr>
          <xdr:cNvGrpSpPr/>
        </xdr:nvGrpSpPr>
        <xdr:grpSpPr>
          <a:xfrm>
            <a:off x="13992227" y="1047749"/>
            <a:ext cx="828675" cy="447676"/>
            <a:chOff x="13992227" y="1047749"/>
            <a:chExt cx="828675" cy="447676"/>
          </a:xfrm>
        </xdr:grpSpPr>
        <xdr:grpSp>
          <xdr:nvGrpSpPr>
            <xdr:cNvPr id="978353" name="Group 978352">
              <a:extLst>
                <a:ext uri="{FF2B5EF4-FFF2-40B4-BE49-F238E27FC236}">
                  <a16:creationId xmlns:a16="http://schemas.microsoft.com/office/drawing/2014/main" id="{00000000-0008-0000-0000-0000B1ED0E00}"/>
                </a:ext>
              </a:extLst>
            </xdr:cNvPr>
            <xdr:cNvGrpSpPr/>
          </xdr:nvGrpSpPr>
          <xdr:grpSpPr>
            <a:xfrm>
              <a:off x="13992227" y="1047749"/>
              <a:ext cx="828675" cy="219076"/>
              <a:chOff x="13992227" y="1047749"/>
              <a:chExt cx="828675" cy="219076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7" name="Check Box 28031" hidden="1">
                    <a:extLst>
                      <a:ext uri="{63B3BB69-23CF-44E3-9099-C40C66FF867C}">
                        <a14:compatExt spid="_x0000_s1179007"/>
                      </a:ext>
                      <a:ext uri="{FF2B5EF4-FFF2-40B4-BE49-F238E27FC236}">
                        <a16:creationId xmlns:a16="http://schemas.microsoft.com/office/drawing/2014/main" id="{00000000-0008-0000-0000-00007FFD1100}"/>
                      </a:ext>
                    </a:extLst>
                  </xdr:cNvPr>
                  <xdr:cNvSpPr/>
                </xdr:nvSpPr>
                <xdr:spPr bwMode="auto">
                  <a:xfrm>
                    <a:off x="13992227" y="1047749"/>
                    <a:ext cx="827024" cy="219075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W$49">
            <xdr:nvSpPr>
              <xdr:cNvPr id="978348" name="Rectangle 978347">
                <a:extLst>
                  <a:ext uri="{FF2B5EF4-FFF2-40B4-BE49-F238E27FC236}">
                    <a16:creationId xmlns:a16="http://schemas.microsoft.com/office/drawing/2014/main" id="{00000000-0008-0000-0000-0000ACED0E00}"/>
                  </a:ext>
                </a:extLst>
              </xdr:cNvPr>
              <xdr:cNvSpPr/>
            </xdr:nvSpPr>
            <xdr:spPr>
              <a:xfrm>
                <a:off x="14206222" y="105727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76C6D075-F3D1-472E-9559-420C8B9D59C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START</a:t>
                </a:fld>
                <a:endParaRPr lang="en-US" sz="1100"/>
              </a:p>
            </xdr:txBody>
          </xdr:sp>
        </xdr:grpSp>
        <xdr:grpSp>
          <xdr:nvGrpSpPr>
            <xdr:cNvPr id="978352" name="Group 978351">
              <a:extLst>
                <a:ext uri="{FF2B5EF4-FFF2-40B4-BE49-F238E27FC236}">
                  <a16:creationId xmlns:a16="http://schemas.microsoft.com/office/drawing/2014/main" id="{00000000-0008-0000-0000-0000B0ED0E00}"/>
                </a:ext>
              </a:extLst>
            </xdr:cNvPr>
            <xdr:cNvGrpSpPr/>
          </xdr:nvGrpSpPr>
          <xdr:grpSpPr>
            <a:xfrm>
              <a:off x="13992233" y="1276350"/>
              <a:ext cx="827024" cy="219075"/>
              <a:chOff x="14030333" y="1800225"/>
              <a:chExt cx="827024" cy="219075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8" name="Check Box 28032" hidden="1">
                    <a:extLst>
                      <a:ext uri="{63B3BB69-23CF-44E3-9099-C40C66FF867C}">
                        <a14:compatExt spid="_x0000_s1179008"/>
                      </a:ext>
                      <a:ext uri="{FF2B5EF4-FFF2-40B4-BE49-F238E27FC236}">
                        <a16:creationId xmlns:a16="http://schemas.microsoft.com/office/drawing/2014/main" id="{00000000-0008-0000-0000-000080FD1100}"/>
                      </a:ext>
                    </a:extLst>
                  </xdr:cNvPr>
                  <xdr:cNvSpPr/>
                </xdr:nvSpPr>
                <xdr:spPr bwMode="auto">
                  <a:xfrm>
                    <a:off x="14030333" y="1800225"/>
                    <a:ext cx="827024" cy="219075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X$49">
            <xdr:nvSpPr>
              <xdr:cNvPr id="399" name="Rectangle 398">
                <a:extLst>
                  <a:ext uri="{FF2B5EF4-FFF2-40B4-BE49-F238E27FC236}">
                    <a16:creationId xmlns:a16="http://schemas.microsoft.com/office/drawing/2014/main" id="{00000000-0008-0000-0000-00008F010000}"/>
                  </a:ext>
                </a:extLst>
              </xdr:cNvPr>
              <xdr:cNvSpPr/>
            </xdr:nvSpPr>
            <xdr:spPr>
              <a:xfrm>
                <a:off x="14233146" y="180022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ABA35C47-184F-4297-AEAD-056198B84EE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STOP</a:t>
                </a:fld>
                <a:endParaRPr lang="en-US" sz="1100"/>
              </a:p>
            </xdr:txBody>
          </xdr:sp>
        </xdr:grpSp>
      </xdr:grpSp>
      <xdr:sp macro="" textlink="">
        <xdr:nvSpPr>
          <xdr:cNvPr id="400" name="Rectangle 399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/>
        </xdr:nvSpPr>
        <xdr:spPr>
          <a:xfrm>
            <a:off x="14001750" y="1028700"/>
            <a:ext cx="828675" cy="4953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57150</xdr:colOff>
      <xdr:row>8</xdr:row>
      <xdr:rowOff>76200</xdr:rowOff>
    </xdr:from>
    <xdr:to>
      <xdr:col>4</xdr:col>
      <xdr:colOff>238125</xdr:colOff>
      <xdr:row>8</xdr:row>
      <xdr:rowOff>238125</xdr:rowOff>
    </xdr:to>
    <xdr:sp macro="" textlink="">
      <xdr:nvSpPr>
        <xdr:cNvPr id="978347" name="Oval 978346">
          <a:extLst>
            <a:ext uri="{FF2B5EF4-FFF2-40B4-BE49-F238E27FC236}">
              <a16:creationId xmlns:a16="http://schemas.microsoft.com/office/drawing/2014/main" id="{00000000-0008-0000-0000-0000ABED0E00}"/>
            </a:ext>
          </a:extLst>
        </xdr:cNvPr>
        <xdr:cNvSpPr/>
      </xdr:nvSpPr>
      <xdr:spPr>
        <a:xfrm>
          <a:off x="2305050" y="16764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257175</xdr:colOff>
      <xdr:row>4</xdr:row>
      <xdr:rowOff>123825</xdr:rowOff>
    </xdr:from>
    <xdr:to>
      <xdr:col>18</xdr:col>
      <xdr:colOff>485775</xdr:colOff>
      <xdr:row>5</xdr:row>
      <xdr:rowOff>28575</xdr:rowOff>
    </xdr:to>
    <xdr:sp macro="" textlink="$AW$47">
      <xdr:nvSpPr>
        <xdr:cNvPr id="387" name="Rectangl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8486775" y="83820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916597B-BB5E-4E13-992F-6F9568846AA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19</xdr:col>
      <xdr:colOff>504825</xdr:colOff>
      <xdr:row>4</xdr:row>
      <xdr:rowOff>142875</xdr:rowOff>
    </xdr:from>
    <xdr:to>
      <xdr:col>21</xdr:col>
      <xdr:colOff>19050</xdr:colOff>
      <xdr:row>5</xdr:row>
      <xdr:rowOff>47625</xdr:rowOff>
    </xdr:to>
    <xdr:sp macro="" textlink="$AW$47">
      <xdr:nvSpPr>
        <xdr:cNvPr id="401" name="Rectangl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10163175" y="85725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A2D8418-8E60-4C08-849D-444D6A8738D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2</xdr:col>
      <xdr:colOff>114300</xdr:colOff>
      <xdr:row>14</xdr:row>
      <xdr:rowOff>85725</xdr:rowOff>
    </xdr:from>
    <xdr:to>
      <xdr:col>2</xdr:col>
      <xdr:colOff>1295400</xdr:colOff>
      <xdr:row>18</xdr:row>
      <xdr:rowOff>104775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246185" y="3009167"/>
          <a:ext cx="1181100" cy="810358"/>
          <a:chOff x="352425" y="3038475"/>
          <a:chExt cx="1181100" cy="800100"/>
        </a:xfrm>
      </xdr:grpSpPr>
      <mc:AlternateContent xmlns:mc="http://schemas.openxmlformats.org/markup-compatibility/2006">
        <mc:Choice xmlns:a14="http://schemas.microsoft.com/office/drawing/2010/main" Requires="a14">
          <xdr:grpSp>
            <xdr:nvGrpSpPr>
              <xdr:cNvPr id="978337" name="Group 978336">
                <a:extLst>
                  <a:ext uri="{FF2B5EF4-FFF2-40B4-BE49-F238E27FC236}">
                    <a16:creationId xmlns:a16="http://schemas.microsoft.com/office/drawing/2014/main" id="{00000000-0008-0000-0000-0000A1ED0E00}"/>
                  </a:ext>
                </a:extLst>
              </xdr:cNvPr>
              <xdr:cNvGrpSpPr/>
            </xdr:nvGrpSpPr>
            <xdr:grpSpPr>
              <a:xfrm>
                <a:off x="361950" y="3048071"/>
                <a:ext cx="942975" cy="771530"/>
                <a:chOff x="561975" y="2943234"/>
                <a:chExt cx="800100" cy="704839"/>
              </a:xfrm>
            </xdr:grpSpPr>
            <xdr:sp macro="" textlink="">
              <xdr:nvSpPr>
                <xdr:cNvPr id="1045699" name="Check Box 24771" hidden="1">
                  <a:extLst>
                    <a:ext uri="{63B3BB69-23CF-44E3-9099-C40C66FF867C}">
                      <a14:compatExt spid="_x0000_s1045699"/>
                    </a:ext>
                    <a:ext uri="{FF2B5EF4-FFF2-40B4-BE49-F238E27FC236}">
                      <a16:creationId xmlns:a16="http://schemas.microsoft.com/office/drawing/2014/main" id="{00000000-0008-0000-0000-0000C3F40F00}"/>
                    </a:ext>
                  </a:extLst>
                </xdr:cNvPr>
                <xdr:cNvSpPr/>
              </xdr:nvSpPr>
              <xdr:spPr bwMode="auto">
                <a:xfrm>
                  <a:off x="561975" y="2943234"/>
                  <a:ext cx="800100" cy="228602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DIKETAHUI</a:t>
                  </a:r>
                </a:p>
              </xdr:txBody>
            </xdr:sp>
            <xdr:sp macro="" textlink="">
              <xdr:nvSpPr>
                <xdr:cNvPr id="1045700" name="Check Box 24772" hidden="1">
                  <a:extLst>
                    <a:ext uri="{63B3BB69-23CF-44E3-9099-C40C66FF867C}">
                      <a14:compatExt spid="_x0000_s1045700"/>
                    </a:ext>
                    <a:ext uri="{FF2B5EF4-FFF2-40B4-BE49-F238E27FC236}">
                      <a16:creationId xmlns:a16="http://schemas.microsoft.com/office/drawing/2014/main" id="{00000000-0008-0000-0000-0000C4F40F00}"/>
                    </a:ext>
                  </a:extLst>
                </xdr:cNvPr>
                <xdr:cNvSpPr/>
              </xdr:nvSpPr>
              <xdr:spPr bwMode="auto">
                <a:xfrm>
                  <a:off x="561975" y="3181350"/>
                  <a:ext cx="800100" cy="228600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PERTANYAAN</a:t>
                  </a:r>
                </a:p>
              </xdr:txBody>
            </xdr:sp>
            <xdr:sp macro="" textlink="">
              <xdr:nvSpPr>
                <xdr:cNvPr id="1045701" name="Check Box 24773" hidden="1">
                  <a:extLst>
                    <a:ext uri="{63B3BB69-23CF-44E3-9099-C40C66FF867C}">
                      <a14:compatExt spid="_x0000_s1045701"/>
                    </a:ext>
                    <a:ext uri="{FF2B5EF4-FFF2-40B4-BE49-F238E27FC236}">
                      <a16:creationId xmlns:a16="http://schemas.microsoft.com/office/drawing/2014/main" id="{00000000-0008-0000-0000-0000C5F40F00}"/>
                    </a:ext>
                  </a:extLst>
                </xdr:cNvPr>
                <xdr:cNvSpPr/>
              </xdr:nvSpPr>
              <xdr:spPr bwMode="auto">
                <a:xfrm>
                  <a:off x="561975" y="3419475"/>
                  <a:ext cx="800100" cy="228598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HASIL</a:t>
                  </a:r>
                </a:p>
              </xdr:txBody>
            </xdr:sp>
          </xdr:grpSp>
        </mc:Choice>
        <mc:Fallback/>
      </mc:AlternateContent>
      <xdr:sp macro="" textlink="">
        <xdr:nvSpPr>
          <xdr:cNvPr id="978338" name="Rectangle 978337">
            <a:extLst>
              <a:ext uri="{FF2B5EF4-FFF2-40B4-BE49-F238E27FC236}">
                <a16:creationId xmlns:a16="http://schemas.microsoft.com/office/drawing/2014/main" id="{00000000-0008-0000-0000-0000A2ED0E00}"/>
              </a:ext>
            </a:extLst>
          </xdr:cNvPr>
          <xdr:cNvSpPr/>
        </xdr:nvSpPr>
        <xdr:spPr>
          <a:xfrm>
            <a:off x="352425" y="3038475"/>
            <a:ext cx="1181100" cy="8001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542925" y="3057528"/>
            <a:ext cx="981075" cy="764290"/>
            <a:chOff x="1057275" y="5067300"/>
            <a:chExt cx="981075" cy="575577"/>
          </a:xfrm>
        </xdr:grpSpPr>
        <xdr:sp macro="" textlink="$AF$27">
          <xdr:nvSpPr>
            <xdr:cNvPr id="408" name="Rectangle 407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>
            <a:xfrm>
              <a:off x="1057275" y="52578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7F9AAE11-6F40-4717-9ED1-BD01AABD729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PERTANYAAN </a:t>
              </a:fld>
              <a:endParaRPr lang="en-US" sz="1050"/>
            </a:p>
          </xdr:txBody>
        </xdr:sp>
        <xdr:sp macro="" textlink="$AF$28">
          <xdr:nvSpPr>
            <xdr:cNvPr id="411" name="Rectangle 410">
              <a:extLs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>
            <a:xfrm>
              <a:off x="1057275" y="5442852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0302C54E-EB7D-4268-B644-500B7DA453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HASIL</a:t>
              </a:fld>
              <a:endParaRPr lang="en-US" sz="1050"/>
            </a:p>
          </xdr:txBody>
        </xdr:sp>
        <xdr:sp macro="" textlink="$AF$26">
          <xdr:nvSpPr>
            <xdr:cNvPr id="412" name="Rectangle 411">
              <a:extLst>
                <a:ext uri="{FF2B5EF4-FFF2-40B4-BE49-F238E27FC236}">
                  <a16:creationId xmlns:a16="http://schemas.microsoft.com/office/drawing/2014/main" id="{00000000-0008-0000-0000-00009C010000}"/>
                </a:ext>
              </a:extLst>
            </xdr:cNvPr>
            <xdr:cNvSpPr/>
          </xdr:nvSpPr>
          <xdr:spPr>
            <a:xfrm>
              <a:off x="1057275" y="5067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A25394BC-ABF8-4DE8-99B1-EF0C37C34B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DIKETAHUI</a:t>
              </a:fld>
              <a:endParaRPr lang="en-US" sz="1050"/>
            </a:p>
          </xdr:txBody>
        </xdr:sp>
      </xdr:grpSp>
    </xdr:grpSp>
    <xdr:clientData/>
  </xdr:twoCellAnchor>
  <xdr:twoCellAnchor>
    <xdr:from>
      <xdr:col>2</xdr:col>
      <xdr:colOff>114299</xdr:colOff>
      <xdr:row>13</xdr:row>
      <xdr:rowOff>57150</xdr:rowOff>
    </xdr:from>
    <xdr:to>
      <xdr:col>2</xdr:col>
      <xdr:colOff>1304924</xdr:colOff>
      <xdr:row>14</xdr:row>
      <xdr:rowOff>76200</xdr:rowOff>
    </xdr:to>
    <xdr:sp macro="" textlink="$AY$49">
      <xdr:nvSpPr>
        <xdr:cNvPr id="413" name="Rectangl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952499" y="2771775"/>
          <a:ext cx="1190625" cy="2190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071F77B-519C-4B47-ADDD-69DDD49DE14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Klik di bawah ini</a:t>
          </a:fld>
          <a:endParaRPr 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114300</xdr:colOff>
      <xdr:row>13</xdr:row>
      <xdr:rowOff>38100</xdr:rowOff>
    </xdr:from>
    <xdr:to>
      <xdr:col>2</xdr:col>
      <xdr:colOff>1295400</xdr:colOff>
      <xdr:row>14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52500" y="2752725"/>
          <a:ext cx="1181100" cy="247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114300</xdr:colOff>
      <xdr:row>18</xdr:row>
      <xdr:rowOff>180975</xdr:rowOff>
    </xdr:from>
    <xdr:to>
      <xdr:col>2</xdr:col>
      <xdr:colOff>1314450</xdr:colOff>
      <xdr:row>23</xdr:row>
      <xdr:rowOff>184940</xdr:rowOff>
    </xdr:to>
    <xdr:grpSp>
      <xdr:nvGrpSpPr>
        <xdr:cNvPr id="978350" name="Group 978349">
          <a:extLst>
            <a:ext uri="{FF2B5EF4-FFF2-40B4-BE49-F238E27FC236}">
              <a16:creationId xmlns:a16="http://schemas.microsoft.com/office/drawing/2014/main" id="{00000000-0008-0000-0000-0000AEED0E00}"/>
            </a:ext>
          </a:extLst>
        </xdr:cNvPr>
        <xdr:cNvGrpSpPr/>
      </xdr:nvGrpSpPr>
      <xdr:grpSpPr>
        <a:xfrm>
          <a:off x="246185" y="3895725"/>
          <a:ext cx="1200150" cy="1037061"/>
          <a:chOff x="923925" y="3924300"/>
          <a:chExt cx="1200150" cy="1017527"/>
        </a:xfrm>
      </xdr:grpSpPr>
      <xdr:grpSp>
        <xdr:nvGrpSpPr>
          <xdr:cNvPr id="978349" name="Group 978348">
            <a:extLst>
              <a:ext uri="{FF2B5EF4-FFF2-40B4-BE49-F238E27FC236}">
                <a16:creationId xmlns:a16="http://schemas.microsoft.com/office/drawing/2014/main" id="{00000000-0008-0000-0000-0000ADED0E00}"/>
              </a:ext>
            </a:extLst>
          </xdr:cNvPr>
          <xdr:cNvGrpSpPr/>
        </xdr:nvGrpSpPr>
        <xdr:grpSpPr>
          <a:xfrm>
            <a:off x="933450" y="3952875"/>
            <a:ext cx="1190625" cy="988952"/>
            <a:chOff x="923925" y="3952875"/>
            <a:chExt cx="1190625" cy="988952"/>
          </a:xfrm>
        </xdr:grpSpPr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304" name="Image1">
                  <a:extLst>
                    <a:ext uri="{FF2B5EF4-FFF2-40B4-BE49-F238E27FC236}">
                      <a16:creationId xmlns:a16="http://schemas.microsoft.com/office/drawing/2014/main" id="{00000000-0008-0000-0000-000030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RUMUS" spid="_x0000_s1959444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933450" y="4190998"/>
                  <a:ext cx="1181100" cy="75082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mc:Choice>
          <mc:Fallback xmlns=""/>
        </mc:AlternateContent>
        <xdr:sp macro="" textlink="$AP$48">
          <xdr:nvSpPr>
            <xdr:cNvPr id="414" name="Rectangle 413">
              <a:extLst>
                <a:ext uri="{FF2B5EF4-FFF2-40B4-BE49-F238E27FC236}">
                  <a16:creationId xmlns:a16="http://schemas.microsoft.com/office/drawing/2014/main" id="{00000000-0008-0000-0000-00009E010000}"/>
                </a:ext>
              </a:extLst>
            </xdr:cNvPr>
            <xdr:cNvSpPr/>
          </xdr:nvSpPr>
          <xdr:spPr>
            <a:xfrm>
              <a:off x="923925" y="3952875"/>
              <a:ext cx="1190625" cy="2190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E051DEB-13DD-4DDC-AD26-72596BBE20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Massa zat (w)</a:t>
              </a:fld>
              <a:endParaRPr lang="en-US" sz="105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417" name="Rectangle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SpPr/>
        </xdr:nvSpPr>
        <xdr:spPr>
          <a:xfrm>
            <a:off x="923925" y="4171950"/>
            <a:ext cx="1181100" cy="7620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6" name="Rectangle 435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/>
        </xdr:nvSpPr>
        <xdr:spPr>
          <a:xfrm>
            <a:off x="923925" y="3924300"/>
            <a:ext cx="1181100" cy="24765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542925</xdr:colOff>
          <xdr:row>11</xdr:row>
          <xdr:rowOff>133350</xdr:rowOff>
        </xdr:from>
        <xdr:to>
          <xdr:col>21</xdr:col>
          <xdr:colOff>352425</xdr:colOff>
          <xdr:row>13</xdr:row>
          <xdr:rowOff>0</xdr:rowOff>
        </xdr:to>
        <xdr:pic>
          <xdr:nvPicPr>
            <xdr:cNvPr id="335" name="Image1">
              <a:extLst>
                <a:ext uri="{FF2B5EF4-FFF2-40B4-BE49-F238E27FC236}">
                  <a16:creationId xmlns:a16="http://schemas.microsoft.com/office/drawing/2014/main" id="{00000000-0008-0000-0000-00004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BASA" spid="_x0000_s1959445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10744200" y="2495550"/>
              <a:ext cx="523875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466725</xdr:colOff>
      <xdr:row>13</xdr:row>
      <xdr:rowOff>142875</xdr:rowOff>
    </xdr:from>
    <xdr:to>
      <xdr:col>21</xdr:col>
      <xdr:colOff>285750</xdr:colOff>
      <xdr:row>14</xdr:row>
      <xdr:rowOff>95250</xdr:rowOff>
    </xdr:to>
    <xdr:sp macro="" textlink="$AH$25">
      <xdr:nvSpPr>
        <xdr:cNvPr id="978351" name="Rectangle 978350">
          <a:extLst>
            <a:ext uri="{FF2B5EF4-FFF2-40B4-BE49-F238E27FC236}">
              <a16:creationId xmlns:a16="http://schemas.microsoft.com/office/drawing/2014/main" id="{00000000-0008-0000-0000-0000AFED0E00}"/>
            </a:ext>
          </a:extLst>
        </xdr:cNvPr>
        <xdr:cNvSpPr/>
      </xdr:nvSpPr>
      <xdr:spPr>
        <a:xfrm>
          <a:off x="10648950" y="2857500"/>
          <a:ext cx="53340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636CAC3F-617A-4FF3-89AC-EC7FF55A3E74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o gas</a:t>
          </a:fld>
          <a:endParaRPr lang="en-US" sz="1000"/>
        </a:p>
      </xdr:txBody>
    </xdr:sp>
    <xdr:clientData/>
  </xdr:twoCellAnchor>
  <xdr:twoCellAnchor>
    <xdr:from>
      <xdr:col>20</xdr:col>
      <xdr:colOff>466725</xdr:colOff>
      <xdr:row>12</xdr:row>
      <xdr:rowOff>180975</xdr:rowOff>
    </xdr:from>
    <xdr:to>
      <xdr:col>21</xdr:col>
      <xdr:colOff>342900</xdr:colOff>
      <xdr:row>13</xdr:row>
      <xdr:rowOff>133350</xdr:rowOff>
    </xdr:to>
    <xdr:sp macro="" textlink="$AH$26">
      <xdr:nvSpPr>
        <xdr:cNvPr id="402" name="Rectangl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10648950" y="2695575"/>
          <a:ext cx="59055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A0C1BE08-A974-4088-B996-66748125F9F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* solid</a:t>
          </a:fld>
          <a:endParaRPr lang="en-US" sz="1000"/>
        </a:p>
      </xdr:txBody>
    </xdr:sp>
    <xdr:clientData/>
  </xdr:twoCellAnchor>
  <xdr:twoCellAnchor>
    <xdr:from>
      <xdr:col>18</xdr:col>
      <xdr:colOff>342900</xdr:colOff>
      <xdr:row>7</xdr:row>
      <xdr:rowOff>49530</xdr:rowOff>
    </xdr:from>
    <xdr:to>
      <xdr:col>20</xdr:col>
      <xdr:colOff>104775</xdr:colOff>
      <xdr:row>7</xdr:row>
      <xdr:rowOff>104774</xdr:rowOff>
    </xdr:to>
    <xdr:sp macro="" textlink="">
      <xdr:nvSpPr>
        <xdr:cNvPr id="978356" name="Rectangle 978355">
          <a:extLst>
            <a:ext uri="{FF2B5EF4-FFF2-40B4-BE49-F238E27FC236}">
              <a16:creationId xmlns:a16="http://schemas.microsoft.com/office/drawing/2014/main" id="{00000000-0008-0000-0000-0000B4ED0E00}"/>
            </a:ext>
          </a:extLst>
        </xdr:cNvPr>
        <xdr:cNvSpPr/>
      </xdr:nvSpPr>
      <xdr:spPr>
        <a:xfrm flipV="1">
          <a:off x="9096375" y="1449705"/>
          <a:ext cx="1190625" cy="552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266699</xdr:colOff>
      <xdr:row>3</xdr:row>
      <xdr:rowOff>19050</xdr:rowOff>
    </xdr:from>
    <xdr:to>
      <xdr:col>20</xdr:col>
      <xdr:colOff>704849</xdr:colOff>
      <xdr:row>3</xdr:row>
      <xdr:rowOff>180975</xdr:rowOff>
    </xdr:to>
    <xdr:sp macro="" textlink="$AP$43">
      <xdr:nvSpPr>
        <xdr:cNvPr id="978357" name="Rectangle 978356">
          <a:extLst>
            <a:ext uri="{FF2B5EF4-FFF2-40B4-BE49-F238E27FC236}">
              <a16:creationId xmlns:a16="http://schemas.microsoft.com/office/drawing/2014/main" id="{00000000-0008-0000-0000-0000B5ED0E00}"/>
            </a:ext>
          </a:extLst>
        </xdr:cNvPr>
        <xdr:cNvSpPr/>
      </xdr:nvSpPr>
      <xdr:spPr>
        <a:xfrm>
          <a:off x="8305799" y="504825"/>
          <a:ext cx="258127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96D0E2-FA40-4408-A20B-872BE97A64C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Produksi Gas Klorin (Cl2)</a:t>
          </a:fld>
          <a:endParaRPr lang="en-US" sz="1100" b="1"/>
        </a:p>
      </xdr:txBody>
    </xdr:sp>
    <xdr:clientData/>
  </xdr:twoCellAnchor>
  <xdr:twoCellAnchor>
    <xdr:from>
      <xdr:col>18</xdr:col>
      <xdr:colOff>190500</xdr:colOff>
      <xdr:row>11</xdr:row>
      <xdr:rowOff>47625</xdr:rowOff>
    </xdr:from>
    <xdr:to>
      <xdr:col>18</xdr:col>
      <xdr:colOff>369223</xdr:colOff>
      <xdr:row>12</xdr:row>
      <xdr:rowOff>62534</xdr:rowOff>
    </xdr:to>
    <xdr:sp macro="" textlink="$AX$6">
      <xdr:nvSpPr>
        <xdr:cNvPr id="409" name="Rectangl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8943975" y="23907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276225</xdr:colOff>
      <xdr:row>12</xdr:row>
      <xdr:rowOff>66675</xdr:rowOff>
    </xdr:from>
    <xdr:to>
      <xdr:col>18</xdr:col>
      <xdr:colOff>454948</xdr:colOff>
      <xdr:row>13</xdr:row>
      <xdr:rowOff>53009</xdr:rowOff>
    </xdr:to>
    <xdr:sp macro="" textlink="$AX$6">
      <xdr:nvSpPr>
        <xdr:cNvPr id="415" name="Rectangl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9029700" y="25812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314325</xdr:colOff>
      <xdr:row>11</xdr:row>
      <xdr:rowOff>57150</xdr:rowOff>
    </xdr:from>
    <xdr:to>
      <xdr:col>18</xdr:col>
      <xdr:colOff>493048</xdr:colOff>
      <xdr:row>12</xdr:row>
      <xdr:rowOff>72059</xdr:rowOff>
    </xdr:to>
    <xdr:sp macro="" textlink="$AX$6">
      <xdr:nvSpPr>
        <xdr:cNvPr id="416" name="Rectangl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9067800" y="24003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228600</xdr:colOff>
      <xdr:row>11</xdr:row>
      <xdr:rowOff>0</xdr:rowOff>
    </xdr:from>
    <xdr:to>
      <xdr:col>18</xdr:col>
      <xdr:colOff>407323</xdr:colOff>
      <xdr:row>12</xdr:row>
      <xdr:rowOff>14909</xdr:rowOff>
    </xdr:to>
    <xdr:sp macro="" textlink="$AX$6">
      <xdr:nvSpPr>
        <xdr:cNvPr id="418" name="Rectangl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8982075" y="23431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180975</xdr:colOff>
      <xdr:row>10</xdr:row>
      <xdr:rowOff>123825</xdr:rowOff>
    </xdr:from>
    <xdr:to>
      <xdr:col>18</xdr:col>
      <xdr:colOff>359698</xdr:colOff>
      <xdr:row>11</xdr:row>
      <xdr:rowOff>62534</xdr:rowOff>
    </xdr:to>
    <xdr:sp macro="" textlink="$AX$6">
      <xdr:nvSpPr>
        <xdr:cNvPr id="419" name="Rectangl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8934450" y="22193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11</xdr:row>
      <xdr:rowOff>123825</xdr:rowOff>
    </xdr:from>
    <xdr:to>
      <xdr:col>18</xdr:col>
      <xdr:colOff>388273</xdr:colOff>
      <xdr:row>12</xdr:row>
      <xdr:rowOff>138734</xdr:rowOff>
    </xdr:to>
    <xdr:sp macro="" textlink="$AX$6">
      <xdr:nvSpPr>
        <xdr:cNvPr id="420" name="Rectangl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8963025" y="24669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257175</xdr:colOff>
      <xdr:row>10</xdr:row>
      <xdr:rowOff>57150</xdr:rowOff>
    </xdr:from>
    <xdr:to>
      <xdr:col>18</xdr:col>
      <xdr:colOff>435898</xdr:colOff>
      <xdr:row>10</xdr:row>
      <xdr:rowOff>243509</xdr:rowOff>
    </xdr:to>
    <xdr:sp macro="" textlink="$AX$6">
      <xdr:nvSpPr>
        <xdr:cNvPr id="437" name="Rectangle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9010650" y="21526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10</xdr:row>
      <xdr:rowOff>238125</xdr:rowOff>
    </xdr:from>
    <xdr:to>
      <xdr:col>18</xdr:col>
      <xdr:colOff>388273</xdr:colOff>
      <xdr:row>12</xdr:row>
      <xdr:rowOff>5384</xdr:rowOff>
    </xdr:to>
    <xdr:sp macro="" textlink="$AX$6">
      <xdr:nvSpPr>
        <xdr:cNvPr id="438" name="Rectangle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8963025" y="23336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76200</xdr:rowOff>
    </xdr:from>
    <xdr:to>
      <xdr:col>18</xdr:col>
      <xdr:colOff>369223</xdr:colOff>
      <xdr:row>11</xdr:row>
      <xdr:rowOff>14909</xdr:rowOff>
    </xdr:to>
    <xdr:sp macro="" textlink="$AX$6">
      <xdr:nvSpPr>
        <xdr:cNvPr id="439" name="Rectangle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8943975" y="21717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266700</xdr:colOff>
      <xdr:row>10</xdr:row>
      <xdr:rowOff>152400</xdr:rowOff>
    </xdr:from>
    <xdr:to>
      <xdr:col>18</xdr:col>
      <xdr:colOff>445423</xdr:colOff>
      <xdr:row>11</xdr:row>
      <xdr:rowOff>91109</xdr:rowOff>
    </xdr:to>
    <xdr:sp macro="" textlink="$AX$6">
      <xdr:nvSpPr>
        <xdr:cNvPr id="440" name="Rectangle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9020175" y="22479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219075</xdr:colOff>
      <xdr:row>10</xdr:row>
      <xdr:rowOff>190500</xdr:rowOff>
    </xdr:from>
    <xdr:to>
      <xdr:col>18</xdr:col>
      <xdr:colOff>397798</xdr:colOff>
      <xdr:row>11</xdr:row>
      <xdr:rowOff>129209</xdr:rowOff>
    </xdr:to>
    <xdr:sp macro="" textlink="$AX$6">
      <xdr:nvSpPr>
        <xdr:cNvPr id="441" name="Rectangle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8972550" y="22860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9525</xdr:colOff>
      <xdr:row>10</xdr:row>
      <xdr:rowOff>57150</xdr:rowOff>
    </xdr:from>
    <xdr:to>
      <xdr:col>20</xdr:col>
      <xdr:colOff>192405</xdr:colOff>
      <xdr:row>11</xdr:row>
      <xdr:rowOff>37272</xdr:rowOff>
    </xdr:to>
    <xdr:sp macro="" textlink="$AY$5">
      <xdr:nvSpPr>
        <xdr:cNvPr id="442" name="Rectangle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10191750" y="215265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19050</xdr:colOff>
      <xdr:row>10</xdr:row>
      <xdr:rowOff>152400</xdr:rowOff>
    </xdr:from>
    <xdr:to>
      <xdr:col>20</xdr:col>
      <xdr:colOff>201930</xdr:colOff>
      <xdr:row>11</xdr:row>
      <xdr:rowOff>132522</xdr:rowOff>
    </xdr:to>
    <xdr:sp macro="" textlink="$AY$5">
      <xdr:nvSpPr>
        <xdr:cNvPr id="443" name="Rectangle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1020127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85725</xdr:rowOff>
    </xdr:from>
    <xdr:to>
      <xdr:col>20</xdr:col>
      <xdr:colOff>144780</xdr:colOff>
      <xdr:row>11</xdr:row>
      <xdr:rowOff>65847</xdr:rowOff>
    </xdr:to>
    <xdr:sp macro="" textlink="$AY$5">
      <xdr:nvSpPr>
        <xdr:cNvPr id="444" name="Rectangle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10144125" y="21812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38100</xdr:colOff>
      <xdr:row>10</xdr:row>
      <xdr:rowOff>228600</xdr:rowOff>
    </xdr:from>
    <xdr:to>
      <xdr:col>20</xdr:col>
      <xdr:colOff>220980</xdr:colOff>
      <xdr:row>12</xdr:row>
      <xdr:rowOff>37272</xdr:rowOff>
    </xdr:to>
    <xdr:sp macro="" textlink="$AY$5">
      <xdr:nvSpPr>
        <xdr:cNvPr id="445" name="Rectangle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10220325" y="23241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47625</xdr:rowOff>
    </xdr:from>
    <xdr:to>
      <xdr:col>20</xdr:col>
      <xdr:colOff>173355</xdr:colOff>
      <xdr:row>12</xdr:row>
      <xdr:rowOff>103947</xdr:rowOff>
    </xdr:to>
    <xdr:sp macro="" textlink="$AY$5">
      <xdr:nvSpPr>
        <xdr:cNvPr id="446" name="Rectangle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10172700" y="23907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666750</xdr:colOff>
      <xdr:row>11</xdr:row>
      <xdr:rowOff>9525</xdr:rowOff>
    </xdr:from>
    <xdr:to>
      <xdr:col>20</xdr:col>
      <xdr:colOff>135255</xdr:colOff>
      <xdr:row>12</xdr:row>
      <xdr:rowOff>65847</xdr:rowOff>
    </xdr:to>
    <xdr:sp macro="" textlink="$AY$5">
      <xdr:nvSpPr>
        <xdr:cNvPr id="447" name="Rectangle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10134600" y="23526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152400</xdr:rowOff>
    </xdr:from>
    <xdr:to>
      <xdr:col>20</xdr:col>
      <xdr:colOff>144780</xdr:colOff>
      <xdr:row>11</xdr:row>
      <xdr:rowOff>132522</xdr:rowOff>
    </xdr:to>
    <xdr:sp macro="" textlink="$AY$5">
      <xdr:nvSpPr>
        <xdr:cNvPr id="448" name="Rectangl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1014412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142875</xdr:rowOff>
    </xdr:from>
    <xdr:to>
      <xdr:col>20</xdr:col>
      <xdr:colOff>173355</xdr:colOff>
      <xdr:row>12</xdr:row>
      <xdr:rowOff>199197</xdr:rowOff>
    </xdr:to>
    <xdr:sp macro="" textlink="$AY$5">
      <xdr:nvSpPr>
        <xdr:cNvPr id="449" name="Rectangl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10172700" y="24860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647700</xdr:colOff>
      <xdr:row>11</xdr:row>
      <xdr:rowOff>57150</xdr:rowOff>
    </xdr:from>
    <xdr:to>
      <xdr:col>20</xdr:col>
      <xdr:colOff>116205</xdr:colOff>
      <xdr:row>12</xdr:row>
      <xdr:rowOff>113472</xdr:rowOff>
    </xdr:to>
    <xdr:sp macro="" textlink="$AY$5">
      <xdr:nvSpPr>
        <xdr:cNvPr id="450" name="Rectangl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10115550" y="24003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57150</xdr:colOff>
      <xdr:row>11</xdr:row>
      <xdr:rowOff>95250</xdr:rowOff>
    </xdr:from>
    <xdr:to>
      <xdr:col>20</xdr:col>
      <xdr:colOff>240030</xdr:colOff>
      <xdr:row>12</xdr:row>
      <xdr:rowOff>151572</xdr:rowOff>
    </xdr:to>
    <xdr:sp macro="" textlink="$AY$5">
      <xdr:nvSpPr>
        <xdr:cNvPr id="451" name="Rectangle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10239375" y="24384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609600</xdr:colOff>
      <xdr:row>10</xdr:row>
      <xdr:rowOff>180975</xdr:rowOff>
    </xdr:from>
    <xdr:to>
      <xdr:col>20</xdr:col>
      <xdr:colOff>78105</xdr:colOff>
      <xdr:row>11</xdr:row>
      <xdr:rowOff>161097</xdr:rowOff>
    </xdr:to>
    <xdr:sp macro="" textlink="$AY$5">
      <xdr:nvSpPr>
        <xdr:cNvPr id="452" name="Rectangle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10077450" y="22764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28575</xdr:colOff>
      <xdr:row>10</xdr:row>
      <xdr:rowOff>114300</xdr:rowOff>
    </xdr:from>
    <xdr:to>
      <xdr:col>20</xdr:col>
      <xdr:colOff>211455</xdr:colOff>
      <xdr:row>11</xdr:row>
      <xdr:rowOff>94422</xdr:rowOff>
    </xdr:to>
    <xdr:sp macro="" textlink="$AY$5">
      <xdr:nvSpPr>
        <xdr:cNvPr id="453" name="Rectangle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10210800" y="22098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0</xdr:colOff>
      <xdr:row>10</xdr:row>
      <xdr:rowOff>0</xdr:rowOff>
    </xdr:from>
    <xdr:to>
      <xdr:col>20</xdr:col>
      <xdr:colOff>182880</xdr:colOff>
      <xdr:row>10</xdr:row>
      <xdr:rowOff>227772</xdr:rowOff>
    </xdr:to>
    <xdr:sp macro="" textlink="$AY$5">
      <xdr:nvSpPr>
        <xdr:cNvPr id="454" name="Rectangl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10182225" y="20955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657225</xdr:colOff>
      <xdr:row>10</xdr:row>
      <xdr:rowOff>38100</xdr:rowOff>
    </xdr:from>
    <xdr:to>
      <xdr:col>20</xdr:col>
      <xdr:colOff>125730</xdr:colOff>
      <xdr:row>11</xdr:row>
      <xdr:rowOff>18222</xdr:rowOff>
    </xdr:to>
    <xdr:sp macro="" textlink="$AY$5">
      <xdr:nvSpPr>
        <xdr:cNvPr id="455" name="Rectangl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10125075" y="21336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419100</xdr:colOff>
      <xdr:row>11</xdr:row>
      <xdr:rowOff>76200</xdr:rowOff>
    </xdr:from>
    <xdr:to>
      <xdr:col>18</xdr:col>
      <xdr:colOff>656013</xdr:colOff>
      <xdr:row>12</xdr:row>
      <xdr:rowOff>135973</xdr:rowOff>
    </xdr:to>
    <xdr:sp macro="" textlink="$AX$7">
      <xdr:nvSpPr>
        <xdr:cNvPr id="456" name="Rectangle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9172575" y="24193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447675</xdr:colOff>
      <xdr:row>11</xdr:row>
      <xdr:rowOff>142875</xdr:rowOff>
    </xdr:from>
    <xdr:to>
      <xdr:col>18</xdr:col>
      <xdr:colOff>684588</xdr:colOff>
      <xdr:row>13</xdr:row>
      <xdr:rowOff>2623</xdr:rowOff>
    </xdr:to>
    <xdr:sp macro="" textlink="$AX$7">
      <xdr:nvSpPr>
        <xdr:cNvPr id="457" name="Rectangle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9201150" y="24860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342900</xdr:colOff>
      <xdr:row>12</xdr:row>
      <xdr:rowOff>47625</xdr:rowOff>
    </xdr:from>
    <xdr:to>
      <xdr:col>18</xdr:col>
      <xdr:colOff>579813</xdr:colOff>
      <xdr:row>13</xdr:row>
      <xdr:rowOff>78823</xdr:rowOff>
    </xdr:to>
    <xdr:sp macro="" textlink="$AX$7">
      <xdr:nvSpPr>
        <xdr:cNvPr id="458" name="Rectangle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9096375" y="25622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180975</xdr:rowOff>
    </xdr:from>
    <xdr:to>
      <xdr:col>18</xdr:col>
      <xdr:colOff>598863</xdr:colOff>
      <xdr:row>14</xdr:row>
      <xdr:rowOff>12148</xdr:rowOff>
    </xdr:to>
    <xdr:sp macro="" textlink="$AX$7">
      <xdr:nvSpPr>
        <xdr:cNvPr id="459" name="Rectangle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9115425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485775</xdr:colOff>
      <xdr:row>12</xdr:row>
      <xdr:rowOff>180975</xdr:rowOff>
    </xdr:from>
    <xdr:to>
      <xdr:col>19</xdr:col>
      <xdr:colOff>8313</xdr:colOff>
      <xdr:row>14</xdr:row>
      <xdr:rowOff>12148</xdr:rowOff>
    </xdr:to>
    <xdr:sp macro="" textlink="$AX$7">
      <xdr:nvSpPr>
        <xdr:cNvPr id="460" name="Rectangl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9239250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523875</xdr:colOff>
      <xdr:row>11</xdr:row>
      <xdr:rowOff>133350</xdr:rowOff>
    </xdr:from>
    <xdr:to>
      <xdr:col>19</xdr:col>
      <xdr:colOff>46413</xdr:colOff>
      <xdr:row>12</xdr:row>
      <xdr:rowOff>193123</xdr:rowOff>
    </xdr:to>
    <xdr:sp macro="" textlink="$AX$7">
      <xdr:nvSpPr>
        <xdr:cNvPr id="461" name="Rectangl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9277350" y="247650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95250</xdr:rowOff>
    </xdr:from>
    <xdr:to>
      <xdr:col>18</xdr:col>
      <xdr:colOff>598863</xdr:colOff>
      <xdr:row>13</xdr:row>
      <xdr:rowOff>126448</xdr:rowOff>
    </xdr:to>
    <xdr:sp macro="" textlink="$AX$7">
      <xdr:nvSpPr>
        <xdr:cNvPr id="462" name="Rectangl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9115425" y="26098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21</xdr:row>
          <xdr:rowOff>0</xdr:rowOff>
        </xdr:from>
        <xdr:to>
          <xdr:col>24</xdr:col>
          <xdr:colOff>247650</xdr:colOff>
          <xdr:row>22</xdr:row>
          <xdr:rowOff>200025</xdr:rowOff>
        </xdr:to>
        <xdr:sp macro="" textlink="">
          <xdr:nvSpPr>
            <xdr:cNvPr id="1396449" name="Spinner 34529" hidden="1">
              <a:extLst>
                <a:ext uri="{63B3BB69-23CF-44E3-9099-C40C66FF867C}">
                  <a14:compatExt spid="_x0000_s1396449"/>
                </a:ext>
                <a:ext uri="{FF2B5EF4-FFF2-40B4-BE49-F238E27FC236}">
                  <a16:creationId xmlns:a16="http://schemas.microsoft.com/office/drawing/2014/main" id="{00000000-0008-0000-0000-0000E14E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0</xdr:colOff>
      <xdr:row>21</xdr:row>
      <xdr:rowOff>0</xdr:rowOff>
    </xdr:from>
    <xdr:to>
      <xdr:col>25</xdr:col>
      <xdr:colOff>0</xdr:colOff>
      <xdr:row>23</xdr:row>
      <xdr:rowOff>200025</xdr:rowOff>
    </xdr:to>
    <xdr:sp macro="" textlink="">
      <xdr:nvSpPr>
        <xdr:cNvPr id="978358" name="Rectangle 978357">
          <a:extLst>
            <a:ext uri="{FF2B5EF4-FFF2-40B4-BE49-F238E27FC236}">
              <a16:creationId xmlns:a16="http://schemas.microsoft.com/office/drawing/2014/main" id="{00000000-0008-0000-0000-0000B6ED0E00}"/>
            </a:ext>
          </a:extLst>
        </xdr:cNvPr>
        <xdr:cNvSpPr/>
      </xdr:nvSpPr>
      <xdr:spPr>
        <a:xfrm>
          <a:off x="12506325" y="4314825"/>
          <a:ext cx="266700" cy="609600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19050</xdr:colOff>
      <xdr:row>23</xdr:row>
      <xdr:rowOff>1</xdr:rowOff>
    </xdr:from>
    <xdr:to>
      <xdr:col>24</xdr:col>
      <xdr:colOff>247650</xdr:colOff>
      <xdr:row>23</xdr:row>
      <xdr:rowOff>180975</xdr:rowOff>
    </xdr:to>
    <xdr:sp macro="" textlink="$AC$12">
      <xdr:nvSpPr>
        <xdr:cNvPr id="434" name="Rectangl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12525375" y="4724401"/>
          <a:ext cx="228600" cy="18097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913B547-2392-48C9-99E5-31DA88635BF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I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695324</xdr:colOff>
      <xdr:row>23</xdr:row>
      <xdr:rowOff>38100</xdr:rowOff>
    </xdr:from>
    <xdr:to>
      <xdr:col>17</xdr:col>
      <xdr:colOff>342900</xdr:colOff>
      <xdr:row>23</xdr:row>
      <xdr:rowOff>161925</xdr:rowOff>
    </xdr:to>
    <xdr:sp macro="" textlink="$AO$31">
      <xdr:nvSpPr>
        <xdr:cNvPr id="467" name="Rectangle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7315199" y="4781550"/>
          <a:ext cx="742951" cy="1238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84EC2076-EF26-4ACF-BCF9-BADA42F67DEE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r"/>
            <a:t>(total)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285751</xdr:colOff>
          <xdr:row>22</xdr:row>
          <xdr:rowOff>57150</xdr:rowOff>
        </xdr:from>
        <xdr:to>
          <xdr:col>23</xdr:col>
          <xdr:colOff>171451</xdr:colOff>
          <xdr:row>23</xdr:row>
          <xdr:rowOff>85725</xdr:rowOff>
        </xdr:to>
        <xdr:pic>
          <xdr:nvPicPr>
            <xdr:cNvPr id="468" name="Image1">
              <a:extLst>
                <a:ext uri="{FF2B5EF4-FFF2-40B4-BE49-F238E27FC236}">
                  <a16:creationId xmlns:a16="http://schemas.microsoft.com/office/drawing/2014/main" id="{00000000-0008-0000-0000-0000D4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HASIL5" spid="_x0000_s1959446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8220076" y="4610100"/>
              <a:ext cx="4181475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76200</xdr:colOff>
      <xdr:row>8</xdr:row>
      <xdr:rowOff>9525</xdr:rowOff>
    </xdr:from>
    <xdr:to>
      <xdr:col>11</xdr:col>
      <xdr:colOff>447675</xdr:colOff>
      <xdr:row>11</xdr:row>
      <xdr:rowOff>154305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142392" y="1621448"/>
          <a:ext cx="3675918" cy="892126"/>
          <a:chOff x="2238375" y="5905500"/>
          <a:chExt cx="3667125" cy="887730"/>
        </a:xfrm>
      </xdr:grpSpPr>
      <xdr:grpSp>
        <xdr:nvGrpSpPr>
          <xdr:cNvPr id="493" name="Group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GrpSpPr/>
        </xdr:nvGrpSpPr>
        <xdr:grpSpPr>
          <a:xfrm>
            <a:off x="2238375" y="5905500"/>
            <a:ext cx="3667125" cy="725805"/>
            <a:chOff x="1895474" y="1695449"/>
            <a:chExt cx="3305175" cy="725805"/>
          </a:xfrm>
        </xdr:grpSpPr>
        <xdr:sp macro="" textlink="$AL$24">
          <xdr:nvSpPr>
            <xdr:cNvPr id="494" name="Rectangle 493">
              <a:extLst>
                <a:ext uri="{FF2B5EF4-FFF2-40B4-BE49-F238E27FC236}">
                  <a16:creationId xmlns:a16="http://schemas.microsoft.com/office/drawing/2014/main" id="{00000000-0008-0000-0000-0000EE010000}"/>
                </a:ext>
              </a:extLst>
            </xdr:cNvPr>
            <xdr:cNvSpPr/>
          </xdr:nvSpPr>
          <xdr:spPr>
            <a:xfrm>
              <a:off x="1895474" y="20478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AAC31B26-5F4F-4301-9B56-D03BCB7C8C8C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00"/>
            </a:p>
          </xdr:txBody>
        </xdr:sp>
        <xdr:sp macro="" textlink="$AL$25">
          <xdr:nvSpPr>
            <xdr:cNvPr id="495" name="Rectangle 494">
              <a:extLst>
                <a:ext uri="{FF2B5EF4-FFF2-40B4-BE49-F238E27FC236}">
                  <a16:creationId xmlns:a16="http://schemas.microsoft.com/office/drawing/2014/main" id="{00000000-0008-0000-0000-0000EF010000}"/>
                </a:ext>
              </a:extLst>
            </xdr:cNvPr>
            <xdr:cNvSpPr/>
          </xdr:nvSpPr>
          <xdr:spPr>
            <a:xfrm>
              <a:off x="1895474" y="22383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900A2F99-F2A3-403C-92AD-90329FBCB4E4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00"/>
            </a:p>
          </xdr:txBody>
        </xdr:sp>
        <xdr:sp macro="" textlink="$AL$23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0000000-0008-0000-0000-0000F0010000}"/>
                </a:ext>
              </a:extLst>
            </xdr:cNvPr>
            <xdr:cNvSpPr/>
          </xdr:nvSpPr>
          <xdr:spPr>
            <a:xfrm>
              <a:off x="1895474" y="187642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1C31E363-D656-4300-B83C-D654A9B3C29D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00"/>
            </a:p>
          </xdr:txBody>
        </xdr:sp>
        <xdr:sp macro="" textlink="$AL$22">
          <xdr:nvSpPr>
            <xdr:cNvPr id="572" name="Rectangle 571">
              <a:extLst>
                <a:ext uri="{FF2B5EF4-FFF2-40B4-BE49-F238E27FC236}">
                  <a16:creationId xmlns:a16="http://schemas.microsoft.com/office/drawing/2014/main" id="{00000000-0008-0000-0000-00003C020000}"/>
                </a:ext>
              </a:extLst>
            </xdr:cNvPr>
            <xdr:cNvSpPr/>
          </xdr:nvSpPr>
          <xdr:spPr>
            <a:xfrm>
              <a:off x="1895474" y="1695449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75DF5E55-9B1E-4D6B-8F1D-2F29FAA141E7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00"/>
            </a:p>
          </xdr:txBody>
        </xdr:sp>
      </xdr:grpSp>
      <xdr:sp macro="" textlink="$AL$26">
        <xdr:nvSpPr>
          <xdr:cNvPr id="573" name="Rectangle 572">
            <a:extLst>
              <a:ext uri="{FF2B5EF4-FFF2-40B4-BE49-F238E27FC236}">
                <a16:creationId xmlns:a16="http://schemas.microsoft.com/office/drawing/2014/main" id="{00000000-0008-0000-0000-00003D020000}"/>
              </a:ext>
            </a:extLst>
          </xdr:cNvPr>
          <xdr:cNvSpPr/>
        </xdr:nvSpPr>
        <xdr:spPr>
          <a:xfrm>
            <a:off x="2238375" y="6610350"/>
            <a:ext cx="3667125" cy="1828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fld id="{2573F379-1E4C-454C-B100-73AAB2EEAE52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000"/>
          </a:p>
        </xdr:txBody>
      </xdr:sp>
    </xdr:grpSp>
    <xdr:clientData/>
  </xdr:twoCellAnchor>
  <xdr:twoCellAnchor>
    <xdr:from>
      <xdr:col>6</xdr:col>
      <xdr:colOff>61913</xdr:colOff>
      <xdr:row>19</xdr:row>
      <xdr:rowOff>19031</xdr:rowOff>
    </xdr:from>
    <xdr:to>
      <xdr:col>9</xdr:col>
      <xdr:colOff>271191</xdr:colOff>
      <xdr:row>23</xdr:row>
      <xdr:rowOff>151111</xdr:rowOff>
    </xdr:to>
    <xdr:grpSp>
      <xdr:nvGrpSpPr>
        <xdr:cNvPr id="978340" name="Group 978339">
          <a:extLst>
            <a:ext uri="{FF2B5EF4-FFF2-40B4-BE49-F238E27FC236}">
              <a16:creationId xmlns:a16="http://schemas.microsoft.com/office/drawing/2014/main" id="{00000000-0008-0000-0000-0000A4ED0E00}"/>
            </a:ext>
          </a:extLst>
        </xdr:cNvPr>
        <xdr:cNvGrpSpPr/>
      </xdr:nvGrpSpPr>
      <xdr:grpSpPr>
        <a:xfrm>
          <a:off x="2128105" y="3946262"/>
          <a:ext cx="2077644" cy="952695"/>
          <a:chOff x="2224223" y="6419831"/>
          <a:chExt cx="2056591" cy="951230"/>
        </a:xfrm>
      </xdr:grpSpPr>
      <xdr:grpSp>
        <xdr:nvGrpSpPr>
          <xdr:cNvPr id="489" name="Group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GrpSpPr/>
        </xdr:nvGrpSpPr>
        <xdr:grpSpPr>
          <a:xfrm>
            <a:off x="2228937" y="6883156"/>
            <a:ext cx="2051877" cy="274744"/>
            <a:chOff x="4610187" y="5286898"/>
            <a:chExt cx="2051877" cy="270979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903976" name="Check Box 49512" hidden="1">
                  <a:extLst>
                    <a:ext uri="{63B3BB69-23CF-44E3-9099-C40C66FF867C}">
                      <a14:compatExt spid="_x0000_s1903976"/>
                    </a:ext>
                    <a:ext uri="{FF2B5EF4-FFF2-40B4-BE49-F238E27FC236}">
                      <a16:creationId xmlns:a16="http://schemas.microsoft.com/office/drawing/2014/main" id="{00000000-0008-0000-0000-0000680D1D00}"/>
                    </a:ext>
                  </a:extLst>
                </xdr:cNvPr>
                <xdr:cNvSpPr/>
              </xdr:nvSpPr>
              <xdr:spPr bwMode="auto">
                <a:xfrm>
                  <a:off x="4610187" y="5338802"/>
                  <a:ext cx="304801" cy="219075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xdr:sp macro="" textlink="$AG$14">
          <xdr:nvSpPr>
            <xdr:cNvPr id="589" name="Rectangle 588">
              <a:extLst>
                <a:ext uri="{FF2B5EF4-FFF2-40B4-BE49-F238E27FC236}">
                  <a16:creationId xmlns:a16="http://schemas.microsoft.com/office/drawing/2014/main" id="{00000000-0008-0000-0000-00004D020000}"/>
                </a:ext>
              </a:extLst>
            </xdr:cNvPr>
            <xdr:cNvSpPr/>
          </xdr:nvSpPr>
          <xdr:spPr>
            <a:xfrm>
              <a:off x="4791435" y="5301251"/>
              <a:ext cx="1171575" cy="2286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BC291991-23A5-4A9A-A3B0-52FABE8AB04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c) Waktu maks  =</a:t>
              </a:fld>
              <a:endParaRPr lang="en-US" sz="1050"/>
            </a:p>
          </xdr:txBody>
        </xdr:sp>
        <xdr:sp macro="" textlink="$AH$14">
          <xdr:nvSpPr>
            <xdr:cNvPr id="590" name="Rectangle 589">
              <a:extLst>
                <a:ext uri="{FF2B5EF4-FFF2-40B4-BE49-F238E27FC236}">
                  <a16:creationId xmlns:a16="http://schemas.microsoft.com/office/drawing/2014/main" id="{00000000-0008-0000-0000-00004E020000}"/>
                </a:ext>
              </a:extLst>
            </xdr:cNvPr>
            <xdr:cNvSpPr/>
          </xdr:nvSpPr>
          <xdr:spPr>
            <a:xfrm>
              <a:off x="5839184" y="5301250"/>
              <a:ext cx="704850" cy="2286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EB66103-2DA5-4FBE-AC14-C5953F1FA4F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19,300</a:t>
              </a:fld>
              <a:endParaRPr lang="en-US" sz="1100"/>
            </a:p>
          </xdr:txBody>
        </xdr:sp>
        <xdr:sp macro="" textlink="$AM$47">
          <xdr:nvSpPr>
            <xdr:cNvPr id="591" name="Rectangle 590">
              <a:extLst>
                <a:ext uri="{FF2B5EF4-FFF2-40B4-BE49-F238E27FC236}">
                  <a16:creationId xmlns:a16="http://schemas.microsoft.com/office/drawing/2014/main" id="{00000000-0008-0000-0000-00004F020000}"/>
                </a:ext>
              </a:extLst>
            </xdr:cNvPr>
            <xdr:cNvSpPr/>
          </xdr:nvSpPr>
          <xdr:spPr>
            <a:xfrm>
              <a:off x="6404889" y="5286898"/>
              <a:ext cx="257175" cy="24764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AF3A2A2-AF76-4033-B802-483C7955EF5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s</a:t>
              </a:fld>
              <a:endParaRPr lang="en-US" sz="1100"/>
            </a:p>
          </xdr:txBody>
        </xdr:sp>
      </xdr:grpSp>
      <xdr:grpSp>
        <xdr:nvGrpSpPr>
          <xdr:cNvPr id="579" name="Group 578">
            <a:extLst>
              <a:ext uri="{FF2B5EF4-FFF2-40B4-BE49-F238E27FC236}">
                <a16:creationId xmlns:a16="http://schemas.microsoft.com/office/drawing/2014/main" id="{00000000-0008-0000-0000-000043020000}"/>
              </a:ext>
            </a:extLst>
          </xdr:cNvPr>
          <xdr:cNvGrpSpPr/>
        </xdr:nvGrpSpPr>
        <xdr:grpSpPr>
          <a:xfrm>
            <a:off x="2224223" y="7115471"/>
            <a:ext cx="1976662" cy="255590"/>
            <a:chOff x="4605473" y="5315342"/>
            <a:chExt cx="1976662" cy="252087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903979" name="Check Box 49515" hidden="1">
                  <a:extLst>
                    <a:ext uri="{63B3BB69-23CF-44E3-9099-C40C66FF867C}">
                      <a14:compatExt spid="_x0000_s1903979"/>
                    </a:ext>
                    <a:ext uri="{FF2B5EF4-FFF2-40B4-BE49-F238E27FC236}">
                      <a16:creationId xmlns:a16="http://schemas.microsoft.com/office/drawing/2014/main" id="{00000000-0008-0000-0000-00006B0D1D00}"/>
                    </a:ext>
                  </a:extLst>
                </xdr:cNvPr>
                <xdr:cNvSpPr/>
              </xdr:nvSpPr>
              <xdr:spPr bwMode="auto">
                <a:xfrm>
                  <a:off x="4605473" y="5343525"/>
                  <a:ext cx="304801" cy="219075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xdr:sp macro="" textlink="$AG$15">
          <xdr:nvSpPr>
            <xdr:cNvPr id="580" name="Rectangle 579">
              <a:extLst>
                <a:ext uri="{FF2B5EF4-FFF2-40B4-BE49-F238E27FC236}">
                  <a16:creationId xmlns:a16="http://schemas.microsoft.com/office/drawing/2014/main" id="{00000000-0008-0000-0000-000044020000}"/>
                </a:ext>
              </a:extLst>
            </xdr:cNvPr>
            <xdr:cNvSpPr/>
          </xdr:nvSpPr>
          <xdr:spPr>
            <a:xfrm>
              <a:off x="4786627" y="5315342"/>
              <a:ext cx="1171575" cy="2286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BA6B1F18-AECB-497E-8A34-5A68FF0D106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d) Quantitas =</a:t>
              </a:fld>
              <a:endParaRPr lang="en-US" sz="1050"/>
            </a:p>
          </xdr:txBody>
        </xdr:sp>
        <xdr:sp macro="" textlink="$AH$15">
          <xdr:nvSpPr>
            <xdr:cNvPr id="581" name="Rectangle 580">
              <a:extLst>
                <a:ext uri="{FF2B5EF4-FFF2-40B4-BE49-F238E27FC236}">
                  <a16:creationId xmlns:a16="http://schemas.microsoft.com/office/drawing/2014/main" id="{00000000-0008-0000-0000-000045020000}"/>
                </a:ext>
              </a:extLst>
            </xdr:cNvPr>
            <xdr:cNvSpPr/>
          </xdr:nvSpPr>
          <xdr:spPr>
            <a:xfrm>
              <a:off x="5843901" y="5315342"/>
              <a:ext cx="704850" cy="2286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777E135-13B2-4846-B4A9-C1847E3162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0.339</a:t>
              </a:fld>
              <a:endParaRPr lang="en-US" sz="1100"/>
            </a:p>
          </xdr:txBody>
        </xdr:sp>
        <xdr:sp macro="" textlink="$AQ$48">
          <xdr:nvSpPr>
            <xdr:cNvPr id="582" name="Rectangle 581">
              <a:extLst>
                <a:ext uri="{FF2B5EF4-FFF2-40B4-BE49-F238E27FC236}">
                  <a16:creationId xmlns:a16="http://schemas.microsoft.com/office/drawing/2014/main" id="{00000000-0008-0000-0000-000046020000}"/>
                </a:ext>
              </a:extLst>
            </xdr:cNvPr>
            <xdr:cNvSpPr/>
          </xdr:nvSpPr>
          <xdr:spPr>
            <a:xfrm>
              <a:off x="6324960" y="5319780"/>
              <a:ext cx="257175" cy="24764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FC095AD-9480-4AA8-94FD-3499E4F8D5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%</a:t>
              </a:fld>
              <a:endParaRPr lang="en-US" sz="1100"/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2228939" y="6675461"/>
            <a:ext cx="1981380" cy="300278"/>
            <a:chOff x="2228939" y="6675461"/>
            <a:chExt cx="1981380" cy="300278"/>
          </a:xfrm>
        </xdr:grpSpPr>
        <xdr:grpSp>
          <xdr:nvGrpSpPr>
            <xdr:cNvPr id="595" name="Group 594">
              <a:extLst>
                <a:ext uri="{FF2B5EF4-FFF2-40B4-BE49-F238E27FC236}">
                  <a16:creationId xmlns:a16="http://schemas.microsoft.com/office/drawing/2014/main" id="{00000000-0008-0000-0000-000053020000}"/>
                </a:ext>
              </a:extLst>
            </xdr:cNvPr>
            <xdr:cNvGrpSpPr/>
          </xdr:nvGrpSpPr>
          <xdr:grpSpPr>
            <a:xfrm>
              <a:off x="2228939" y="6675461"/>
              <a:ext cx="1981380" cy="245932"/>
              <a:chOff x="7581989" y="5167769"/>
              <a:chExt cx="1981380" cy="242562"/>
            </a:xfrm>
            <a:solidFill>
              <a:schemeClr val="bg1"/>
            </a:solidFill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903982" name="Check Box 49518" hidden="1">
                    <a:extLst>
                      <a:ext uri="{63B3BB69-23CF-44E3-9099-C40C66FF867C}">
                        <a14:compatExt spid="_x0000_s1903982"/>
                      </a:ext>
                      <a:ext uri="{FF2B5EF4-FFF2-40B4-BE49-F238E27FC236}">
                        <a16:creationId xmlns:a16="http://schemas.microsoft.com/office/drawing/2014/main" id="{00000000-0008-0000-0000-00006E0D1D00}"/>
                      </a:ext>
                    </a:extLst>
                  </xdr:cNvPr>
                  <xdr:cNvSpPr/>
                </xdr:nvSpPr>
                <xdr:spPr bwMode="auto">
                  <a:xfrm>
                    <a:off x="7581989" y="5191259"/>
                    <a:ext cx="304800" cy="219072"/>
                  </a:xfrm>
                  <a:prstGeom prst="rect">
                    <a:avLst/>
                  </a:prstGeom>
                  <a:solidFill>
                    <a:srgbClr val="FFFFFF" mc:Ignorable="a14" a14:legacySpreadsheetColorIndex="6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G$13">
            <xdr:nvSpPr>
              <xdr:cNvPr id="599" name="Rectangle 598">
                <a:extLst>
                  <a:ext uri="{FF2B5EF4-FFF2-40B4-BE49-F238E27FC236}">
                    <a16:creationId xmlns:a16="http://schemas.microsoft.com/office/drawing/2014/main" id="{00000000-0008-0000-0000-000057020000}"/>
                  </a:ext>
                </a:extLst>
              </xdr:cNvPr>
              <xdr:cNvSpPr/>
            </xdr:nvSpPr>
            <xdr:spPr>
              <a:xfrm>
                <a:off x="7763145" y="5167769"/>
                <a:ext cx="1171575" cy="228600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8A23B79-8142-431D-9298-A51BF38DC2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b) Volume Cl2 =</a:t>
                </a:fld>
                <a:endParaRPr lang="en-US" sz="1100"/>
              </a:p>
            </xdr:txBody>
          </xdr:sp>
          <xdr:sp macro="" textlink="$AH$13">
            <xdr:nvSpPr>
              <xdr:cNvPr id="600" name="Rectangle 599">
                <a:extLst>
                  <a:ext uri="{FF2B5EF4-FFF2-40B4-BE49-F238E27FC236}">
                    <a16:creationId xmlns:a16="http://schemas.microsoft.com/office/drawing/2014/main" id="{00000000-0008-0000-0000-000058020000}"/>
                  </a:ext>
                </a:extLst>
              </xdr:cNvPr>
              <xdr:cNvSpPr/>
            </xdr:nvSpPr>
            <xdr:spPr>
              <a:xfrm>
                <a:off x="8858519" y="5167769"/>
                <a:ext cx="704850" cy="228600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700022F-098D-4933-8428-7D5ACED698D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8.353</a:t>
                </a:fld>
                <a:endParaRPr lang="en-US" sz="1100"/>
              </a:p>
            </xdr:txBody>
          </xdr:sp>
        </xdr:grpSp>
        <xdr:sp macro="" textlink="$AW$44">
          <xdr:nvSpPr>
            <xdr:cNvPr id="605" name="Rectangle 604">
              <a:extLst>
                <a:ext uri="{FF2B5EF4-FFF2-40B4-BE49-F238E27FC236}">
                  <a16:creationId xmlns:a16="http://schemas.microsoft.com/office/drawing/2014/main" id="{00000000-0008-0000-0000-00005D020000}"/>
                </a:ext>
              </a:extLst>
            </xdr:cNvPr>
            <xdr:cNvSpPr/>
          </xdr:nvSpPr>
          <xdr:spPr>
            <a:xfrm>
              <a:off x="3952875" y="6724650"/>
              <a:ext cx="257175" cy="25108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870461F-D230-4E3A-BAD3-A90099DD642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L</a:t>
              </a:fld>
              <a:endParaRPr lang="en-US" sz="1100"/>
            </a:p>
          </xdr:txBody>
        </xdr:sp>
      </xdr:grpSp>
      <xdr:grpSp>
        <xdr:nvGrpSpPr>
          <xdr:cNvPr id="607" name="Group 606">
            <a:extLst>
              <a:ext uri="{FF2B5EF4-FFF2-40B4-BE49-F238E27FC236}">
                <a16:creationId xmlns:a16="http://schemas.microsoft.com/office/drawing/2014/main" id="{00000000-0008-0000-0000-00005F020000}"/>
              </a:ext>
            </a:extLst>
          </xdr:cNvPr>
          <xdr:cNvGrpSpPr/>
        </xdr:nvGrpSpPr>
        <xdr:grpSpPr>
          <a:xfrm>
            <a:off x="2233754" y="6419831"/>
            <a:ext cx="1969043" cy="260243"/>
            <a:chOff x="2224229" y="6448406"/>
            <a:chExt cx="1969043" cy="260243"/>
          </a:xfrm>
        </xdr:grpSpPr>
        <xdr:grpSp>
          <xdr:nvGrpSpPr>
            <xdr:cNvPr id="608" name="Group 607">
              <a:extLst>
                <a:ext uri="{FF2B5EF4-FFF2-40B4-BE49-F238E27FC236}">
                  <a16:creationId xmlns:a16="http://schemas.microsoft.com/office/drawing/2014/main" id="{00000000-0008-0000-0000-000060020000}"/>
                </a:ext>
              </a:extLst>
            </xdr:cNvPr>
            <xdr:cNvGrpSpPr/>
          </xdr:nvGrpSpPr>
          <xdr:grpSpPr>
            <a:xfrm>
              <a:off x="2224229" y="6448406"/>
              <a:ext cx="1894604" cy="260243"/>
              <a:chOff x="7577279" y="5172466"/>
              <a:chExt cx="1894604" cy="256679"/>
            </a:xfrm>
            <a:solidFill>
              <a:schemeClr val="bg1"/>
            </a:solidFill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904050" name="Check Box 49586" hidden="1">
                    <a:extLst>
                      <a:ext uri="{63B3BB69-23CF-44E3-9099-C40C66FF867C}">
                        <a14:compatExt spid="_x0000_s1904050"/>
                      </a:ext>
                      <a:ext uri="{FF2B5EF4-FFF2-40B4-BE49-F238E27FC236}">
                        <a16:creationId xmlns:a16="http://schemas.microsoft.com/office/drawing/2014/main" id="{00000000-0008-0000-0000-0000B20D1D00}"/>
                      </a:ext>
                    </a:extLst>
                  </xdr:cNvPr>
                  <xdr:cNvSpPr/>
                </xdr:nvSpPr>
                <xdr:spPr bwMode="auto">
                  <a:xfrm>
                    <a:off x="7577279" y="5210070"/>
                    <a:ext cx="304800" cy="219075"/>
                  </a:xfrm>
                  <a:prstGeom prst="rect">
                    <a:avLst/>
                  </a:prstGeom>
                  <a:solidFill>
                    <a:srgbClr val="FFFFFF" mc:Ignorable="a14" a14:legacySpreadsheetColorIndex="6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G$12">
            <xdr:nvSpPr>
              <xdr:cNvPr id="610" name="Rectangle 609">
                <a:extLst>
                  <a:ext uri="{FF2B5EF4-FFF2-40B4-BE49-F238E27FC236}">
                    <a16:creationId xmlns:a16="http://schemas.microsoft.com/office/drawing/2014/main" id="{00000000-0008-0000-0000-000062020000}"/>
                  </a:ext>
                </a:extLst>
              </xdr:cNvPr>
              <xdr:cNvSpPr/>
            </xdr:nvSpPr>
            <xdr:spPr>
              <a:xfrm>
                <a:off x="7763235" y="5172466"/>
                <a:ext cx="1171575" cy="228600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F24985A-BB79-47C7-BFB0-78116D71E961}" type="TxLink">
                  <a:rPr lang="en-US" sz="105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a) Massa Zn =</a:t>
                </a:fld>
                <a:endParaRPr lang="en-US" sz="1050"/>
              </a:p>
            </xdr:txBody>
          </xdr:sp>
          <xdr:sp macro="" textlink="$AH$12">
            <xdr:nvSpPr>
              <xdr:cNvPr id="611" name="Rectangle 610">
                <a:extLst>
                  <a:ext uri="{FF2B5EF4-FFF2-40B4-BE49-F238E27FC236}">
                    <a16:creationId xmlns:a16="http://schemas.microsoft.com/office/drawing/2014/main" id="{00000000-0008-0000-0000-000063020000}"/>
                  </a:ext>
                </a:extLst>
              </xdr:cNvPr>
              <xdr:cNvSpPr/>
            </xdr:nvSpPr>
            <xdr:spPr>
              <a:xfrm>
                <a:off x="8767033" y="5179682"/>
                <a:ext cx="704850" cy="228600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0A5A24-3E0E-4C45-B984-173E1333650F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24.384</a:t>
                </a:fld>
                <a:endParaRPr lang="en-US" sz="1100"/>
              </a:p>
            </xdr:txBody>
          </xdr:sp>
        </xdr:grpSp>
        <xdr:sp macro="" textlink="$AT$45">
          <xdr:nvSpPr>
            <xdr:cNvPr id="609" name="Rectangle 608">
              <a:extLst>
                <a:ext uri="{FF2B5EF4-FFF2-40B4-BE49-F238E27FC236}">
                  <a16:creationId xmlns:a16="http://schemas.microsoft.com/office/drawing/2014/main" id="{00000000-0008-0000-0000-000061020000}"/>
                </a:ext>
              </a:extLst>
            </xdr:cNvPr>
            <xdr:cNvSpPr/>
          </xdr:nvSpPr>
          <xdr:spPr>
            <a:xfrm>
              <a:off x="3936097" y="6452843"/>
              <a:ext cx="257175" cy="25108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A01AB4F-78C0-4540-B6EA-0DA3346F35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g</a:t>
              </a:fld>
              <a:endParaRPr lang="en-US" sz="1100"/>
            </a:p>
          </xdr:txBody>
        </xdr:sp>
      </xdr:grpSp>
    </xdr:grpSp>
    <xdr:clientData/>
  </xdr:twoCellAnchor>
  <xdr:twoCellAnchor>
    <xdr:from>
      <xdr:col>6</xdr:col>
      <xdr:colOff>28575</xdr:colOff>
      <xdr:row>2</xdr:row>
      <xdr:rowOff>47625</xdr:rowOff>
    </xdr:from>
    <xdr:to>
      <xdr:col>8</xdr:col>
      <xdr:colOff>266700</xdr:colOff>
      <xdr:row>3</xdr:row>
      <xdr:rowOff>152400</xdr:rowOff>
    </xdr:to>
    <xdr:sp macro="" textlink="$AO$24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266950" y="304800"/>
          <a:ext cx="1362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4D7BAA-8ADB-427A-95FF-3B5C22A012A9}" type="TxLink">
            <a:rPr lang="en-US" sz="16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28576</xdr:colOff>
      <xdr:row>3</xdr:row>
      <xdr:rowOff>38100</xdr:rowOff>
    </xdr:from>
    <xdr:to>
      <xdr:col>8</xdr:col>
      <xdr:colOff>428626</xdr:colOff>
      <xdr:row>4</xdr:row>
      <xdr:rowOff>161925</xdr:rowOff>
    </xdr:to>
    <xdr:sp macro="" textlink="$AO$23">
      <xdr:nvSpPr>
        <xdr:cNvPr id="463" name="Rectangle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/>
      </xdr:nvSpPr>
      <xdr:spPr>
        <a:xfrm>
          <a:off x="2076451" y="542925"/>
          <a:ext cx="17145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01E0F68-97CD-4489-82B3-38B0A7BE95B5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0</xdr:rowOff>
    </xdr:from>
    <xdr:to>
      <xdr:col>8</xdr:col>
      <xdr:colOff>476250</xdr:colOff>
      <xdr:row>2</xdr:row>
      <xdr:rowOff>228600</xdr:rowOff>
    </xdr:to>
    <xdr:sp macro="" textlink="$A$4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571875" y="2571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7FCA78B-B03C-4786-BFFF-7858E65BB7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3</xdr:row>
      <xdr:rowOff>209550</xdr:rowOff>
    </xdr:from>
    <xdr:to>
      <xdr:col>8</xdr:col>
      <xdr:colOff>485775</xdr:colOff>
      <xdr:row>4</xdr:row>
      <xdr:rowOff>209550</xdr:rowOff>
    </xdr:to>
    <xdr:sp macro="" textlink="$A$6">
      <xdr:nvSpPr>
        <xdr:cNvPr id="475" name="Oval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3581400" y="7143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3CC1C-61BB-456B-9A06-603C219EB00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238125</xdr:rowOff>
    </xdr:from>
    <xdr:to>
      <xdr:col>8</xdr:col>
      <xdr:colOff>476250</xdr:colOff>
      <xdr:row>3</xdr:row>
      <xdr:rowOff>219075</xdr:rowOff>
    </xdr:to>
    <xdr:sp macro="" textlink="$A$5">
      <xdr:nvSpPr>
        <xdr:cNvPr id="476" name="Oval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3571875" y="495300"/>
          <a:ext cx="266700" cy="22860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A77A2C2-850A-4391-BD62-D81CB1E9186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4</xdr:row>
      <xdr:rowOff>209550</xdr:rowOff>
    </xdr:from>
    <xdr:to>
      <xdr:col>8</xdr:col>
      <xdr:colOff>485775</xdr:colOff>
      <xdr:row>5</xdr:row>
      <xdr:rowOff>209550</xdr:rowOff>
    </xdr:to>
    <xdr:sp macro="" textlink="$A$7">
      <xdr:nvSpPr>
        <xdr:cNvPr id="477" name="Oval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3581400" y="9429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B4544-9499-4D18-9F25-E91E0C31EC9C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171451</xdr:colOff>
      <xdr:row>14</xdr:row>
      <xdr:rowOff>133350</xdr:rowOff>
    </xdr:from>
    <xdr:to>
      <xdr:col>2</xdr:col>
      <xdr:colOff>66676</xdr:colOff>
      <xdr:row>15</xdr:row>
      <xdr:rowOff>123825</xdr:rowOff>
    </xdr:to>
    <xdr:sp macro="" textlink="$A$16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71451" y="3067050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36810E-7B43-4BCF-AF64-9CD65F5C2D79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190500</xdr:colOff>
      <xdr:row>16</xdr:row>
      <xdr:rowOff>9525</xdr:rowOff>
    </xdr:from>
    <xdr:to>
      <xdr:col>2</xdr:col>
      <xdr:colOff>85725</xdr:colOff>
      <xdr:row>17</xdr:row>
      <xdr:rowOff>9525</xdr:rowOff>
    </xdr:to>
    <xdr:sp macro="" textlink="$A$17">
      <xdr:nvSpPr>
        <xdr:cNvPr id="478" name="Rectangle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190500" y="3333750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2139ED05-8685-48FA-B29A-75CA5773331D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180975</xdr:colOff>
      <xdr:row>17</xdr:row>
      <xdr:rowOff>76200</xdr:rowOff>
    </xdr:from>
    <xdr:to>
      <xdr:col>2</xdr:col>
      <xdr:colOff>76200</xdr:colOff>
      <xdr:row>18</xdr:row>
      <xdr:rowOff>66675</xdr:rowOff>
    </xdr:to>
    <xdr:sp macro="" textlink="$A$18">
      <xdr:nvSpPr>
        <xdr:cNvPr id="479" name="Rectangle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180975" y="3590925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FCE2D61F-092E-4043-9314-8F526BDF1F0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18</xdr:row>
      <xdr:rowOff>152400</xdr:rowOff>
    </xdr:from>
    <xdr:to>
      <xdr:col>15</xdr:col>
      <xdr:colOff>371475</xdr:colOff>
      <xdr:row>19</xdr:row>
      <xdr:rowOff>171450</xdr:rowOff>
    </xdr:to>
    <xdr:sp macro="" textlink="$A$20">
      <xdr:nvSpPr>
        <xdr:cNvPr id="464" name="Oval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6829425" y="3867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BD3FD69-6DC1-45B4-AEE8-F93D681F5A7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19</xdr:row>
      <xdr:rowOff>152400</xdr:rowOff>
    </xdr:from>
    <xdr:to>
      <xdr:col>15</xdr:col>
      <xdr:colOff>361950</xdr:colOff>
      <xdr:row>20</xdr:row>
      <xdr:rowOff>180975</xdr:rowOff>
    </xdr:to>
    <xdr:sp macro="" textlink="$A$21">
      <xdr:nvSpPr>
        <xdr:cNvPr id="465" name="Oval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6819900" y="407670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7A17885-450C-409F-801A-D17D80C2664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20</xdr:row>
      <xdr:rowOff>190500</xdr:rowOff>
    </xdr:from>
    <xdr:to>
      <xdr:col>15</xdr:col>
      <xdr:colOff>371475</xdr:colOff>
      <xdr:row>22</xdr:row>
      <xdr:rowOff>9525</xdr:rowOff>
    </xdr:to>
    <xdr:sp macro="" textlink="$A$22">
      <xdr:nvSpPr>
        <xdr:cNvPr id="466" name="Oval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6829425" y="431482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19DD9A1-D9F8-4956-BECE-644764EAB72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22</xdr:row>
      <xdr:rowOff>95250</xdr:rowOff>
    </xdr:from>
    <xdr:to>
      <xdr:col>15</xdr:col>
      <xdr:colOff>361950</xdr:colOff>
      <xdr:row>23</xdr:row>
      <xdr:rowOff>114300</xdr:rowOff>
    </xdr:to>
    <xdr:sp macro="" textlink="$A$23">
      <xdr:nvSpPr>
        <xdr:cNvPr id="474" name="Oval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6819900" y="4629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7D1F29-8E4B-495C-BC85-CD759FFB1FF9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462099</xdr:colOff>
      <xdr:row>19</xdr:row>
      <xdr:rowOff>50346</xdr:rowOff>
    </xdr:from>
    <xdr:to>
      <xdr:col>15</xdr:col>
      <xdr:colOff>299359</xdr:colOff>
      <xdr:row>23</xdr:row>
      <xdr:rowOff>155121</xdr:rowOff>
    </xdr:to>
    <xdr:grpSp>
      <xdr:nvGrpSpPr>
        <xdr:cNvPr id="978365" name="Group 978364">
          <a:extLst>
            <a:ext uri="{FF2B5EF4-FFF2-40B4-BE49-F238E27FC236}">
              <a16:creationId xmlns:a16="http://schemas.microsoft.com/office/drawing/2014/main" id="{00000000-0008-0000-0000-0000BDED0E00}"/>
            </a:ext>
          </a:extLst>
        </xdr:cNvPr>
        <xdr:cNvGrpSpPr/>
      </xdr:nvGrpSpPr>
      <xdr:grpSpPr>
        <a:xfrm>
          <a:off x="4396657" y="3977577"/>
          <a:ext cx="2570202" cy="925390"/>
          <a:chOff x="4396657" y="3977577"/>
          <a:chExt cx="2570202" cy="925390"/>
        </a:xfrm>
      </xdr:grpSpPr>
      <xdr:grpSp>
        <xdr:nvGrpSpPr>
          <xdr:cNvPr id="978341" name="Group 978340">
            <a:extLst>
              <a:ext uri="{FF2B5EF4-FFF2-40B4-BE49-F238E27FC236}">
                <a16:creationId xmlns:a16="http://schemas.microsoft.com/office/drawing/2014/main" id="{00000000-0008-0000-0000-0000A5ED0E00}"/>
              </a:ext>
            </a:extLst>
          </xdr:cNvPr>
          <xdr:cNvGrpSpPr/>
        </xdr:nvGrpSpPr>
        <xdr:grpSpPr>
          <a:xfrm>
            <a:off x="4396657" y="3977577"/>
            <a:ext cx="2570202" cy="925390"/>
            <a:chOff x="5734050" y="5486400"/>
            <a:chExt cx="2359434" cy="923925"/>
          </a:xfrm>
        </xdr:grpSpPr>
        <xdr:grpSp>
          <xdr:nvGrpSpPr>
            <xdr:cNvPr id="490" name="Group 489">
              <a:extLst>
                <a:ext uri="{FF2B5EF4-FFF2-40B4-BE49-F238E27FC236}">
                  <a16:creationId xmlns:a16="http://schemas.microsoft.com/office/drawing/2014/main" id="{00000000-0008-0000-0000-0000EA010000}"/>
                </a:ext>
              </a:extLst>
            </xdr:cNvPr>
            <xdr:cNvGrpSpPr/>
          </xdr:nvGrpSpPr>
          <xdr:grpSpPr>
            <a:xfrm>
              <a:off x="5737687" y="5486400"/>
              <a:ext cx="2355797" cy="241432"/>
              <a:chOff x="5023312" y="5143500"/>
              <a:chExt cx="2355797" cy="241432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903977" name="Check Box 49513" hidden="1">
                    <a:extLst>
                      <a:ext uri="{63B3BB69-23CF-44E3-9099-C40C66FF867C}">
                        <a14:compatExt spid="_x0000_s1903977"/>
                      </a:ext>
                      <a:ext uri="{FF2B5EF4-FFF2-40B4-BE49-F238E27FC236}">
                        <a16:creationId xmlns:a16="http://schemas.microsoft.com/office/drawing/2014/main" id="{00000000-0008-0000-0000-0000690D1D00}"/>
                      </a:ext>
                    </a:extLst>
                  </xdr:cNvPr>
                  <xdr:cNvSpPr/>
                </xdr:nvSpPr>
                <xdr:spPr bwMode="auto">
                  <a:xfrm>
                    <a:off x="5023312" y="5153157"/>
                    <a:ext cx="304800" cy="222118"/>
                  </a:xfrm>
                  <a:prstGeom prst="rect">
                    <a:avLst/>
                  </a:prstGeom>
                  <a:solidFill>
                    <a:srgbClr val="FFFFFF" mc:Ignorable="a14" a14:legacySpreadsheetColorIndex="6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G$16">
            <xdr:nvSpPr>
              <xdr:cNvPr id="586" name="Rectangle 585">
                <a:extLst>
                  <a:ext uri="{FF2B5EF4-FFF2-40B4-BE49-F238E27FC236}">
                    <a16:creationId xmlns:a16="http://schemas.microsoft.com/office/drawing/2014/main" id="{00000000-0008-0000-0000-00004A020000}"/>
                  </a:ext>
                </a:extLst>
              </xdr:cNvPr>
              <xdr:cNvSpPr/>
            </xdr:nvSpPr>
            <xdr:spPr>
              <a:xfrm>
                <a:off x="5210175" y="5143500"/>
                <a:ext cx="1171575" cy="23177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B8CB49D-8015-4901-BC97-ADD9B1831324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e) r_katoda Zn=</a:t>
                </a:fld>
                <a:endParaRPr lang="en-US" sz="1050"/>
              </a:p>
            </xdr:txBody>
          </xdr:sp>
          <xdr:sp macro="" textlink="$AH$16">
            <xdr:nvSpPr>
              <xdr:cNvPr id="587" name="Rectangle 586">
                <a:extLst>
                  <a:ext uri="{FF2B5EF4-FFF2-40B4-BE49-F238E27FC236}">
                    <a16:creationId xmlns:a16="http://schemas.microsoft.com/office/drawing/2014/main" id="{00000000-0008-0000-0000-00004B020000}"/>
                  </a:ext>
                </a:extLst>
              </xdr:cNvPr>
              <xdr:cNvSpPr/>
            </xdr:nvSpPr>
            <xdr:spPr>
              <a:xfrm>
                <a:off x="6229350" y="5153157"/>
                <a:ext cx="704850" cy="23177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2E33896-CEF9-4D51-9578-DED23612A1F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5.18E-05</a:t>
                </a:fld>
                <a:endParaRPr lang="en-US" sz="1100"/>
              </a:p>
            </xdr:txBody>
          </xdr:sp>
          <xdr:sp macro="" textlink="$AN$47">
            <xdr:nvSpPr>
              <xdr:cNvPr id="588" name="Rectangle 587">
                <a:extLst>
                  <a:ext uri="{FF2B5EF4-FFF2-40B4-BE49-F238E27FC236}">
                    <a16:creationId xmlns:a16="http://schemas.microsoft.com/office/drawing/2014/main" id="{00000000-0008-0000-0000-00004C020000}"/>
                  </a:ext>
                </a:extLst>
              </xdr:cNvPr>
              <xdr:cNvSpPr/>
            </xdr:nvSpPr>
            <xdr:spPr>
              <a:xfrm>
                <a:off x="6769509" y="5182129"/>
                <a:ext cx="609600" cy="193146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28BCEA17-51CD-48DC-870A-2E76B7CD669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mol/s</a:t>
                </a:fld>
                <a:endParaRPr lang="en-US" sz="1100"/>
              </a:p>
            </xdr:txBody>
          </xdr:sp>
        </xdr:grpSp>
        <xdr:grpSp>
          <xdr:nvGrpSpPr>
            <xdr:cNvPr id="578" name="Group 577">
              <a:extLst>
                <a:ext uri="{FF2B5EF4-FFF2-40B4-BE49-F238E27FC236}">
                  <a16:creationId xmlns:a16="http://schemas.microsoft.com/office/drawing/2014/main" id="{00000000-0008-0000-0000-000042020000}"/>
                </a:ext>
              </a:extLst>
            </xdr:cNvPr>
            <xdr:cNvGrpSpPr/>
          </xdr:nvGrpSpPr>
          <xdr:grpSpPr>
            <a:xfrm>
              <a:off x="5734051" y="5718043"/>
              <a:ext cx="2349908" cy="231775"/>
              <a:chOff x="4629151" y="5114925"/>
              <a:chExt cx="2349908" cy="2286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903978" name="Check Box 49514" hidden="1">
                    <a:extLst>
                      <a:ext uri="{63B3BB69-23CF-44E3-9099-C40C66FF867C}">
                        <a14:compatExt spid="_x0000_s1903978"/>
                      </a:ext>
                      <a:ext uri="{FF2B5EF4-FFF2-40B4-BE49-F238E27FC236}">
                        <a16:creationId xmlns:a16="http://schemas.microsoft.com/office/drawing/2014/main" id="{00000000-0008-0000-0000-00006A0D1D00}"/>
                      </a:ext>
                    </a:extLst>
                  </xdr:cNvPr>
                  <xdr:cNvSpPr/>
                </xdr:nvSpPr>
                <xdr:spPr bwMode="auto">
                  <a:xfrm>
                    <a:off x="4629151" y="5114925"/>
                    <a:ext cx="304800" cy="219075"/>
                  </a:xfrm>
                  <a:prstGeom prst="rect">
                    <a:avLst/>
                  </a:prstGeom>
                  <a:solidFill>
                    <a:srgbClr val="FFFFFF" mc:Ignorable="a14" a14:legacySpreadsheetColorIndex="6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G$17">
            <xdr:nvSpPr>
              <xdr:cNvPr id="583" name="Rectangle 582">
                <a:extLst>
                  <a:ext uri="{FF2B5EF4-FFF2-40B4-BE49-F238E27FC236}">
                    <a16:creationId xmlns:a16="http://schemas.microsoft.com/office/drawing/2014/main" id="{00000000-0008-0000-0000-000047020000}"/>
                  </a:ext>
                </a:extLst>
              </xdr:cNvPr>
              <xdr:cNvSpPr/>
            </xdr:nvSpPr>
            <xdr:spPr>
              <a:xfrm>
                <a:off x="4829175" y="5114925"/>
                <a:ext cx="1171575" cy="2286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96AED65-DF46-4D47-9079-5414D211AA6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f) r_anoda Cl2=</a:t>
                </a:fld>
                <a:endParaRPr lang="en-US" sz="1050"/>
              </a:p>
            </xdr:txBody>
          </xdr:sp>
          <xdr:sp macro="" textlink="$AH$17">
            <xdr:nvSpPr>
              <xdr:cNvPr id="584" name="Rectangle 583">
                <a:extLst>
                  <a:ext uri="{FF2B5EF4-FFF2-40B4-BE49-F238E27FC236}">
                    <a16:creationId xmlns:a16="http://schemas.microsoft.com/office/drawing/2014/main" id="{00000000-0008-0000-0000-000048020000}"/>
                  </a:ext>
                </a:extLst>
              </xdr:cNvPr>
              <xdr:cNvSpPr/>
            </xdr:nvSpPr>
            <xdr:spPr>
              <a:xfrm>
                <a:off x="5829300" y="5114925"/>
                <a:ext cx="704850" cy="2286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614F06E-7F70-470A-BA01-3BE0249852F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5.18E-05</a:t>
                </a:fld>
                <a:endParaRPr lang="en-US" sz="1100"/>
              </a:p>
            </xdr:txBody>
          </xdr:sp>
          <xdr:sp macro="" textlink="$AO$50">
            <xdr:nvSpPr>
              <xdr:cNvPr id="585" name="Rectangle 584">
                <a:extLst>
                  <a:ext uri="{FF2B5EF4-FFF2-40B4-BE49-F238E27FC236}">
                    <a16:creationId xmlns:a16="http://schemas.microsoft.com/office/drawing/2014/main" id="{00000000-0008-0000-0000-000049020000}"/>
                  </a:ext>
                </a:extLst>
              </xdr:cNvPr>
              <xdr:cNvSpPr/>
            </xdr:nvSpPr>
            <xdr:spPr>
              <a:xfrm>
                <a:off x="6369459" y="5114925"/>
                <a:ext cx="609600" cy="2286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47354CB8-9C32-4C2E-B96A-DBF68A2372A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mol/s</a:t>
                </a:fld>
                <a:endParaRPr lang="en-US" sz="1100"/>
              </a:p>
            </xdr:txBody>
          </xdr:sp>
        </xdr:grpSp>
        <xdr:grpSp>
          <xdr:nvGrpSpPr>
            <xdr:cNvPr id="594" name="Group 593">
              <a:extLst>
                <a:ext uri="{FF2B5EF4-FFF2-40B4-BE49-F238E27FC236}">
                  <a16:creationId xmlns:a16="http://schemas.microsoft.com/office/drawing/2014/main" id="{00000000-0008-0000-0000-000052020000}"/>
                </a:ext>
              </a:extLst>
            </xdr:cNvPr>
            <xdr:cNvGrpSpPr/>
          </xdr:nvGrpSpPr>
          <xdr:grpSpPr>
            <a:xfrm>
              <a:off x="5734801" y="6178550"/>
              <a:ext cx="1847099" cy="231775"/>
              <a:chOff x="7582651" y="5200650"/>
              <a:chExt cx="1847099" cy="228600"/>
            </a:xfrm>
            <a:solidFill>
              <a:schemeClr val="bg1"/>
            </a:solidFill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903981" name="Check Box 49517" hidden="1">
                    <a:extLst>
                      <a:ext uri="{63B3BB69-23CF-44E3-9099-C40C66FF867C}">
                        <a14:compatExt spid="_x0000_s1903981"/>
                      </a:ext>
                      <a:ext uri="{FF2B5EF4-FFF2-40B4-BE49-F238E27FC236}">
                        <a16:creationId xmlns:a16="http://schemas.microsoft.com/office/drawing/2014/main" id="{00000000-0008-0000-0000-00006D0D1D00}"/>
                      </a:ext>
                    </a:extLst>
                  </xdr:cNvPr>
                  <xdr:cNvSpPr/>
                </xdr:nvSpPr>
                <xdr:spPr bwMode="auto">
                  <a:xfrm>
                    <a:off x="7582651" y="5200650"/>
                    <a:ext cx="304800" cy="219075"/>
                  </a:xfrm>
                  <a:prstGeom prst="rect">
                    <a:avLst/>
                  </a:prstGeom>
                  <a:solidFill>
                    <a:srgbClr val="FFFFFF" mc:Ignorable="a14" a14:legacySpreadsheetColorIndex="6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G$19">
            <xdr:nvSpPr>
              <xdr:cNvPr id="601" name="Rectangle 600">
                <a:extLst>
                  <a:ext uri="{FF2B5EF4-FFF2-40B4-BE49-F238E27FC236}">
                    <a16:creationId xmlns:a16="http://schemas.microsoft.com/office/drawing/2014/main" id="{00000000-0008-0000-0000-000059020000}"/>
                  </a:ext>
                </a:extLst>
              </xdr:cNvPr>
              <xdr:cNvSpPr/>
            </xdr:nvSpPr>
            <xdr:spPr>
              <a:xfrm>
                <a:off x="7772400" y="5200650"/>
                <a:ext cx="1171575" cy="228600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D59A84D8-7A43-43A8-A2D0-EE83A1C3C474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h) pH larutan =</a:t>
                </a:fld>
                <a:endParaRPr lang="en-US" sz="1100"/>
              </a:p>
            </xdr:txBody>
          </xdr:sp>
          <xdr:sp macro="" textlink="$AH$19">
            <xdr:nvSpPr>
              <xdr:cNvPr id="602" name="Rectangle 601">
                <a:extLst>
                  <a:ext uri="{FF2B5EF4-FFF2-40B4-BE49-F238E27FC236}">
                    <a16:creationId xmlns:a16="http://schemas.microsoft.com/office/drawing/2014/main" id="{00000000-0008-0000-0000-00005A020000}"/>
                  </a:ext>
                </a:extLst>
              </xdr:cNvPr>
              <xdr:cNvSpPr/>
            </xdr:nvSpPr>
            <xdr:spPr>
              <a:xfrm>
                <a:off x="8724900" y="5200650"/>
                <a:ext cx="704850" cy="228600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9CE858-0C56-4CF6-BEA5-9C81B14939E5}" type="TxLink">
                  <a:rPr lang="en-US" sz="1100" b="0" i="0" u="none" strike="noStrike">
                    <a:solidFill>
                      <a:sysClr val="windowText" lastClr="000000"/>
                    </a:solidFill>
                    <a:latin typeface="Calibri"/>
                    <a:cs typeface="Calibri"/>
                  </a:rPr>
                  <a:pPr algn="l"/>
                  <a:t>7.00</a:t>
                </a:fld>
                <a:endParaRPr lang="en-US" sz="11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596" name="Group 595">
              <a:extLst>
                <a:ext uri="{FF2B5EF4-FFF2-40B4-BE49-F238E27FC236}">
                  <a16:creationId xmlns:a16="http://schemas.microsoft.com/office/drawing/2014/main" id="{00000000-0008-0000-0000-000054020000}"/>
                </a:ext>
              </a:extLst>
            </xdr:cNvPr>
            <xdr:cNvGrpSpPr/>
          </xdr:nvGrpSpPr>
          <xdr:grpSpPr>
            <a:xfrm>
              <a:off x="5734050" y="5953125"/>
              <a:ext cx="1838325" cy="231775"/>
              <a:chOff x="7591425" y="5200650"/>
              <a:chExt cx="1838325" cy="228600"/>
            </a:xfrm>
            <a:solidFill>
              <a:schemeClr val="bg1"/>
            </a:solidFill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903983" name="Check Box 49519" hidden="1">
                    <a:extLst>
                      <a:ext uri="{63B3BB69-23CF-44E3-9099-C40C66FF867C}">
                        <a14:compatExt spid="_x0000_s1903983"/>
                      </a:ext>
                      <a:ext uri="{FF2B5EF4-FFF2-40B4-BE49-F238E27FC236}">
                        <a16:creationId xmlns:a16="http://schemas.microsoft.com/office/drawing/2014/main" id="{00000000-0008-0000-0000-00006F0D1D00}"/>
                      </a:ext>
                    </a:extLst>
                  </xdr:cNvPr>
                  <xdr:cNvSpPr/>
                </xdr:nvSpPr>
                <xdr:spPr bwMode="auto">
                  <a:xfrm>
                    <a:off x="7591425" y="5200650"/>
                    <a:ext cx="304800" cy="219075"/>
                  </a:xfrm>
                  <a:prstGeom prst="rect">
                    <a:avLst/>
                  </a:prstGeom>
                  <a:solidFill>
                    <a:srgbClr val="FFFFFF" mc:Ignorable="a14" a14:legacySpreadsheetColorIndex="6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G$18">
            <xdr:nvSpPr>
              <xdr:cNvPr id="597" name="Rectangle 596">
                <a:extLst>
                  <a:ext uri="{FF2B5EF4-FFF2-40B4-BE49-F238E27FC236}">
                    <a16:creationId xmlns:a16="http://schemas.microsoft.com/office/drawing/2014/main" id="{00000000-0008-0000-0000-000055020000}"/>
                  </a:ext>
                </a:extLst>
              </xdr:cNvPr>
              <xdr:cNvSpPr/>
            </xdr:nvSpPr>
            <xdr:spPr>
              <a:xfrm>
                <a:off x="7781925" y="5200650"/>
                <a:ext cx="1171575" cy="228600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E2CDB0A-9C13-4B5E-888A-510F12DDDDE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g) Kw =</a:t>
                </a:fld>
                <a:endParaRPr lang="en-US" sz="1100"/>
              </a:p>
            </xdr:txBody>
          </xdr:sp>
          <xdr:sp macro="" textlink="$AH$18">
            <xdr:nvSpPr>
              <xdr:cNvPr id="598" name="Rectangle 597">
                <a:extLst>
                  <a:ext uri="{FF2B5EF4-FFF2-40B4-BE49-F238E27FC236}">
                    <a16:creationId xmlns:a16="http://schemas.microsoft.com/office/drawing/2014/main" id="{00000000-0008-0000-0000-000056020000}"/>
                  </a:ext>
                </a:extLst>
              </xdr:cNvPr>
              <xdr:cNvSpPr/>
            </xdr:nvSpPr>
            <xdr:spPr>
              <a:xfrm>
                <a:off x="8724900" y="5200650"/>
                <a:ext cx="704850" cy="228600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6C2F2DF-448C-4131-B5CE-0AD90C03212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1.0E-14</a:t>
                </a:fld>
                <a:endParaRPr lang="en-US" sz="1100"/>
              </a:p>
            </xdr:txBody>
          </xdr:sp>
        </xdr:grpSp>
      </xdr:grpSp>
      <xdr:sp macro="" textlink="$AO$51">
        <xdr:nvSpPr>
          <xdr:cNvPr id="480" name="Rectangle 479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/>
        </xdr:nvSpPr>
        <xdr:spPr>
          <a:xfrm>
            <a:off x="6286608" y="4454624"/>
            <a:ext cx="556194" cy="23009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CBFBD705-F9F1-445A-BF28-8520F8D18A40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mol/L</a:t>
            </a:fld>
            <a:endParaRPr lang="en-US" sz="1100"/>
          </a:p>
        </xdr:txBody>
      </xdr:sp>
    </xdr:grpSp>
    <xdr:clientData/>
  </xdr:twoCellAnchor>
  <xdr:twoCellAnchor>
    <xdr:from>
      <xdr:col>20</xdr:col>
      <xdr:colOff>695325</xdr:colOff>
      <xdr:row>11</xdr:row>
      <xdr:rowOff>95251</xdr:rowOff>
    </xdr:from>
    <xdr:to>
      <xdr:col>21</xdr:col>
      <xdr:colOff>571500</xdr:colOff>
      <xdr:row>12</xdr:row>
      <xdr:rowOff>114301</xdr:rowOff>
    </xdr:to>
    <xdr:sp macro="" textlink="$AL$50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658475" y="2457451"/>
          <a:ext cx="5905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22279EB-0B27-4A49-A9FC-BBB22446D0C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679448</xdr:colOff>
      <xdr:row>13</xdr:row>
      <xdr:rowOff>76200</xdr:rowOff>
    </xdr:from>
    <xdr:to>
      <xdr:col>10</xdr:col>
      <xdr:colOff>47623</xdr:colOff>
      <xdr:row>16</xdr:row>
      <xdr:rowOff>180975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3873986" y="2801815"/>
          <a:ext cx="1016733" cy="698256"/>
          <a:chOff x="6381750" y="5162550"/>
          <a:chExt cx="693684" cy="860425"/>
        </a:xfrm>
      </xdr:grpSpPr>
      <xdr:sp macro="" textlink="J14">
        <xdr:nvSpPr>
          <xdr:cNvPr id="482" name="Rectangle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SpPr/>
        </xdr:nvSpPr>
        <xdr:spPr>
          <a:xfrm>
            <a:off x="6386153" y="5162550"/>
            <a:ext cx="624248" cy="231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362E2EE-82A8-4049-B73C-18F6EBC6800C}" type="TxLink">
              <a:rPr lang="en-US" sz="900" b="0" i="0" u="none" strike="noStrike">
                <a:solidFill>
                  <a:srgbClr val="000000"/>
                </a:solidFill>
                <a:latin typeface="Calibri Light"/>
                <a:cs typeface="Calibri Light"/>
              </a:rPr>
              <a:pPr algn="l"/>
              <a:t>Ar_ Zn= 65.39</a:t>
            </a:fld>
            <a:endParaRPr lang="en-US" sz="900"/>
          </a:p>
        </xdr:txBody>
      </xdr:sp>
      <xdr:sp macro="" textlink="J15">
        <xdr:nvSpPr>
          <xdr:cNvPr id="483" name="Rectangle 482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/>
        </xdr:nvSpPr>
        <xdr:spPr>
          <a:xfrm>
            <a:off x="6381750" y="5381625"/>
            <a:ext cx="624248" cy="231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FC27A11-4396-4153-A55C-A95EC6FCAC43}" type="TxLink">
              <a:rPr lang="en-US" sz="900" b="0" i="0" u="none" strike="noStrike">
                <a:solidFill>
                  <a:srgbClr val="000000"/>
                </a:solidFill>
                <a:latin typeface="Calibri Light"/>
                <a:cs typeface="Calibri Light"/>
              </a:rPr>
              <a:pPr algn="l"/>
              <a:t>n_ Zn= 2</a:t>
            </a:fld>
            <a:endParaRPr lang="en-US" sz="900"/>
          </a:p>
        </xdr:txBody>
      </xdr:sp>
      <xdr:sp macro="" textlink="J16">
        <xdr:nvSpPr>
          <xdr:cNvPr id="484" name="Rectangle 483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/>
        </xdr:nvSpPr>
        <xdr:spPr>
          <a:xfrm>
            <a:off x="6381750" y="5600700"/>
            <a:ext cx="693684" cy="1897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2BA20D6-90A0-489A-8BF5-0B6A45EFC09F}" type="TxLink">
              <a:rPr lang="en-US" sz="900" b="0" i="0" u="none" strike="noStrike">
                <a:solidFill>
                  <a:srgbClr val="000000"/>
                </a:solidFill>
                <a:latin typeface="Calibri Light"/>
                <a:cs typeface="Calibri Light"/>
              </a:rPr>
              <a:pPr algn="l"/>
              <a:t>Ar_ Cl2= 71</a:t>
            </a:fld>
            <a:endParaRPr lang="en-US" sz="900"/>
          </a:p>
        </xdr:txBody>
      </xdr:sp>
      <xdr:sp macro="" textlink="J17">
        <xdr:nvSpPr>
          <xdr:cNvPr id="486" name="Rectangle 485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/>
        </xdr:nvSpPr>
        <xdr:spPr>
          <a:xfrm>
            <a:off x="6381750" y="5791200"/>
            <a:ext cx="624248" cy="231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99328F14-6ACE-4D8B-ADB4-EA26BFC4CEB8}" type="TxLink">
              <a:rPr lang="en-US" sz="900" b="0" i="0" u="none" strike="noStrike">
                <a:solidFill>
                  <a:srgbClr val="000000"/>
                </a:solidFill>
                <a:latin typeface="Calibri Light"/>
                <a:cs typeface="Calibri Light"/>
              </a:rPr>
              <a:pPr algn="l"/>
              <a:t>n_ Cl2= 2</a:t>
            </a:fld>
            <a:endParaRPr lang="en-US" sz="900"/>
          </a:p>
        </xdr:txBody>
      </xdr:sp>
    </xdr:grpSp>
    <xdr:clientData/>
  </xdr:twoCellAnchor>
  <xdr:twoCellAnchor>
    <xdr:from>
      <xdr:col>9</xdr:col>
      <xdr:colOff>847725</xdr:colOff>
      <xdr:row>13</xdr:row>
      <xdr:rowOff>9525</xdr:rowOff>
    </xdr:from>
    <xdr:to>
      <xdr:col>11</xdr:col>
      <xdr:colOff>81323</xdr:colOff>
      <xdr:row>17</xdr:row>
      <xdr:rowOff>12700</xdr:rowOff>
    </xdr:to>
    <xdr:grpSp>
      <xdr:nvGrpSpPr>
        <xdr:cNvPr id="978362" name="Group 978361">
          <a:extLst>
            <a:ext uri="{FF2B5EF4-FFF2-40B4-BE49-F238E27FC236}">
              <a16:creationId xmlns:a16="http://schemas.microsoft.com/office/drawing/2014/main" id="{00000000-0008-0000-0000-0000BAED0E00}"/>
            </a:ext>
          </a:extLst>
        </xdr:cNvPr>
        <xdr:cNvGrpSpPr/>
      </xdr:nvGrpSpPr>
      <xdr:grpSpPr>
        <a:xfrm>
          <a:off x="4782283" y="2735140"/>
          <a:ext cx="669675" cy="794483"/>
          <a:chOff x="5133975" y="2743200"/>
          <a:chExt cx="662348" cy="803275"/>
        </a:xfrm>
        <a:noFill/>
      </xdr:grpSpPr>
      <xdr:sp macro="" textlink="$AG$8">
        <xdr:nvSpPr>
          <xdr:cNvPr id="487" name="Rectangle 486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/>
        </xdr:nvSpPr>
        <xdr:spPr>
          <a:xfrm>
            <a:off x="5147903" y="2743200"/>
            <a:ext cx="624248" cy="23177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4A3CB2C-5562-494F-BDB8-2610F4FB2758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Kons :</a:t>
            </a:fld>
            <a:endParaRPr lang="en-US" sz="900"/>
          </a:p>
        </xdr:txBody>
      </xdr:sp>
      <xdr:sp macro="" textlink="$AG$9">
        <xdr:nvSpPr>
          <xdr:cNvPr id="603" name="Rectangle 602">
            <a:extLst>
              <a:ext uri="{FF2B5EF4-FFF2-40B4-BE49-F238E27FC236}">
                <a16:creationId xmlns:a16="http://schemas.microsoft.com/office/drawing/2014/main" id="{00000000-0008-0000-0000-00005B020000}"/>
              </a:ext>
            </a:extLst>
          </xdr:cNvPr>
          <xdr:cNvSpPr/>
        </xdr:nvSpPr>
        <xdr:spPr>
          <a:xfrm>
            <a:off x="5143500" y="2924175"/>
            <a:ext cx="624248" cy="23177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6647D927-141C-4DB3-B610-F7665D381A24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muatan :</a:t>
            </a:fld>
            <a:endParaRPr lang="en-US" sz="900"/>
          </a:p>
        </xdr:txBody>
      </xdr:sp>
      <xdr:sp macro="" textlink="$AG$11">
        <xdr:nvSpPr>
          <xdr:cNvPr id="606" name="Rectangle 605">
            <a:extLst>
              <a:ext uri="{FF2B5EF4-FFF2-40B4-BE49-F238E27FC236}">
                <a16:creationId xmlns:a16="http://schemas.microsoft.com/office/drawing/2014/main" id="{00000000-0008-0000-0000-00005E020000}"/>
              </a:ext>
            </a:extLst>
          </xdr:cNvPr>
          <xdr:cNvSpPr/>
        </xdr:nvSpPr>
        <xdr:spPr>
          <a:xfrm>
            <a:off x="5172075" y="3314700"/>
            <a:ext cx="624248" cy="23177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047466C-0DFD-4D2F-93B1-90FFBC688F09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ACCU:</a:t>
            </a:fld>
            <a:endParaRPr lang="en-US" sz="900"/>
          </a:p>
        </xdr:txBody>
      </xdr:sp>
      <xdr:sp macro="" textlink="$AG$10">
        <xdr:nvSpPr>
          <xdr:cNvPr id="488" name="Rectangle 487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/>
        </xdr:nvSpPr>
        <xdr:spPr>
          <a:xfrm>
            <a:off x="5133975" y="3105150"/>
            <a:ext cx="624248" cy="23177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689A8842-FCD4-48EC-AD4B-9DCCBA3794D8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muatan:</a:t>
            </a:fld>
            <a:endParaRPr lang="en-US" sz="9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19</xdr:row>
          <xdr:rowOff>57150</xdr:rowOff>
        </xdr:from>
        <xdr:to>
          <xdr:col>6</xdr:col>
          <xdr:colOff>57150</xdr:colOff>
          <xdr:row>23</xdr:row>
          <xdr:rowOff>142875</xdr:rowOff>
        </xdr:to>
        <xdr:grpSp>
          <xdr:nvGrpSpPr>
            <xdr:cNvPr id="978359" name="Group 978358">
              <a:extLst>
                <a:ext uri="{FF2B5EF4-FFF2-40B4-BE49-F238E27FC236}">
                  <a16:creationId xmlns:a16="http://schemas.microsoft.com/office/drawing/2014/main" id="{00000000-0008-0000-0000-0000B7ED0E00}"/>
                </a:ext>
              </a:extLst>
            </xdr:cNvPr>
            <xdr:cNvGrpSpPr/>
          </xdr:nvGrpSpPr>
          <xdr:grpSpPr>
            <a:xfrm>
              <a:off x="1910862" y="3984381"/>
              <a:ext cx="212480" cy="906340"/>
              <a:chOff x="1876425" y="5210169"/>
              <a:chExt cx="228600" cy="904875"/>
            </a:xfrm>
          </xdr:grpSpPr>
          <xdr:sp macro="" textlink="">
            <xdr:nvSpPr>
              <xdr:cNvPr id="1947567" name="Option Button 57263" hidden="1">
                <a:extLst>
                  <a:ext uri="{63B3BB69-23CF-44E3-9099-C40C66FF867C}">
                    <a14:compatExt spid="_x0000_s1947567"/>
                  </a:ext>
                  <a:ext uri="{FF2B5EF4-FFF2-40B4-BE49-F238E27FC236}">
                    <a16:creationId xmlns:a16="http://schemas.microsoft.com/office/drawing/2014/main" id="{00000000-0008-0000-0000-0000AFB71D00}"/>
                  </a:ext>
                </a:extLst>
              </xdr:cNvPr>
              <xdr:cNvSpPr/>
            </xdr:nvSpPr>
            <xdr:spPr bwMode="auto">
              <a:xfrm>
                <a:off x="1876425" y="5210169"/>
                <a:ext cx="2286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D9D9D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D9D9D9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47568" name="Option Button 57264" hidden="1">
                <a:extLst>
                  <a:ext uri="{63B3BB69-23CF-44E3-9099-C40C66FF867C}">
                    <a14:compatExt spid="_x0000_s1947568"/>
                  </a:ext>
                  <a:ext uri="{FF2B5EF4-FFF2-40B4-BE49-F238E27FC236}">
                    <a16:creationId xmlns:a16="http://schemas.microsoft.com/office/drawing/2014/main" id="{00000000-0008-0000-0000-0000B0B71D00}"/>
                  </a:ext>
                </a:extLst>
              </xdr:cNvPr>
              <xdr:cNvSpPr/>
            </xdr:nvSpPr>
            <xdr:spPr bwMode="auto">
              <a:xfrm>
                <a:off x="1876425" y="5438775"/>
                <a:ext cx="2286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D9D9D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D9D9D9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47569" name="Option Button 57265" hidden="1">
                <a:extLst>
                  <a:ext uri="{63B3BB69-23CF-44E3-9099-C40C66FF867C}">
                    <a14:compatExt spid="_x0000_s1947569"/>
                  </a:ext>
                  <a:ext uri="{FF2B5EF4-FFF2-40B4-BE49-F238E27FC236}">
                    <a16:creationId xmlns:a16="http://schemas.microsoft.com/office/drawing/2014/main" id="{00000000-0008-0000-0000-0000B1B71D00}"/>
                  </a:ext>
                </a:extLst>
              </xdr:cNvPr>
              <xdr:cNvSpPr/>
            </xdr:nvSpPr>
            <xdr:spPr bwMode="auto">
              <a:xfrm>
                <a:off x="1876425" y="5676900"/>
                <a:ext cx="2286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D9D9D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D9D9D9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47570" name="Option Button 57266" hidden="1">
                <a:extLst>
                  <a:ext uri="{63B3BB69-23CF-44E3-9099-C40C66FF867C}">
                    <a14:compatExt spid="_x0000_s1947570"/>
                  </a:ext>
                  <a:ext uri="{FF2B5EF4-FFF2-40B4-BE49-F238E27FC236}">
                    <a16:creationId xmlns:a16="http://schemas.microsoft.com/office/drawing/2014/main" id="{00000000-0008-0000-0000-0000B2B71D00}"/>
                  </a:ext>
                </a:extLst>
              </xdr:cNvPr>
              <xdr:cNvSpPr/>
            </xdr:nvSpPr>
            <xdr:spPr bwMode="auto">
              <a:xfrm>
                <a:off x="1876425" y="5905494"/>
                <a:ext cx="2286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D9D9D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D9D9D9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twoCellAnchor>
    <xdr:from>
      <xdr:col>4</xdr:col>
      <xdr:colOff>57150</xdr:colOff>
      <xdr:row>9</xdr:row>
      <xdr:rowOff>47625</xdr:rowOff>
    </xdr:from>
    <xdr:to>
      <xdr:col>4</xdr:col>
      <xdr:colOff>238125</xdr:colOff>
      <xdr:row>9</xdr:row>
      <xdr:rowOff>209550</xdr:rowOff>
    </xdr:to>
    <xdr:sp macro="" textlink="">
      <xdr:nvSpPr>
        <xdr:cNvPr id="592" name="Oval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/>
      </xdr:nvSpPr>
      <xdr:spPr>
        <a:xfrm>
          <a:off x="1895475" y="1914525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239486</xdr:colOff>
          <xdr:row>19</xdr:row>
          <xdr:rowOff>81643</xdr:rowOff>
        </xdr:from>
        <xdr:to>
          <xdr:col>9</xdr:col>
          <xdr:colOff>468086</xdr:colOff>
          <xdr:row>23</xdr:row>
          <xdr:rowOff>138793</xdr:rowOff>
        </xdr:to>
        <xdr:grpSp>
          <xdr:nvGrpSpPr>
            <xdr:cNvPr id="978363" name="Group 978362">
              <a:extLst>
                <a:ext uri="{FF2B5EF4-FFF2-40B4-BE49-F238E27FC236}">
                  <a16:creationId xmlns:a16="http://schemas.microsoft.com/office/drawing/2014/main" id="{00000000-0008-0000-0000-0000BBED0E00}"/>
                </a:ext>
              </a:extLst>
            </xdr:cNvPr>
            <xdr:cNvGrpSpPr/>
          </xdr:nvGrpSpPr>
          <xdr:grpSpPr>
            <a:xfrm>
              <a:off x="4174044" y="4008874"/>
              <a:ext cx="228600" cy="877765"/>
              <a:chOff x="3343275" y="5038710"/>
              <a:chExt cx="228600" cy="876305"/>
            </a:xfrm>
          </xdr:grpSpPr>
          <xdr:sp macro="" textlink="">
            <xdr:nvSpPr>
              <xdr:cNvPr id="1952889" name="Option Button 57465" hidden="1">
                <a:extLst>
                  <a:ext uri="{63B3BB69-23CF-44E3-9099-C40C66FF867C}">
                    <a14:compatExt spid="_x0000_s1952889"/>
                  </a:ext>
                  <a:ext uri="{FF2B5EF4-FFF2-40B4-BE49-F238E27FC236}">
                    <a16:creationId xmlns:a16="http://schemas.microsoft.com/office/drawing/2014/main" id="{00000000-0008-0000-0000-000079CC1D00}"/>
                  </a:ext>
                </a:extLst>
              </xdr:cNvPr>
              <xdr:cNvSpPr/>
            </xdr:nvSpPr>
            <xdr:spPr bwMode="auto">
              <a:xfrm>
                <a:off x="3343275" y="5038710"/>
                <a:ext cx="228600" cy="209549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52890" name="Option Button 57466" hidden="1">
                <a:extLst>
                  <a:ext uri="{63B3BB69-23CF-44E3-9099-C40C66FF867C}">
                    <a14:compatExt spid="_x0000_s1952890"/>
                  </a:ext>
                  <a:ext uri="{FF2B5EF4-FFF2-40B4-BE49-F238E27FC236}">
                    <a16:creationId xmlns:a16="http://schemas.microsoft.com/office/drawing/2014/main" id="{00000000-0008-0000-0000-00007ACC1D00}"/>
                  </a:ext>
                </a:extLst>
              </xdr:cNvPr>
              <xdr:cNvSpPr/>
            </xdr:nvSpPr>
            <xdr:spPr bwMode="auto">
              <a:xfrm>
                <a:off x="3343275" y="5257800"/>
                <a:ext cx="228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52891" name="Option Button 57467" hidden="1">
                <a:extLst>
                  <a:ext uri="{63B3BB69-23CF-44E3-9099-C40C66FF867C}">
                    <a14:compatExt spid="_x0000_s1952891"/>
                  </a:ext>
                  <a:ext uri="{FF2B5EF4-FFF2-40B4-BE49-F238E27FC236}">
                    <a16:creationId xmlns:a16="http://schemas.microsoft.com/office/drawing/2014/main" id="{00000000-0008-0000-0000-00007BCC1D00}"/>
                  </a:ext>
                </a:extLst>
              </xdr:cNvPr>
              <xdr:cNvSpPr/>
            </xdr:nvSpPr>
            <xdr:spPr bwMode="auto">
              <a:xfrm>
                <a:off x="3343275" y="5486400"/>
                <a:ext cx="228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52892" name="Option Button 57468" hidden="1">
                <a:extLst>
                  <a:ext uri="{63B3BB69-23CF-44E3-9099-C40C66FF867C}">
                    <a14:compatExt spid="_x0000_s1952892"/>
                  </a:ext>
                  <a:ext uri="{FF2B5EF4-FFF2-40B4-BE49-F238E27FC236}">
                    <a16:creationId xmlns:a16="http://schemas.microsoft.com/office/drawing/2014/main" id="{00000000-0008-0000-0000-00007CCC1D00}"/>
                  </a:ext>
                </a:extLst>
              </xdr:cNvPr>
              <xdr:cNvSpPr/>
            </xdr:nvSpPr>
            <xdr:spPr bwMode="auto">
              <a:xfrm>
                <a:off x="3343275" y="5705465"/>
                <a:ext cx="228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51594</xdr:colOff>
          <xdr:row>13</xdr:row>
          <xdr:rowOff>2193</xdr:rowOff>
        </xdr:from>
        <xdr:to>
          <xdr:col>13</xdr:col>
          <xdr:colOff>22027</xdr:colOff>
          <xdr:row>17</xdr:row>
          <xdr:rowOff>47634</xdr:rowOff>
        </xdr:to>
        <xdr:grpSp>
          <xdr:nvGrpSpPr>
            <xdr:cNvPr id="978360" name="Group 978359">
              <a:extLst>
                <a:ext uri="{FF2B5EF4-FFF2-40B4-BE49-F238E27FC236}">
                  <a16:creationId xmlns:a16="http://schemas.microsoft.com/office/drawing/2014/main" id="{00000000-0008-0000-0000-0000B8ED0E00}"/>
                </a:ext>
              </a:extLst>
            </xdr:cNvPr>
            <xdr:cNvGrpSpPr/>
          </xdr:nvGrpSpPr>
          <xdr:grpSpPr>
            <a:xfrm>
              <a:off x="5964421" y="2727808"/>
              <a:ext cx="483318" cy="836749"/>
              <a:chOff x="5814219" y="5295895"/>
              <a:chExt cx="484783" cy="847739"/>
            </a:xfrm>
          </xdr:grpSpPr>
          <xdr:grpSp>
            <xdr:nvGrpSpPr>
              <xdr:cNvPr id="978364" name="Group 978363">
                <a:extLst>
                  <a:ext uri="{FF2B5EF4-FFF2-40B4-BE49-F238E27FC236}">
                    <a16:creationId xmlns:a16="http://schemas.microsoft.com/office/drawing/2014/main" id="{00000000-0008-0000-0000-0000BCED0E00}"/>
                  </a:ext>
                </a:extLst>
              </xdr:cNvPr>
              <xdr:cNvGrpSpPr/>
            </xdr:nvGrpSpPr>
            <xdr:grpSpPr>
              <a:xfrm>
                <a:off x="5814219" y="5295895"/>
                <a:ext cx="338931" cy="847739"/>
                <a:chOff x="1866900" y="5067288"/>
                <a:chExt cx="228600" cy="895376"/>
              </a:xfrm>
            </xdr:grpSpPr>
            <xdr:sp macro="" textlink="">
              <xdr:nvSpPr>
                <xdr:cNvPr id="1947563" name="Option Button 57259" hidden="1">
                  <a:extLst>
                    <a:ext uri="{63B3BB69-23CF-44E3-9099-C40C66FF867C}">
                      <a14:compatExt spid="_x0000_s1947563"/>
                    </a:ext>
                    <a:ext uri="{FF2B5EF4-FFF2-40B4-BE49-F238E27FC236}">
                      <a16:creationId xmlns:a16="http://schemas.microsoft.com/office/drawing/2014/main" id="{00000000-0008-0000-0000-0000ABB71D00}"/>
                    </a:ext>
                  </a:extLst>
                </xdr:cNvPr>
                <xdr:cNvSpPr/>
              </xdr:nvSpPr>
              <xdr:spPr bwMode="auto">
                <a:xfrm>
                  <a:off x="1866900" y="5067288"/>
                  <a:ext cx="228600" cy="209546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947564" name="Option Button 57260" hidden="1">
                  <a:extLst>
                    <a:ext uri="{63B3BB69-23CF-44E3-9099-C40C66FF867C}">
                      <a14:compatExt spid="_x0000_s1947564"/>
                    </a:ext>
                    <a:ext uri="{FF2B5EF4-FFF2-40B4-BE49-F238E27FC236}">
                      <a16:creationId xmlns:a16="http://schemas.microsoft.com/office/drawing/2014/main" id="{00000000-0008-0000-0000-0000ACB71D00}"/>
                    </a:ext>
                  </a:extLst>
                </xdr:cNvPr>
                <xdr:cNvSpPr/>
              </xdr:nvSpPr>
              <xdr:spPr bwMode="auto">
                <a:xfrm>
                  <a:off x="1866900" y="5295900"/>
                  <a:ext cx="228600" cy="209550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947565" name="Option Button 57261" hidden="1">
                  <a:extLst>
                    <a:ext uri="{63B3BB69-23CF-44E3-9099-C40C66FF867C}">
                      <a14:compatExt spid="_x0000_s1947565"/>
                    </a:ext>
                    <a:ext uri="{FF2B5EF4-FFF2-40B4-BE49-F238E27FC236}">
                      <a16:creationId xmlns:a16="http://schemas.microsoft.com/office/drawing/2014/main" id="{00000000-0008-0000-0000-0000ADB71D00}"/>
                    </a:ext>
                  </a:extLst>
                </xdr:cNvPr>
                <xdr:cNvSpPr/>
              </xdr:nvSpPr>
              <xdr:spPr bwMode="auto">
                <a:xfrm>
                  <a:off x="1866900" y="5514975"/>
                  <a:ext cx="228600" cy="209550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947566" name="Option Button 57262" hidden="1">
                  <a:extLst>
                    <a:ext uri="{63B3BB69-23CF-44E3-9099-C40C66FF867C}">
                      <a14:compatExt spid="_x0000_s1947566"/>
                    </a:ext>
                    <a:ext uri="{FF2B5EF4-FFF2-40B4-BE49-F238E27FC236}">
                      <a16:creationId xmlns:a16="http://schemas.microsoft.com/office/drawing/2014/main" id="{00000000-0008-0000-0000-0000AEB71D00}"/>
                    </a:ext>
                  </a:extLst>
                </xdr:cNvPr>
                <xdr:cNvSpPr/>
              </xdr:nvSpPr>
              <xdr:spPr bwMode="auto">
                <a:xfrm>
                  <a:off x="1866900" y="5753114"/>
                  <a:ext cx="228600" cy="209550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593" name="Group 592">
                <a:extLst>
                  <a:ext uri="{FF2B5EF4-FFF2-40B4-BE49-F238E27FC236}">
                    <a16:creationId xmlns:a16="http://schemas.microsoft.com/office/drawing/2014/main" id="{00000000-0008-0000-0000-000051020000}"/>
                  </a:ext>
                </a:extLst>
              </xdr:cNvPr>
              <xdr:cNvGrpSpPr/>
            </xdr:nvGrpSpPr>
            <xdr:grpSpPr>
              <a:xfrm>
                <a:off x="5972175" y="5295906"/>
                <a:ext cx="326827" cy="847718"/>
                <a:chOff x="2438400" y="5181606"/>
                <a:chExt cx="258696" cy="847718"/>
              </a:xfrm>
            </xdr:grpSpPr>
            <xdr:sp macro="" textlink="">
              <xdr:nvSpPr>
                <xdr:cNvPr id="1953443" name="Check Box 58019" hidden="1">
                  <a:extLst>
                    <a:ext uri="{63B3BB69-23CF-44E3-9099-C40C66FF867C}">
                      <a14:compatExt spid="_x0000_s1953443"/>
                    </a:ext>
                    <a:ext uri="{FF2B5EF4-FFF2-40B4-BE49-F238E27FC236}">
                      <a16:creationId xmlns:a16="http://schemas.microsoft.com/office/drawing/2014/main" id="{00000000-0008-0000-0000-0000A3CE1D00}"/>
                    </a:ext>
                  </a:extLst>
                </xdr:cNvPr>
                <xdr:cNvSpPr/>
              </xdr:nvSpPr>
              <xdr:spPr bwMode="auto">
                <a:xfrm>
                  <a:off x="2438400" y="5181606"/>
                  <a:ext cx="258696" cy="219072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953444" name="Check Box 58020" hidden="1">
                  <a:extLst>
                    <a:ext uri="{63B3BB69-23CF-44E3-9099-C40C66FF867C}">
                      <a14:compatExt spid="_x0000_s1953444"/>
                    </a:ext>
                    <a:ext uri="{FF2B5EF4-FFF2-40B4-BE49-F238E27FC236}">
                      <a16:creationId xmlns:a16="http://schemas.microsoft.com/office/drawing/2014/main" id="{00000000-0008-0000-0000-0000A4CE1D00}"/>
                    </a:ext>
                  </a:extLst>
                </xdr:cNvPr>
                <xdr:cNvSpPr/>
              </xdr:nvSpPr>
              <xdr:spPr bwMode="auto">
                <a:xfrm>
                  <a:off x="2438400" y="5391148"/>
                  <a:ext cx="258696" cy="219072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953445" name="Check Box 58021" hidden="1">
                  <a:extLst>
                    <a:ext uri="{63B3BB69-23CF-44E3-9099-C40C66FF867C}">
                      <a14:compatExt spid="_x0000_s1953445"/>
                    </a:ext>
                    <a:ext uri="{FF2B5EF4-FFF2-40B4-BE49-F238E27FC236}">
                      <a16:creationId xmlns:a16="http://schemas.microsoft.com/office/drawing/2014/main" id="{00000000-0008-0000-0000-0000A5CE1D00}"/>
                    </a:ext>
                  </a:extLst>
                </xdr:cNvPr>
                <xdr:cNvSpPr/>
              </xdr:nvSpPr>
              <xdr:spPr bwMode="auto">
                <a:xfrm>
                  <a:off x="2438400" y="5600695"/>
                  <a:ext cx="258696" cy="219072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953446" name="Check Box 58022" hidden="1">
                  <a:extLst>
                    <a:ext uri="{63B3BB69-23CF-44E3-9099-C40C66FF867C}">
                      <a14:compatExt spid="_x0000_s1953446"/>
                    </a:ext>
                    <a:ext uri="{FF2B5EF4-FFF2-40B4-BE49-F238E27FC236}">
                      <a16:creationId xmlns:a16="http://schemas.microsoft.com/office/drawing/2014/main" id="{00000000-0008-0000-0000-0000A6CE1D00}"/>
                    </a:ext>
                  </a:extLst>
                </xdr:cNvPr>
                <xdr:cNvSpPr/>
              </xdr:nvSpPr>
              <xdr:spPr bwMode="auto">
                <a:xfrm>
                  <a:off x="2438400" y="5810251"/>
                  <a:ext cx="258696" cy="219073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</xdr:grpSp>
        <xdr:clientData/>
      </xdr:twoCellAnchor>
    </mc:Choice>
    <mc:Fallback/>
  </mc:AlternateContent>
  <xdr:twoCellAnchor>
    <xdr:from>
      <xdr:col>11</xdr:col>
      <xdr:colOff>276225</xdr:colOff>
      <xdr:row>13</xdr:row>
      <xdr:rowOff>28576</xdr:rowOff>
    </xdr:from>
    <xdr:to>
      <xdr:col>12</xdr:col>
      <xdr:colOff>95250</xdr:colOff>
      <xdr:row>14</xdr:row>
      <xdr:rowOff>1</xdr:rowOff>
    </xdr:to>
    <xdr:sp macro="" textlink="M14">
      <xdr:nvSpPr>
        <xdr:cNvPr id="604" name="Rectangle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5638800" y="2762251"/>
          <a:ext cx="361950" cy="1714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EE8C38E-0D2E-4FF3-98B3-A07BC01D14BA}" type="TxLink">
            <a:rPr lang="en-US" sz="900" b="0" i="0" u="none" strike="noStrike">
              <a:solidFill>
                <a:srgbClr val="000000"/>
              </a:solidFill>
              <a:latin typeface="Calibri Light"/>
              <a:cs typeface="Calibri Light"/>
            </a:rPr>
            <a:pPr algn="l"/>
            <a:t>mol</a:t>
          </a:fld>
          <a:endParaRPr lang="en-US" sz="1100"/>
        </a:p>
      </xdr:txBody>
    </xdr:sp>
    <xdr:clientData/>
  </xdr:twoCellAnchor>
  <xdr:twoCellAnchor>
    <xdr:from>
      <xdr:col>11</xdr:col>
      <xdr:colOff>352425</xdr:colOff>
      <xdr:row>14</xdr:row>
      <xdr:rowOff>47625</xdr:rowOff>
    </xdr:from>
    <xdr:to>
      <xdr:col>12</xdr:col>
      <xdr:colOff>76200</xdr:colOff>
      <xdr:row>15</xdr:row>
      <xdr:rowOff>0</xdr:rowOff>
    </xdr:to>
    <xdr:sp macro="" textlink="M15">
      <xdr:nvSpPr>
        <xdr:cNvPr id="612" name="Rectangle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/>
      </xdr:nvSpPr>
      <xdr:spPr>
        <a:xfrm>
          <a:off x="5715000" y="2981325"/>
          <a:ext cx="26670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9B58498E-FCCA-4F3D-A284-319189BF75BE}" type="TxLink">
            <a:rPr lang="en-US" sz="900" b="0" i="0" u="none" strike="noStrike">
              <a:solidFill>
                <a:srgbClr val="000000"/>
              </a:solidFill>
              <a:latin typeface="Calibri Light"/>
              <a:cs typeface="Calibri Light"/>
            </a:rPr>
            <a:pPr algn="l"/>
            <a:t>C</a:t>
          </a:fld>
          <a:endParaRPr lang="en-US" sz="1100"/>
        </a:p>
      </xdr:txBody>
    </xdr:sp>
    <xdr:clientData/>
  </xdr:twoCellAnchor>
  <xdr:twoCellAnchor>
    <xdr:from>
      <xdr:col>11</xdr:col>
      <xdr:colOff>333375</xdr:colOff>
      <xdr:row>16</xdr:row>
      <xdr:rowOff>38100</xdr:rowOff>
    </xdr:from>
    <xdr:to>
      <xdr:col>12</xdr:col>
      <xdr:colOff>104775</xdr:colOff>
      <xdr:row>17</xdr:row>
      <xdr:rowOff>19050</xdr:rowOff>
    </xdr:to>
    <xdr:sp macro="" textlink="M17">
      <xdr:nvSpPr>
        <xdr:cNvPr id="613" name="Rectangle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/>
      </xdr:nvSpPr>
      <xdr:spPr>
        <a:xfrm>
          <a:off x="5695950" y="3371850"/>
          <a:ext cx="314325" cy="1809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A9B3EA58-4ACE-4933-BD97-2ACBC769CB1E}" type="TxLink">
            <a:rPr lang="en-US" sz="900" b="0" i="0" u="none" strike="noStrike">
              <a:solidFill>
                <a:srgbClr val="000000"/>
              </a:solidFill>
              <a:latin typeface="Calibri Light"/>
              <a:cs typeface="Calibri Light"/>
            </a:rPr>
            <a:pPr algn="l"/>
            <a:t>F</a:t>
          </a:fld>
          <a:endParaRPr lang="en-US" sz="1100"/>
        </a:p>
      </xdr:txBody>
    </xdr:sp>
    <xdr:clientData/>
  </xdr:twoCellAnchor>
  <xdr:twoCellAnchor>
    <xdr:from>
      <xdr:col>11</xdr:col>
      <xdr:colOff>342900</xdr:colOff>
      <xdr:row>15</xdr:row>
      <xdr:rowOff>66675</xdr:rowOff>
    </xdr:from>
    <xdr:to>
      <xdr:col>12</xdr:col>
      <xdr:colOff>57150</xdr:colOff>
      <xdr:row>15</xdr:row>
      <xdr:rowOff>190500</xdr:rowOff>
    </xdr:to>
    <xdr:sp macro="" textlink="M16">
      <xdr:nvSpPr>
        <xdr:cNvPr id="614" name="Rectangle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/>
      </xdr:nvSpPr>
      <xdr:spPr>
        <a:xfrm>
          <a:off x="5705475" y="3200400"/>
          <a:ext cx="257175" cy="1238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9334DE1-B1F1-4E34-924D-5133F2183AF0}" type="TxLink">
            <a:rPr lang="en-US" sz="900" b="0" i="0" u="none" strike="noStrike">
              <a:solidFill>
                <a:srgbClr val="000000"/>
              </a:solidFill>
              <a:latin typeface="Calibri Light"/>
              <a:cs typeface="Calibri Light"/>
            </a:rPr>
            <a:pPr algn="l"/>
            <a:t>F</a:t>
          </a:fld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44740</xdr:colOff>
      <xdr:row>17</xdr:row>
      <xdr:rowOff>138054</xdr:rowOff>
    </xdr:from>
    <xdr:to>
      <xdr:col>2</xdr:col>
      <xdr:colOff>914400</xdr:colOff>
      <xdr:row>17</xdr:row>
      <xdr:rowOff>676275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006765" y="11968104"/>
          <a:ext cx="869660" cy="538221"/>
          <a:chOff x="1016290" y="5824479"/>
          <a:chExt cx="1060666" cy="623946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2541" y="6272579"/>
            <a:ext cx="527312" cy="175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6290" y="6057900"/>
            <a:ext cx="916452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8700" y="5824479"/>
            <a:ext cx="1048256" cy="1762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542925</xdr:colOff>
      <xdr:row>7</xdr:row>
      <xdr:rowOff>257175</xdr:rowOff>
    </xdr:from>
    <xdr:to>
      <xdr:col>10</xdr:col>
      <xdr:colOff>333375</xdr:colOff>
      <xdr:row>7</xdr:row>
      <xdr:rowOff>619125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467225"/>
          <a:ext cx="1009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276226</xdr:colOff>
      <xdr:row>8</xdr:row>
      <xdr:rowOff>161925</xdr:rowOff>
    </xdr:from>
    <xdr:to>
      <xdr:col>10</xdr:col>
      <xdr:colOff>123826</xdr:colOff>
      <xdr:row>8</xdr:row>
      <xdr:rowOff>495300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133975"/>
          <a:ext cx="1066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38100</xdr:colOff>
      <xdr:row>12</xdr:row>
      <xdr:rowOff>695325</xdr:rowOff>
    </xdr:from>
    <xdr:to>
      <xdr:col>10</xdr:col>
      <xdr:colOff>342900</xdr:colOff>
      <xdr:row>13</xdr:row>
      <xdr:rowOff>295275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7953375"/>
          <a:ext cx="9144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7</xdr:row>
      <xdr:rowOff>85725</xdr:rowOff>
    </xdr:from>
    <xdr:to>
      <xdr:col>2</xdr:col>
      <xdr:colOff>1042142</xdr:colOff>
      <xdr:row>7</xdr:row>
      <xdr:rowOff>666749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1066800" y="4295775"/>
          <a:ext cx="937367" cy="581024"/>
          <a:chOff x="1047750" y="1276350"/>
          <a:chExt cx="937367" cy="581024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85851" y="1276350"/>
            <a:ext cx="899266" cy="3165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50" y="1685925"/>
            <a:ext cx="920411" cy="1714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200025</xdr:colOff>
      <xdr:row>8</xdr:row>
      <xdr:rowOff>38100</xdr:rowOff>
    </xdr:from>
    <xdr:to>
      <xdr:col>2</xdr:col>
      <xdr:colOff>1047750</xdr:colOff>
      <xdr:row>8</xdr:row>
      <xdr:rowOff>704402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1162050" y="5010150"/>
          <a:ext cx="847725" cy="666302"/>
          <a:chOff x="1123950" y="1971675"/>
          <a:chExt cx="847725" cy="666302"/>
        </a:xfrm>
      </xdr:grpSpPr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1575" y="1971675"/>
            <a:ext cx="733425" cy="3238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3950" y="2486026"/>
            <a:ext cx="847725" cy="1519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511572</xdr:colOff>
      <xdr:row>10</xdr:row>
      <xdr:rowOff>7056</xdr:rowOff>
    </xdr:from>
    <xdr:to>
      <xdr:col>10</xdr:col>
      <xdr:colOff>31750</xdr:colOff>
      <xdr:row>10</xdr:row>
      <xdr:rowOff>327096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5097" y="5741106"/>
          <a:ext cx="739378" cy="32004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2</xdr:col>
      <xdr:colOff>266700</xdr:colOff>
      <xdr:row>3</xdr:row>
      <xdr:rowOff>219075</xdr:rowOff>
    </xdr:from>
    <xdr:to>
      <xdr:col>2</xdr:col>
      <xdr:colOff>895350</xdr:colOff>
      <xdr:row>3</xdr:row>
      <xdr:rowOff>400050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381125"/>
          <a:ext cx="628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85725</xdr:colOff>
      <xdr:row>14</xdr:row>
      <xdr:rowOff>142875</xdr:rowOff>
    </xdr:from>
    <xdr:to>
      <xdr:col>10</xdr:col>
      <xdr:colOff>38100</xdr:colOff>
      <xdr:row>14</xdr:row>
      <xdr:rowOff>466725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8924925"/>
          <a:ext cx="5619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495300</xdr:colOff>
      <xdr:row>15</xdr:row>
      <xdr:rowOff>447675</xdr:rowOff>
    </xdr:from>
    <xdr:to>
      <xdr:col>10</xdr:col>
      <xdr:colOff>419100</xdr:colOff>
      <xdr:row>16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9991725"/>
          <a:ext cx="5334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14</xdr:row>
      <xdr:rowOff>19050</xdr:rowOff>
    </xdr:from>
    <xdr:to>
      <xdr:col>2</xdr:col>
      <xdr:colOff>1059997</xdr:colOff>
      <xdr:row>14</xdr:row>
      <xdr:rowOff>638175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066800" y="9563100"/>
          <a:ext cx="955222" cy="619125"/>
          <a:chOff x="1085850" y="10353675"/>
          <a:chExt cx="955222" cy="6191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85850" y="10715625"/>
            <a:ext cx="955222" cy="257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04900" y="10353675"/>
            <a:ext cx="876300" cy="2660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9526</xdr:colOff>
      <xdr:row>13</xdr:row>
      <xdr:rowOff>495300</xdr:rowOff>
    </xdr:from>
    <xdr:to>
      <xdr:col>10</xdr:col>
      <xdr:colOff>200026</xdr:colOff>
      <xdr:row>14</xdr:row>
      <xdr:rowOff>22860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1" y="8515350"/>
          <a:ext cx="8001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</xdr:colOff>
      <xdr:row>12</xdr:row>
      <xdr:rowOff>180976</xdr:rowOff>
    </xdr:from>
    <xdr:to>
      <xdr:col>10</xdr:col>
      <xdr:colOff>123825</xdr:colOff>
      <xdr:row>12</xdr:row>
      <xdr:rowOff>436110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439026"/>
          <a:ext cx="714375" cy="255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57150</xdr:colOff>
      <xdr:row>14</xdr:row>
      <xdr:rowOff>742950</xdr:rowOff>
    </xdr:from>
    <xdr:to>
      <xdr:col>10</xdr:col>
      <xdr:colOff>561976</xdr:colOff>
      <xdr:row>15</xdr:row>
      <xdr:rowOff>324232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9525000"/>
          <a:ext cx="504826" cy="343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476250</xdr:colOff>
      <xdr:row>16</xdr:row>
      <xdr:rowOff>161925</xdr:rowOff>
    </xdr:from>
    <xdr:to>
      <xdr:col>10</xdr:col>
      <xdr:colOff>276225</xdr:colOff>
      <xdr:row>16</xdr:row>
      <xdr:rowOff>485775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0467975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161925</xdr:colOff>
      <xdr:row>12</xdr:row>
      <xdr:rowOff>85725</xdr:rowOff>
    </xdr:from>
    <xdr:to>
      <xdr:col>2</xdr:col>
      <xdr:colOff>990600</xdr:colOff>
      <xdr:row>12</xdr:row>
      <xdr:rowOff>747627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123950" y="8105775"/>
          <a:ext cx="828675" cy="661902"/>
          <a:chOff x="1114425" y="4257675"/>
          <a:chExt cx="828675" cy="66190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4425" y="4257675"/>
            <a:ext cx="815749" cy="314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3950" y="4629151"/>
            <a:ext cx="819150" cy="2904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114300</xdr:colOff>
      <xdr:row>15</xdr:row>
      <xdr:rowOff>76200</xdr:rowOff>
    </xdr:from>
    <xdr:to>
      <xdr:col>2</xdr:col>
      <xdr:colOff>1069522</xdr:colOff>
      <xdr:row>15</xdr:row>
      <xdr:rowOff>695325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76325" y="10382250"/>
          <a:ext cx="955222" cy="619125"/>
          <a:chOff x="1085850" y="10353675"/>
          <a:chExt cx="955222" cy="619125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85850" y="10715625"/>
            <a:ext cx="955222" cy="257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04900" y="10353675"/>
            <a:ext cx="876300" cy="2660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104775</xdr:colOff>
      <xdr:row>13</xdr:row>
      <xdr:rowOff>171450</xdr:rowOff>
    </xdr:from>
    <xdr:to>
      <xdr:col>2</xdr:col>
      <xdr:colOff>1066800</xdr:colOff>
      <xdr:row>13</xdr:row>
      <xdr:rowOff>495300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8953500"/>
          <a:ext cx="9620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16</xdr:row>
      <xdr:rowOff>114301</xdr:rowOff>
    </xdr:from>
    <xdr:to>
      <xdr:col>2</xdr:col>
      <xdr:colOff>904875</xdr:colOff>
      <xdr:row>16</xdr:row>
      <xdr:rowOff>723900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1095375" y="11182351"/>
          <a:ext cx="771525" cy="609599"/>
          <a:chOff x="1190625" y="5800726"/>
          <a:chExt cx="771525" cy="609599"/>
        </a:xfrm>
      </xdr:grpSpPr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0625" y="5800726"/>
            <a:ext cx="704850" cy="27545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7775" y="6229350"/>
            <a:ext cx="71437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323850</xdr:colOff>
      <xdr:row>4</xdr:row>
      <xdr:rowOff>285750</xdr:rowOff>
    </xdr:from>
    <xdr:to>
      <xdr:col>2</xdr:col>
      <xdr:colOff>781050</xdr:colOff>
      <xdr:row>4</xdr:row>
      <xdr:rowOff>466725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2209800"/>
          <a:ext cx="457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5</xdr:row>
      <xdr:rowOff>209550</xdr:rowOff>
    </xdr:from>
    <xdr:to>
      <xdr:col>2</xdr:col>
      <xdr:colOff>895350</xdr:colOff>
      <xdr:row>5</xdr:row>
      <xdr:rowOff>533400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895600"/>
          <a:ext cx="685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6</xdr:row>
      <xdr:rowOff>123826</xdr:rowOff>
    </xdr:from>
    <xdr:to>
      <xdr:col>2</xdr:col>
      <xdr:colOff>1084346</xdr:colOff>
      <xdr:row>6</xdr:row>
      <xdr:rowOff>257176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571876"/>
          <a:ext cx="1017671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6</xdr:row>
      <xdr:rowOff>400050</xdr:rowOff>
    </xdr:from>
    <xdr:to>
      <xdr:col>2</xdr:col>
      <xdr:colOff>1123950</xdr:colOff>
      <xdr:row>6</xdr:row>
      <xdr:rowOff>723900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3848100"/>
          <a:ext cx="1066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390525</xdr:colOff>
      <xdr:row>10</xdr:row>
      <xdr:rowOff>381000</xdr:rowOff>
    </xdr:from>
    <xdr:to>
      <xdr:col>8</xdr:col>
      <xdr:colOff>108692</xdr:colOff>
      <xdr:row>11</xdr:row>
      <xdr:rowOff>200024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4514850" y="6877050"/>
          <a:ext cx="937367" cy="581024"/>
          <a:chOff x="1047750" y="1276350"/>
          <a:chExt cx="937367" cy="581024"/>
        </a:xfrm>
      </xdr:grpSpPr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85851" y="1276350"/>
            <a:ext cx="899266" cy="3165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50" y="1685925"/>
            <a:ext cx="920411" cy="1714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171450</xdr:colOff>
      <xdr:row>11</xdr:row>
      <xdr:rowOff>171450</xdr:rowOff>
    </xdr:from>
    <xdr:to>
      <xdr:col>2</xdr:col>
      <xdr:colOff>876300</xdr:colOff>
      <xdr:row>11</xdr:row>
      <xdr:rowOff>446908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7429500"/>
          <a:ext cx="704850" cy="275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57150</xdr:colOff>
      <xdr:row>12</xdr:row>
      <xdr:rowOff>428624</xdr:rowOff>
    </xdr:from>
    <xdr:to>
      <xdr:col>7</xdr:col>
      <xdr:colOff>161925</xdr:colOff>
      <xdr:row>12</xdr:row>
      <xdr:rowOff>609599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7686674"/>
          <a:ext cx="7143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200025</xdr:colOff>
      <xdr:row>9</xdr:row>
      <xdr:rowOff>38100</xdr:rowOff>
    </xdr:from>
    <xdr:to>
      <xdr:col>2</xdr:col>
      <xdr:colOff>1047750</xdr:colOff>
      <xdr:row>9</xdr:row>
      <xdr:rowOff>704402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1162050" y="5772150"/>
          <a:ext cx="847725" cy="666302"/>
          <a:chOff x="1123950" y="1971675"/>
          <a:chExt cx="847725" cy="666302"/>
        </a:xfrm>
      </xdr:grpSpPr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1575" y="1971675"/>
            <a:ext cx="733425" cy="3238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3950" y="2486026"/>
            <a:ext cx="847725" cy="1519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95250</xdr:colOff>
      <xdr:row>10</xdr:row>
      <xdr:rowOff>57150</xdr:rowOff>
    </xdr:from>
    <xdr:to>
      <xdr:col>2</xdr:col>
      <xdr:colOff>1032617</xdr:colOff>
      <xdr:row>10</xdr:row>
      <xdr:rowOff>638174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1057275" y="6553200"/>
          <a:ext cx="937367" cy="581024"/>
          <a:chOff x="1047750" y="1276350"/>
          <a:chExt cx="937367" cy="581024"/>
        </a:xfrm>
      </xdr:grpSpPr>
      <xdr:pic>
        <xdr:nvPicPr>
          <xdr:cNvPr id="54" name="Picture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85851" y="1276350"/>
            <a:ext cx="899266" cy="3165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5" name="Picture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50" y="1685925"/>
            <a:ext cx="920411" cy="1714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123825</xdr:colOff>
      <xdr:row>19</xdr:row>
      <xdr:rowOff>123825</xdr:rowOff>
    </xdr:to>
    <xdr:pic>
      <xdr:nvPicPr>
        <xdr:cNvPr id="2" name="Picture 1" descr="Sel Elektrolisis - Pengertian, Reaksi, Proses, Susunan Sel, Contoh Soal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006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73</xdr:row>
      <xdr:rowOff>171450</xdr:rowOff>
    </xdr:from>
    <xdr:to>
      <xdr:col>11</xdr:col>
      <xdr:colOff>190101</xdr:colOff>
      <xdr:row>82</xdr:row>
      <xdr:rowOff>28379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4205" y="12454890"/>
          <a:ext cx="3266676" cy="150284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26</xdr:row>
      <xdr:rowOff>171450</xdr:rowOff>
    </xdr:from>
    <xdr:to>
      <xdr:col>11</xdr:col>
      <xdr:colOff>285343</xdr:colOff>
      <xdr:row>37</xdr:row>
      <xdr:rowOff>114044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2780" y="3851910"/>
          <a:ext cx="3333343" cy="196189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39</xdr:row>
      <xdr:rowOff>57150</xdr:rowOff>
    </xdr:from>
    <xdr:to>
      <xdr:col>13</xdr:col>
      <xdr:colOff>294677</xdr:colOff>
      <xdr:row>53</xdr:row>
      <xdr:rowOff>28245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82"/>
        <a:stretch/>
      </xdr:blipFill>
      <xdr:spPr>
        <a:xfrm>
          <a:off x="3126105" y="6122670"/>
          <a:ext cx="4659032" cy="253141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124</xdr:row>
      <xdr:rowOff>171450</xdr:rowOff>
    </xdr:from>
    <xdr:to>
      <xdr:col>13</xdr:col>
      <xdr:colOff>170902</xdr:colOff>
      <xdr:row>132</xdr:row>
      <xdr:rowOff>56974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3730" y="21781770"/>
          <a:ext cx="4487632" cy="134856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84</xdr:row>
      <xdr:rowOff>9525</xdr:rowOff>
    </xdr:from>
    <xdr:to>
      <xdr:col>11</xdr:col>
      <xdr:colOff>256770</xdr:colOff>
      <xdr:row>92</xdr:row>
      <xdr:rowOff>182667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3255" y="14304645"/>
          <a:ext cx="3314295" cy="16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7</xdr:row>
      <xdr:rowOff>133350</xdr:rowOff>
    </xdr:from>
    <xdr:to>
      <xdr:col>13</xdr:col>
      <xdr:colOff>237567</xdr:colOff>
      <xdr:row>14</xdr:row>
      <xdr:rowOff>133183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4680" y="323850"/>
          <a:ext cx="4573347" cy="127999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94</xdr:row>
      <xdr:rowOff>57150</xdr:rowOff>
    </xdr:from>
    <xdr:to>
      <xdr:col>13</xdr:col>
      <xdr:colOff>219075</xdr:colOff>
      <xdr:row>103</xdr:row>
      <xdr:rowOff>28364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73730" y="16181070"/>
          <a:ext cx="4535805" cy="161713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103</xdr:row>
      <xdr:rowOff>180975</xdr:rowOff>
    </xdr:from>
    <xdr:to>
      <xdr:col>13</xdr:col>
      <xdr:colOff>257175</xdr:colOff>
      <xdr:row>112</xdr:row>
      <xdr:rowOff>171237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54680" y="17950815"/>
          <a:ext cx="4592955" cy="16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54</xdr:row>
      <xdr:rowOff>38100</xdr:rowOff>
    </xdr:from>
    <xdr:to>
      <xdr:col>13</xdr:col>
      <xdr:colOff>276225</xdr:colOff>
      <xdr:row>63</xdr:row>
      <xdr:rowOff>75981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54680" y="8846820"/>
          <a:ext cx="4612005" cy="168380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114</xdr:row>
      <xdr:rowOff>28575</xdr:rowOff>
    </xdr:from>
    <xdr:to>
      <xdr:col>13</xdr:col>
      <xdr:colOff>114300</xdr:colOff>
      <xdr:row>122</xdr:row>
      <xdr:rowOff>114099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73730" y="19810095"/>
          <a:ext cx="4431030" cy="154856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64</xdr:row>
      <xdr:rowOff>180975</xdr:rowOff>
    </xdr:from>
    <xdr:to>
      <xdr:col>13</xdr:col>
      <xdr:colOff>751859</xdr:colOff>
      <xdr:row>72</xdr:row>
      <xdr:rowOff>161737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1830" y="10818495"/>
          <a:ext cx="5030489" cy="1443802"/>
        </a:xfrm>
        <a:prstGeom prst="rect">
          <a:avLst/>
        </a:prstGeom>
      </xdr:spPr>
    </xdr:pic>
    <xdr:clientData/>
  </xdr:twoCellAnchor>
  <xdr:twoCellAnchor editAs="oneCell">
    <xdr:from>
      <xdr:col>6</xdr:col>
      <xdr:colOff>369471</xdr:colOff>
      <xdr:row>205</xdr:row>
      <xdr:rowOff>165440</xdr:rowOff>
    </xdr:from>
    <xdr:to>
      <xdr:col>13</xdr:col>
      <xdr:colOff>489285</xdr:colOff>
      <xdr:row>214</xdr:row>
      <xdr:rowOff>105445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89660" y="38032829"/>
          <a:ext cx="4499309" cy="1600363"/>
        </a:xfrm>
        <a:prstGeom prst="rect">
          <a:avLst/>
        </a:prstGeom>
      </xdr:spPr>
    </xdr:pic>
    <xdr:clientData/>
  </xdr:twoCellAnchor>
  <xdr:twoCellAnchor editAs="oneCell">
    <xdr:from>
      <xdr:col>6</xdr:col>
      <xdr:colOff>378650</xdr:colOff>
      <xdr:row>214</xdr:row>
      <xdr:rowOff>73567</xdr:rowOff>
    </xdr:from>
    <xdr:to>
      <xdr:col>13</xdr:col>
      <xdr:colOff>489284</xdr:colOff>
      <xdr:row>229</xdr:row>
      <xdr:rowOff>168443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98839" y="39601314"/>
          <a:ext cx="4490129" cy="286214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15</xdr:row>
      <xdr:rowOff>5715</xdr:rowOff>
    </xdr:from>
    <xdr:to>
      <xdr:col>13</xdr:col>
      <xdr:colOff>837590</xdr:colOff>
      <xdr:row>26</xdr:row>
      <xdr:rowOff>35926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45180" y="1659255"/>
          <a:ext cx="4982870" cy="205713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134</xdr:row>
      <xdr:rowOff>9525</xdr:rowOff>
    </xdr:from>
    <xdr:to>
      <xdr:col>12</xdr:col>
      <xdr:colOff>486387</xdr:colOff>
      <xdr:row>138</xdr:row>
      <xdr:rowOff>114421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956"/>
        <a:stretch/>
      </xdr:blipFill>
      <xdr:spPr>
        <a:xfrm>
          <a:off x="3183255" y="23448645"/>
          <a:ext cx="4168752" cy="836416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140</xdr:row>
      <xdr:rowOff>28575</xdr:rowOff>
    </xdr:from>
    <xdr:to>
      <xdr:col>13</xdr:col>
      <xdr:colOff>229221</xdr:colOff>
      <xdr:row>151</xdr:row>
      <xdr:rowOff>171762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164205" y="24564975"/>
          <a:ext cx="4555476" cy="215486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161</xdr:row>
      <xdr:rowOff>0</xdr:rowOff>
    </xdr:from>
    <xdr:to>
      <xdr:col>11</xdr:col>
      <xdr:colOff>600556</xdr:colOff>
      <xdr:row>171</xdr:row>
      <xdr:rowOff>47898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16605" y="28376880"/>
          <a:ext cx="3524731" cy="1876698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116</xdr:row>
      <xdr:rowOff>85725</xdr:rowOff>
    </xdr:from>
    <xdr:to>
      <xdr:col>22</xdr:col>
      <xdr:colOff>200639</xdr:colOff>
      <xdr:row>122</xdr:row>
      <xdr:rowOff>114464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65895" y="20233005"/>
          <a:ext cx="4507844" cy="1126019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125</xdr:row>
      <xdr:rowOff>0</xdr:rowOff>
    </xdr:from>
    <xdr:to>
      <xdr:col>22</xdr:col>
      <xdr:colOff>229216</xdr:colOff>
      <xdr:row>131</xdr:row>
      <xdr:rowOff>9686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84945" y="21793200"/>
          <a:ext cx="4517371" cy="1106966"/>
        </a:xfrm>
        <a:prstGeom prst="rect">
          <a:avLst/>
        </a:prstGeom>
      </xdr:spPr>
    </xdr:pic>
    <xdr:clientData/>
  </xdr:twoCellAnchor>
  <xdr:twoCellAnchor editAs="oneCell">
    <xdr:from>
      <xdr:col>15</xdr:col>
      <xdr:colOff>56761</xdr:colOff>
      <xdr:row>39</xdr:row>
      <xdr:rowOff>77172</xdr:rowOff>
    </xdr:from>
    <xdr:to>
      <xdr:col>22</xdr:col>
      <xdr:colOff>200252</xdr:colOff>
      <xdr:row>45</xdr:row>
      <xdr:rowOff>105911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833368" y="7697172"/>
          <a:ext cx="4429741" cy="11950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27019</xdr:colOff>
      <xdr:row>53</xdr:row>
      <xdr:rowOff>37323</xdr:rowOff>
    </xdr:from>
    <xdr:to>
      <xdr:col>22</xdr:col>
      <xdr:colOff>122878</xdr:colOff>
      <xdr:row>59</xdr:row>
      <xdr:rowOff>94642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03626" y="10378752"/>
          <a:ext cx="4382109" cy="1223645"/>
        </a:xfrm>
        <a:prstGeom prst="rect">
          <a:avLst/>
        </a:prstGeom>
      </xdr:spPr>
    </xdr:pic>
    <xdr:clientData/>
  </xdr:twoCellAnchor>
  <xdr:twoCellAnchor editAs="oneCell">
    <xdr:from>
      <xdr:col>22</xdr:col>
      <xdr:colOff>250372</xdr:colOff>
      <xdr:row>66</xdr:row>
      <xdr:rowOff>103803</xdr:rowOff>
    </xdr:from>
    <xdr:to>
      <xdr:col>29</xdr:col>
      <xdr:colOff>327178</xdr:colOff>
      <xdr:row>72</xdr:row>
      <xdr:rowOff>155481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313229" y="12972272"/>
          <a:ext cx="4363056" cy="121800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84</xdr:row>
      <xdr:rowOff>142875</xdr:rowOff>
    </xdr:from>
    <xdr:to>
      <xdr:col>22</xdr:col>
      <xdr:colOff>267313</xdr:colOff>
      <xdr:row>91</xdr:row>
      <xdr:rowOff>9693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42095" y="14437995"/>
          <a:ext cx="4498318" cy="1146978"/>
        </a:xfrm>
        <a:prstGeom prst="rect">
          <a:avLst/>
        </a:prstGeom>
      </xdr:spPr>
    </xdr:pic>
    <xdr:clientData/>
  </xdr:twoCellAnchor>
  <xdr:twoCellAnchor editAs="oneCell">
    <xdr:from>
      <xdr:col>15</xdr:col>
      <xdr:colOff>123825</xdr:colOff>
      <xdr:row>96</xdr:row>
      <xdr:rowOff>66675</xdr:rowOff>
    </xdr:from>
    <xdr:to>
      <xdr:col>22</xdr:col>
      <xdr:colOff>210158</xdr:colOff>
      <xdr:row>102</xdr:row>
      <xdr:rowOff>162098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123045" y="16556355"/>
          <a:ext cx="4460213" cy="1192703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107</xdr:row>
      <xdr:rowOff>57150</xdr:rowOff>
    </xdr:from>
    <xdr:to>
      <xdr:col>22</xdr:col>
      <xdr:colOff>248262</xdr:colOff>
      <xdr:row>113</xdr:row>
      <xdr:rowOff>85889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132570" y="18558510"/>
          <a:ext cx="4488792" cy="1126019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8</xdr:row>
      <xdr:rowOff>47625</xdr:rowOff>
    </xdr:from>
    <xdr:to>
      <xdr:col>22</xdr:col>
      <xdr:colOff>191116</xdr:colOff>
      <xdr:row>14</xdr:row>
      <xdr:rowOff>95416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046845" y="421005"/>
          <a:ext cx="4517371" cy="1145071"/>
        </a:xfrm>
        <a:prstGeom prst="rect">
          <a:avLst/>
        </a:prstGeom>
      </xdr:spPr>
    </xdr:pic>
    <xdr:clientData/>
  </xdr:twoCellAnchor>
  <xdr:twoCellAnchor editAs="oneCell">
    <xdr:from>
      <xdr:col>15</xdr:col>
      <xdr:colOff>86503</xdr:colOff>
      <xdr:row>15</xdr:row>
      <xdr:rowOff>85338</xdr:rowOff>
    </xdr:from>
    <xdr:to>
      <xdr:col>22</xdr:col>
      <xdr:colOff>220467</xdr:colOff>
      <xdr:row>21</xdr:row>
      <xdr:rowOff>66446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863110" y="3010874"/>
          <a:ext cx="4420214" cy="1157154"/>
        </a:xfrm>
        <a:prstGeom prst="rect">
          <a:avLst/>
        </a:prstGeom>
      </xdr:spPr>
    </xdr:pic>
    <xdr:clientData/>
  </xdr:twoCellAnchor>
  <xdr:twoCellAnchor editAs="oneCell">
    <xdr:from>
      <xdr:col>15</xdr:col>
      <xdr:colOff>46654</xdr:colOff>
      <xdr:row>30</xdr:row>
      <xdr:rowOff>6026</xdr:rowOff>
    </xdr:from>
    <xdr:to>
      <xdr:col>22</xdr:col>
      <xdr:colOff>142513</xdr:colOff>
      <xdr:row>36</xdr:row>
      <xdr:rowOff>67425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823261" y="5876536"/>
          <a:ext cx="4382109" cy="1227726"/>
        </a:xfrm>
        <a:prstGeom prst="rect">
          <a:avLst/>
        </a:prstGeom>
      </xdr:spPr>
    </xdr:pic>
    <xdr:clientData/>
  </xdr:twoCellAnchor>
  <xdr:twoCellAnchor>
    <xdr:from>
      <xdr:col>15</xdr:col>
      <xdr:colOff>76200</xdr:colOff>
      <xdr:row>161</xdr:row>
      <xdr:rowOff>194194</xdr:rowOff>
    </xdr:from>
    <xdr:to>
      <xdr:col>27</xdr:col>
      <xdr:colOff>591122</xdr:colOff>
      <xdr:row>179</xdr:row>
      <xdr:rowOff>161537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pSpPr/>
      </xdr:nvGrpSpPr>
      <xdr:grpSpPr>
        <a:xfrm>
          <a:off x="8852807" y="31529500"/>
          <a:ext cx="7862779" cy="3476042"/>
          <a:chOff x="9144000" y="29384625"/>
          <a:chExt cx="7830122" cy="3639058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9144000" y="29384625"/>
            <a:ext cx="3743847" cy="3639058"/>
          </a:xfrm>
          <a:prstGeom prst="rect">
            <a:avLst/>
          </a:prstGeom>
        </xdr:spPr>
      </xdr:pic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2877800" y="31765875"/>
            <a:ext cx="4096322" cy="125747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47625</xdr:colOff>
      <xdr:row>140</xdr:row>
      <xdr:rowOff>142875</xdr:rowOff>
    </xdr:from>
    <xdr:to>
      <xdr:col>27</xdr:col>
      <xdr:colOff>429202</xdr:colOff>
      <xdr:row>159</xdr:row>
      <xdr:rowOff>152907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8824232" y="27396038"/>
          <a:ext cx="7729434" cy="3703400"/>
          <a:chOff x="9115425" y="25707975"/>
          <a:chExt cx="7696777" cy="3629532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9115425" y="25707975"/>
            <a:ext cx="3562847" cy="3629532"/>
          </a:xfrm>
          <a:prstGeom prst="rect">
            <a:avLst/>
          </a:prstGeom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2677775" y="28051125"/>
            <a:ext cx="4134427" cy="1286054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47625</xdr:colOff>
      <xdr:row>133</xdr:row>
      <xdr:rowOff>171450</xdr:rowOff>
    </xdr:from>
    <xdr:to>
      <xdr:col>21</xdr:col>
      <xdr:colOff>486347</xdr:colOff>
      <xdr:row>140</xdr:row>
      <xdr:rowOff>95425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046845" y="23427690"/>
          <a:ext cx="4187762" cy="1204135"/>
        </a:xfrm>
        <a:prstGeom prst="rect">
          <a:avLst/>
        </a:prstGeom>
      </xdr:spPr>
    </xdr:pic>
    <xdr:clientData/>
  </xdr:twoCellAnchor>
  <xdr:twoCellAnchor editAs="oneCell">
    <xdr:from>
      <xdr:col>21</xdr:col>
      <xdr:colOff>599685</xdr:colOff>
      <xdr:row>73</xdr:row>
      <xdr:rowOff>174171</xdr:rowOff>
    </xdr:from>
    <xdr:to>
      <xdr:col>28</xdr:col>
      <xdr:colOff>476438</xdr:colOff>
      <xdr:row>80</xdr:row>
      <xdr:rowOff>122838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050221" y="14403355"/>
          <a:ext cx="4163003" cy="130938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178</xdr:row>
      <xdr:rowOff>47625</xdr:rowOff>
    </xdr:from>
    <xdr:to>
      <xdr:col>13</xdr:col>
      <xdr:colOff>124429</xdr:colOff>
      <xdr:row>193</xdr:row>
      <xdr:rowOff>399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/>
        <a:srcRect t="1666"/>
        <a:stretch/>
      </xdr:blipFill>
      <xdr:spPr>
        <a:xfrm>
          <a:off x="3183255" y="31541085"/>
          <a:ext cx="4431634" cy="2695974"/>
        </a:xfrm>
        <a:prstGeom prst="rect">
          <a:avLst/>
        </a:prstGeom>
      </xdr:spPr>
    </xdr:pic>
    <xdr:clientData/>
  </xdr:twoCellAnchor>
  <xdr:twoCellAnchor editAs="oneCell">
    <xdr:from>
      <xdr:col>15</xdr:col>
      <xdr:colOff>76395</xdr:colOff>
      <xdr:row>180</xdr:row>
      <xdr:rowOff>136071</xdr:rowOff>
    </xdr:from>
    <xdr:to>
      <xdr:col>21</xdr:col>
      <xdr:colOff>572275</xdr:colOff>
      <xdr:row>187</xdr:row>
      <xdr:rowOff>18054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853002" y="35174464"/>
          <a:ext cx="4169809" cy="1242697"/>
        </a:xfrm>
        <a:prstGeom prst="rect">
          <a:avLst/>
        </a:prstGeom>
      </xdr:spPr>
    </xdr:pic>
    <xdr:clientData/>
  </xdr:twoCellAnchor>
  <xdr:twoCellAnchor>
    <xdr:from>
      <xdr:col>4</xdr:col>
      <xdr:colOff>89420</xdr:colOff>
      <xdr:row>229</xdr:row>
      <xdr:rowOff>158445</xdr:rowOff>
    </xdr:from>
    <xdr:to>
      <xdr:col>18</xdr:col>
      <xdr:colOff>223292</xdr:colOff>
      <xdr:row>250</xdr:row>
      <xdr:rowOff>25635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>
          <a:off x="2645619" y="44731557"/>
          <a:ext cx="8191244" cy="3949333"/>
          <a:chOff x="2124075" y="5210175"/>
          <a:chExt cx="8134872" cy="3867690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2124075" y="5210175"/>
            <a:ext cx="4391638" cy="3867690"/>
          </a:xfrm>
          <a:prstGeom prst="rect">
            <a:avLst/>
          </a:prstGeom>
        </xdr:spPr>
      </xdr:pic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/>
          <a:stretch>
            <a:fillRect/>
          </a:stretch>
        </xdr:blipFill>
        <xdr:spPr>
          <a:xfrm>
            <a:off x="6515100" y="5210175"/>
            <a:ext cx="3743847" cy="2143424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104776</xdr:colOff>
      <xdr:row>194</xdr:row>
      <xdr:rowOff>152400</xdr:rowOff>
    </xdr:from>
    <xdr:to>
      <xdr:col>14</xdr:col>
      <xdr:colOff>200026</xdr:colOff>
      <xdr:row>203</xdr:row>
      <xdr:rowOff>172397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221356" y="34579560"/>
          <a:ext cx="5353050" cy="1665917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194</xdr:row>
      <xdr:rowOff>161925</xdr:rowOff>
    </xdr:from>
    <xdr:to>
      <xdr:col>21</xdr:col>
      <xdr:colOff>514926</xdr:colOff>
      <xdr:row>201</xdr:row>
      <xdr:rowOff>114479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9046845" y="34589085"/>
          <a:ext cx="4216341" cy="123271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166744</xdr:colOff>
      <xdr:row>4</xdr:row>
      <xdr:rowOff>166295</xdr:rowOff>
    </xdr:to>
    <xdr:pic>
      <xdr:nvPicPr>
        <xdr:cNvPr id="62" name="Graphic 61" descr="Hom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3"/>
            </a:ext>
          </a:extLst>
        </a:blip>
        <a:stretch>
          <a:fillRect/>
        </a:stretch>
      </xdr:blipFill>
      <xdr:spPr>
        <a:xfrm>
          <a:off x="38100" y="0"/>
          <a:ext cx="921124" cy="897815"/>
        </a:xfrm>
        <a:prstGeom prst="rect">
          <a:avLst/>
        </a:prstGeom>
        <a:effectLst>
          <a:glow rad="63500">
            <a:schemeClr val="accent3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6</xdr:col>
      <xdr:colOff>356347</xdr:colOff>
      <xdr:row>6</xdr:row>
      <xdr:rowOff>15688</xdr:rowOff>
    </xdr:to>
    <xdr:sp macro="" textlink="">
      <xdr:nvSpPr>
        <xdr:cNvPr id="63" name="Rectangle: Rounded Corners 62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1783080" y="731520"/>
          <a:ext cx="1689847" cy="381448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PENDAHULUAN</a:t>
          </a:r>
          <a:r>
            <a:rPr lang="en-ID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twoCellAnchor>
  <xdr:twoCellAnchor>
    <xdr:from>
      <xdr:col>10</xdr:col>
      <xdr:colOff>264695</xdr:colOff>
      <xdr:row>4</xdr:row>
      <xdr:rowOff>8021</xdr:rowOff>
    </xdr:from>
    <xdr:to>
      <xdr:col>13</xdr:col>
      <xdr:colOff>79220</xdr:colOff>
      <xdr:row>6</xdr:row>
      <xdr:rowOff>23709</xdr:rowOff>
    </xdr:to>
    <xdr:sp macro="" textlink="">
      <xdr:nvSpPr>
        <xdr:cNvPr id="64" name="Rectangle: Rounded Corners 63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5887453" y="745958"/>
          <a:ext cx="1691451" cy="384656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MATERI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endParaRPr lang="en-ID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312821</xdr:colOff>
      <xdr:row>4</xdr:row>
      <xdr:rowOff>8022</xdr:rowOff>
    </xdr:from>
    <xdr:to>
      <xdr:col>20</xdr:col>
      <xdr:colOff>127345</xdr:colOff>
      <xdr:row>6</xdr:row>
      <xdr:rowOff>23710</xdr:rowOff>
    </xdr:to>
    <xdr:sp macro="" textlink="">
      <xdr:nvSpPr>
        <xdr:cNvPr id="65" name="Rectangle: Rounded Corners 6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10571747" y="745959"/>
          <a:ext cx="1691451" cy="384656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CONTOH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REAKSI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ID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15</xdr:col>
      <xdr:colOff>97193</xdr:colOff>
      <xdr:row>21</xdr:row>
      <xdr:rowOff>87473</xdr:rowOff>
    </xdr:from>
    <xdr:to>
      <xdr:col>22</xdr:col>
      <xdr:colOff>174002</xdr:colOff>
      <xdr:row>26</xdr:row>
      <xdr:rowOff>125132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8873800" y="4189055"/>
          <a:ext cx="4363059" cy="1019317"/>
        </a:xfrm>
        <a:prstGeom prst="rect">
          <a:avLst/>
        </a:prstGeom>
      </xdr:spPr>
    </xdr:pic>
    <xdr:clientData/>
  </xdr:twoCellAnchor>
  <xdr:twoCellAnchor editAs="oneCell">
    <xdr:from>
      <xdr:col>15</xdr:col>
      <xdr:colOff>68036</xdr:colOff>
      <xdr:row>46</xdr:row>
      <xdr:rowOff>29159</xdr:rowOff>
    </xdr:from>
    <xdr:to>
      <xdr:col>22</xdr:col>
      <xdr:colOff>259161</xdr:colOff>
      <xdr:row>51</xdr:row>
      <xdr:rowOff>19379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844643" y="9009873"/>
          <a:ext cx="4477375" cy="962159"/>
        </a:xfrm>
        <a:prstGeom prst="rect">
          <a:avLst/>
        </a:prstGeom>
      </xdr:spPr>
    </xdr:pic>
    <xdr:clientData/>
  </xdr:twoCellAnchor>
  <xdr:twoCellAnchor editAs="oneCell">
    <xdr:from>
      <xdr:col>15</xdr:col>
      <xdr:colOff>38879</xdr:colOff>
      <xdr:row>59</xdr:row>
      <xdr:rowOff>126352</xdr:rowOff>
    </xdr:from>
    <xdr:to>
      <xdr:col>22</xdr:col>
      <xdr:colOff>1372</xdr:colOff>
      <xdr:row>64</xdr:row>
      <xdr:rowOff>183257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8815486" y="11634107"/>
          <a:ext cx="4248743" cy="1028844"/>
        </a:xfrm>
        <a:prstGeom prst="rect">
          <a:avLst/>
        </a:prstGeom>
      </xdr:spPr>
    </xdr:pic>
    <xdr:clientData/>
  </xdr:twoCellAnchor>
  <xdr:twoCellAnchor editAs="oneCell">
    <xdr:from>
      <xdr:col>15</xdr:col>
      <xdr:colOff>29158</xdr:colOff>
      <xdr:row>66</xdr:row>
      <xdr:rowOff>174949</xdr:rowOff>
    </xdr:from>
    <xdr:to>
      <xdr:col>22</xdr:col>
      <xdr:colOff>115493</xdr:colOff>
      <xdr:row>71</xdr:row>
      <xdr:rowOff>184222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8805765" y="13043418"/>
          <a:ext cx="4372585" cy="981212"/>
        </a:xfrm>
        <a:prstGeom prst="rect">
          <a:avLst/>
        </a:prstGeom>
      </xdr:spPr>
    </xdr:pic>
    <xdr:clientData/>
  </xdr:twoCellAnchor>
  <xdr:twoCellAnchor editAs="oneCell">
    <xdr:from>
      <xdr:col>15</xdr:col>
      <xdr:colOff>48597</xdr:colOff>
      <xdr:row>74</xdr:row>
      <xdr:rowOff>1</xdr:rowOff>
    </xdr:from>
    <xdr:to>
      <xdr:col>21</xdr:col>
      <xdr:colOff>528148</xdr:colOff>
      <xdr:row>79</xdr:row>
      <xdr:rowOff>56906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825204" y="14423572"/>
          <a:ext cx="4153480" cy="1028844"/>
        </a:xfrm>
        <a:prstGeom prst="rect">
          <a:avLst/>
        </a:prstGeom>
      </xdr:spPr>
    </xdr:pic>
    <xdr:clientData/>
  </xdr:twoCellAnchor>
  <xdr:twoCellAnchor editAs="oneCell">
    <xdr:from>
      <xdr:col>15</xdr:col>
      <xdr:colOff>68036</xdr:colOff>
      <xdr:row>187</xdr:row>
      <xdr:rowOff>38877</xdr:rowOff>
    </xdr:from>
    <xdr:to>
      <xdr:col>22</xdr:col>
      <xdr:colOff>325845</xdr:colOff>
      <xdr:row>192</xdr:row>
      <xdr:rowOff>124361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844643" y="36437984"/>
          <a:ext cx="4544059" cy="1057423"/>
        </a:xfrm>
        <a:prstGeom prst="rect">
          <a:avLst/>
        </a:prstGeom>
      </xdr:spPr>
    </xdr:pic>
    <xdr:clientData/>
  </xdr:twoCellAnchor>
  <xdr:twoCellAnchor editAs="oneCell">
    <xdr:from>
      <xdr:col>28</xdr:col>
      <xdr:colOff>38877</xdr:colOff>
      <xdr:row>162</xdr:row>
      <xdr:rowOff>116633</xdr:rowOff>
    </xdr:from>
    <xdr:to>
      <xdr:col>35</xdr:col>
      <xdr:colOff>458634</xdr:colOff>
      <xdr:row>179</xdr:row>
      <xdr:rowOff>107958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6775663" y="31646327"/>
          <a:ext cx="4706007" cy="3305636"/>
        </a:xfrm>
        <a:prstGeom prst="rect">
          <a:avLst/>
        </a:prstGeom>
      </xdr:spPr>
    </xdr:pic>
    <xdr:clientData/>
  </xdr:twoCellAnchor>
  <xdr:twoCellAnchor editAs="oneCell">
    <xdr:from>
      <xdr:col>4</xdr:col>
      <xdr:colOff>87475</xdr:colOff>
      <xdr:row>250</xdr:row>
      <xdr:rowOff>97194</xdr:rowOff>
    </xdr:from>
    <xdr:to>
      <xdr:col>14</xdr:col>
      <xdr:colOff>557186</xdr:colOff>
      <xdr:row>262</xdr:row>
      <xdr:rowOff>184229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643674" y="48752449"/>
          <a:ext cx="6077798" cy="2419688"/>
        </a:xfrm>
        <a:prstGeom prst="rect">
          <a:avLst/>
        </a:prstGeom>
      </xdr:spPr>
    </xdr:pic>
    <xdr:clientData/>
  </xdr:twoCellAnchor>
  <xdr:twoCellAnchor editAs="oneCell">
    <xdr:from>
      <xdr:col>4</xdr:col>
      <xdr:colOff>87474</xdr:colOff>
      <xdr:row>263</xdr:row>
      <xdr:rowOff>29158</xdr:rowOff>
    </xdr:from>
    <xdr:to>
      <xdr:col>14</xdr:col>
      <xdr:colOff>604817</xdr:colOff>
      <xdr:row>275</xdr:row>
      <xdr:rowOff>125719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643673" y="51211454"/>
          <a:ext cx="6125430" cy="2429214"/>
        </a:xfrm>
        <a:prstGeom prst="rect">
          <a:avLst/>
        </a:prstGeom>
      </xdr:spPr>
    </xdr:pic>
    <xdr:clientData/>
  </xdr:twoCellAnchor>
  <xdr:twoCellAnchor editAs="oneCell">
    <xdr:from>
      <xdr:col>4</xdr:col>
      <xdr:colOff>116633</xdr:colOff>
      <xdr:row>275</xdr:row>
      <xdr:rowOff>155510</xdr:rowOff>
    </xdr:from>
    <xdr:to>
      <xdr:col>14</xdr:col>
      <xdr:colOff>605397</xdr:colOff>
      <xdr:row>286</xdr:row>
      <xdr:rowOff>46353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672832" y="53670459"/>
          <a:ext cx="6096851" cy="202910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14</xdr:col>
      <xdr:colOff>157852</xdr:colOff>
      <xdr:row>315</xdr:row>
      <xdr:rowOff>49974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682551" y="55653214"/>
          <a:ext cx="5639587" cy="56872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15</xdr:col>
      <xdr:colOff>107584</xdr:colOff>
      <xdr:row>340</xdr:row>
      <xdr:rowOff>69280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682551" y="61484847"/>
          <a:ext cx="6201640" cy="4734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3" Type="http://schemas.openxmlformats.org/officeDocument/2006/relationships/ctrlProp" Target="../ctrlProps/ctrlProp49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4" Type="http://schemas.openxmlformats.org/officeDocument/2006/relationships/image" Target="../media/image1.jpeg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BB56"/>
  <sheetViews>
    <sheetView showGridLines="0" tabSelected="1" zoomScale="130" zoomScaleNormal="130" zoomScaleSheetLayoutView="100" workbookViewId="0">
      <selection activeCell="Q16" sqref="Q16"/>
    </sheetView>
  </sheetViews>
  <sheetFormatPr defaultColWidth="9.140625" defaultRowHeight="15" x14ac:dyDescent="0.25"/>
  <cols>
    <col min="1" max="1" width="1.5703125" style="18" customWidth="1"/>
    <col min="2" max="2" width="0.42578125" style="18" customWidth="1"/>
    <col min="3" max="3" width="21.140625" style="19" customWidth="1"/>
    <col min="4" max="4" width="6" style="19" hidden="1" customWidth="1"/>
    <col min="5" max="5" width="4.7109375" style="19" customWidth="1"/>
    <col min="6" max="6" width="3.140625" style="19" customWidth="1"/>
    <col min="7" max="7" width="15.140625" style="19" customWidth="1"/>
    <col min="8" max="8" width="1.7109375" style="19" customWidth="1"/>
    <col min="9" max="9" width="11.140625" style="19" customWidth="1"/>
    <col min="10" max="10" width="13.5703125" style="19" customWidth="1"/>
    <col min="11" max="11" width="7.85546875" style="19" customWidth="1"/>
    <col min="12" max="12" width="8.140625" style="19" customWidth="1"/>
    <col min="13" max="13" width="7.7109375" style="19" customWidth="1"/>
    <col min="14" max="14" width="0.85546875" style="19" customWidth="1"/>
    <col min="15" max="15" width="2.7109375" style="19" customWidth="1"/>
    <col min="16" max="16" width="10.7109375" style="19" customWidth="1"/>
    <col min="17" max="17" width="5.7109375" style="19" customWidth="1"/>
    <col min="18" max="19" width="10.7109375" style="19" customWidth="1"/>
    <col min="20" max="20" width="10.85546875" style="19" customWidth="1"/>
    <col min="21" max="23" width="10.7109375" style="19" customWidth="1"/>
    <col min="24" max="24" width="2.7109375" style="19" customWidth="1"/>
    <col min="25" max="25" width="4" style="19" customWidth="1"/>
    <col min="26" max="26" width="3.85546875" style="19" customWidth="1"/>
    <col min="27" max="27" width="6.85546875" style="19" customWidth="1"/>
    <col min="28" max="28" width="4.28515625" style="19" customWidth="1"/>
    <col min="29" max="29" width="4.28515625" style="89" customWidth="1"/>
    <col min="30" max="30" width="6.85546875" style="19" customWidth="1"/>
    <col min="31" max="31" width="10.28515625" style="19" customWidth="1"/>
    <col min="32" max="32" width="62.28515625" style="19" customWidth="1"/>
    <col min="33" max="33" width="15.140625" style="19" customWidth="1"/>
    <col min="34" max="36" width="8.85546875" style="89" customWidth="1"/>
    <col min="37" max="37" width="6.85546875" style="89" customWidth="1"/>
    <col min="38" max="38" width="14.7109375" style="19" customWidth="1"/>
    <col min="39" max="40" width="11" style="19" customWidth="1"/>
    <col min="41" max="41" width="13.7109375" style="19" customWidth="1"/>
    <col min="42" max="42" width="12.7109375" style="19" customWidth="1"/>
    <col min="43" max="43" width="7.5703125" style="19" customWidth="1"/>
    <col min="44" max="47" width="9.140625" style="19"/>
    <col min="48" max="48" width="12" style="19" bestFit="1" customWidth="1"/>
    <col min="49" max="49" width="9.140625" style="19"/>
    <col min="50" max="50" width="11.28515625" style="19" bestFit="1" customWidth="1"/>
    <col min="51" max="51" width="9.140625" style="19"/>
    <col min="52" max="52" width="6.5703125" style="19" customWidth="1"/>
    <col min="53" max="53" width="6" style="19" customWidth="1"/>
    <col min="54" max="16384" width="9.140625" style="19"/>
  </cols>
  <sheetData>
    <row r="1" spans="1:54" ht="5.0999999999999996" customHeight="1" thickBot="1" x14ac:dyDescent="0.3">
      <c r="Y1" s="20"/>
    </row>
    <row r="2" spans="1:54" ht="15.75" thickBot="1" x14ac:dyDescent="0.3">
      <c r="A2" s="128"/>
      <c r="C2" s="183" t="s">
        <v>14</v>
      </c>
      <c r="D2" s="89"/>
      <c r="E2" s="396"/>
      <c r="F2" s="21"/>
      <c r="G2" s="22"/>
      <c r="H2" s="22"/>
      <c r="I2" s="22"/>
      <c r="J2" s="22"/>
      <c r="K2" s="22"/>
      <c r="L2" s="22"/>
      <c r="M2" s="22"/>
      <c r="N2" s="22"/>
      <c r="O2" s="22" t="s">
        <v>14</v>
      </c>
      <c r="P2" s="84" t="s">
        <v>14</v>
      </c>
      <c r="Q2" s="84"/>
      <c r="R2" s="22"/>
      <c r="S2" s="22"/>
      <c r="T2" s="22"/>
      <c r="U2" s="22"/>
      <c r="V2" s="22"/>
      <c r="W2" s="22"/>
      <c r="X2" s="23"/>
      <c r="Y2" s="20" t="s">
        <v>14</v>
      </c>
      <c r="Z2" s="20" t="s">
        <v>14</v>
      </c>
      <c r="AC2" s="141"/>
      <c r="AD2" s="22"/>
      <c r="AE2" s="22"/>
      <c r="AF2" s="22"/>
      <c r="AG2" s="22"/>
      <c r="AH2" s="84"/>
      <c r="AI2" s="84"/>
      <c r="AJ2" s="84"/>
      <c r="AK2" s="84"/>
      <c r="AL2" s="21"/>
      <c r="AM2" s="22"/>
      <c r="AN2" s="139">
        <f>M5</f>
        <v>1</v>
      </c>
      <c r="AO2" s="139">
        <f>C11</f>
        <v>5</v>
      </c>
      <c r="AP2" s="22"/>
      <c r="AQ2" s="22"/>
      <c r="AR2" s="22"/>
      <c r="AS2" s="22"/>
      <c r="AT2" s="22"/>
      <c r="AU2" s="22"/>
      <c r="AV2" s="22"/>
      <c r="AW2" s="22"/>
      <c r="AX2" s="22"/>
      <c r="AY2" s="23"/>
    </row>
    <row r="3" spans="1:54" ht="19.5" thickBot="1" x14ac:dyDescent="0.3">
      <c r="A3" s="113"/>
      <c r="C3" s="167"/>
      <c r="D3" s="113"/>
      <c r="E3" s="397"/>
      <c r="F3" s="25"/>
      <c r="G3" s="26"/>
      <c r="H3" s="26"/>
      <c r="I3" s="26"/>
      <c r="J3" s="27">
        <f>D9-1</f>
        <v>1</v>
      </c>
      <c r="K3" s="26"/>
      <c r="L3" s="26"/>
      <c r="M3" s="28">
        <f>J3</f>
        <v>1</v>
      </c>
      <c r="N3" s="26"/>
      <c r="O3" s="401" t="str">
        <f>IFERROR(IF(OR(W14=2,W14=0,E9=0,M7=0,M7=""),"PROGRAM APLIKASI ELEKTROLISIS",IF(AND(E9&gt;0,M5=1,M6=3),"Elektrolisis Air",IF(AND(M5=1,M6&lt;&gt;3),"Elektrolisis Larutan"&amp;" "&amp;VLOOKUP(M7,REAKSI!B2:C172,2),IF(M5=2,"Elektrolisis Lelehan"&amp;" "&amp;VLOOKUP(M7,REAKSI!B2:C171,2))))),"")</f>
        <v>Elektrolisis Larutan ZnCl2</v>
      </c>
      <c r="P3" s="402"/>
      <c r="Q3" s="402"/>
      <c r="R3" s="402"/>
      <c r="S3" s="402"/>
      <c r="T3" s="402"/>
      <c r="U3" s="402"/>
      <c r="V3" s="402"/>
      <c r="W3" s="403"/>
      <c r="X3" s="29"/>
      <c r="Y3" s="389"/>
      <c r="Z3" s="20"/>
      <c r="AB3" s="30">
        <v>1</v>
      </c>
      <c r="AC3" s="375"/>
      <c r="AD3" s="27"/>
      <c r="AE3" s="27"/>
      <c r="AF3" s="27"/>
      <c r="AG3" s="27"/>
      <c r="AH3" s="27"/>
      <c r="AI3" s="27"/>
      <c r="AJ3" s="27"/>
      <c r="AK3" s="27"/>
      <c r="AL3" s="214" t="str">
        <f>IF(AND(W14=1,E8&gt;=7),"ELEKTROLIT","")</f>
        <v>ELEKTROLIT</v>
      </c>
      <c r="AM3" s="26" t="s">
        <v>14</v>
      </c>
      <c r="AN3" s="26" t="str">
        <f>IF(AND(W14=1,E8&gt;=7),"ACCU 40 AH","")</f>
        <v>ACCU 40 AH</v>
      </c>
      <c r="AO3" s="26"/>
      <c r="AP3" s="26"/>
      <c r="AQ3" s="199"/>
      <c r="AR3" s="136" t="s">
        <v>39</v>
      </c>
      <c r="AS3" s="137" t="s">
        <v>0</v>
      </c>
      <c r="AT3" s="136" t="s">
        <v>39</v>
      </c>
      <c r="AU3" s="137" t="s">
        <v>1</v>
      </c>
      <c r="AV3" s="26"/>
      <c r="AW3" s="26"/>
      <c r="AX3" s="31" t="s">
        <v>43</v>
      </c>
      <c r="AY3" s="145" t="s">
        <v>44</v>
      </c>
    </row>
    <row r="4" spans="1:54" ht="18" customHeight="1" thickBot="1" x14ac:dyDescent="0.3">
      <c r="A4" s="90" t="str">
        <f>IF(AND($D$9=1,$E$8=7,$W$14=1,(D9-1)*(J4-1)*(D11-1)*(D10-1)=0,OR(R20=TRUE,R22=TRUE,R23=TRUE,Q24=TRUE)),"→",IF(AND($D$9=1,$E$8=8,$AT$51=1,(D9-1)*(J4-1)*(D11-1)*(D10-1)=0,OR(AD12=TRUE,AD9=TRUE,AD10=TRUE,AD15=TRUE,AD13=TRUE,AD11=TRUE,AD14=TRUE,AD16=TRUE)),"→",""))</f>
        <v/>
      </c>
      <c r="C4" s="167"/>
      <c r="D4" s="113" t="s">
        <v>14</v>
      </c>
      <c r="E4" s="397"/>
      <c r="F4" s="25"/>
      <c r="G4" s="31" t="s">
        <v>14</v>
      </c>
      <c r="H4" s="26"/>
      <c r="I4" s="26"/>
      <c r="J4" s="27">
        <v>2</v>
      </c>
      <c r="K4" s="26"/>
      <c r="L4" s="26"/>
      <c r="M4" s="28">
        <f>J4</f>
        <v>2</v>
      </c>
      <c r="N4" s="26"/>
      <c r="O4" s="25"/>
      <c r="P4" s="26"/>
      <c r="Q4" s="26"/>
      <c r="R4" s="26"/>
      <c r="S4" s="26"/>
      <c r="T4" s="26"/>
      <c r="U4" s="26"/>
      <c r="V4" s="26"/>
      <c r="W4" s="29"/>
      <c r="X4" s="29"/>
      <c r="Y4" s="20"/>
      <c r="Z4" s="20"/>
      <c r="AC4" s="376" t="str">
        <f>IF($W$14=1,"A","")</f>
        <v>A</v>
      </c>
      <c r="AD4" s="317" t="b">
        <v>1</v>
      </c>
      <c r="AE4" s="318" t="s">
        <v>672</v>
      </c>
      <c r="AF4" s="324" t="str">
        <f>IF(Elektrolisis!$AJ$6="Error",IF(AND(Elektrolisis!$W$14=1,Elektrolisis!$E$8&gt;=7,Elektrolisis!$R$22=TRUE,Elektrolisis!$C$12=TRUE),INDEX(REAKSI!$I$2:$I$172,MATCH(3,REAKSI!$B$2:$B$172,1)),IF(OR(Elektrolisis!$W$14&lt;&gt;1,Elektrolisis!$E$8&lt;7,Elektrolisis!$R$22=FALSE,Elektrolisis!$C$12=FALSE),INDEX(REAKSI!$L$2:$L$172,MATCH(3,REAKSI!$B$2:$B$172,1)))),IF(AND(Elektrolisis!$W$14=1,Elektrolisis!$E$8&gt;=7,Elektrolisis!$R$22=TRUE,Elektrolisis!$C$12=TRUE),INDEX(REAKSI!$I$2:$I$172,MATCH(Elektrolisis!$M$7,REAKSI!$B$2:$B$172,1)),IF(OR(Elektrolisis!$W$14&lt;&gt;1,Elektrolisis!$E$8&lt;7,Elektrolisis!$R$22=FALSE,Elektrolisis!$C$12=FALSE),INDEX(REAKSI!$L$2:$L$172,MATCH(Elektrolisis!$M$7,REAKSI!$B$2:$B$172,1)))))</f>
        <v>2Cl-(aq) → Cl2(g) + 2e</v>
      </c>
      <c r="AG4" s="329" t="str">
        <f>IF(AND($W$14=1,$E$8=8,$E$15&gt;=1,$M$5=1,$D$11=2,$C$12=TRUE),"Volume (V) :",IF(AND($C$12=TRUE,$W$14=1,$E$8=8,$E$15&gt;=1,$D$11=3),"Massa"&amp;" "&amp;$AO$29&amp;" "&amp;"=",""))</f>
        <v>Volume (V) :</v>
      </c>
      <c r="AH4" s="336">
        <f>IF(AND($W$14=1,$E$8=8,$E$15&gt;=1,$M$5=1,$D$11=2,$Q$12*$Q$13&gt;0,$C$12=TRUE),$Q$12,IF(AND($W$14=1,$E$8=8,$E$15&gt;=1,$D$11=3,$C$12=TRUE),$Q$12*1000,""))</f>
        <v>1</v>
      </c>
      <c r="AI4" s="337" t="str">
        <f>IF(AND($W$14=1,$E$8=8,$E$15&gt;=1,$M$5=1,$C$12=TRUE),"L",IF(AND($W$14=1,$E$8=8,$E$15&gt;=1,$D$11=3,$C$12=TRUE),"g",""))</f>
        <v>L</v>
      </c>
      <c r="AJ4" s="358">
        <f>IF($W$14=1,40*3600,"")</f>
        <v>144000</v>
      </c>
      <c r="AK4" s="356"/>
      <c r="AL4" s="215" t="str">
        <f>IF(AND(W14=1,E8&gt;=7),"ANODA","")</f>
        <v>ANODA</v>
      </c>
      <c r="AM4" s="215" t="str">
        <f>IF(AND(W14=1,E8&gt;=7),"KATODA","")</f>
        <v>KATODA</v>
      </c>
      <c r="AN4" s="200"/>
      <c r="AO4" s="84"/>
      <c r="AP4" s="22"/>
      <c r="AQ4" s="209" t="str">
        <f>IF(OR($W$14=2,$E$8&lt;7),"","C")</f>
        <v>C</v>
      </c>
      <c r="AR4" s="138">
        <v>1</v>
      </c>
      <c r="AS4" s="140" t="s">
        <v>35</v>
      </c>
      <c r="AT4" s="141">
        <v>1</v>
      </c>
      <c r="AU4" s="142" t="s">
        <v>38</v>
      </c>
      <c r="AV4" s="31" t="s">
        <v>35</v>
      </c>
      <c r="AW4" s="152">
        <v>0</v>
      </c>
      <c r="AX4" s="31" t="str">
        <f>IF(AND(W14=1,$E$8&gt;=7,R22=TRUE,OR(L7=1,L7=7,L7=10,L7=11,L7=12,L7=13,L7=28,L7=29,L7=30,L7=31)),"o",IF(AND(W14=1,$E$8&gt;=7,R22=TRUE,OR(M7=4,M7=38,M7=62)),"*",""))</f>
        <v>o</v>
      </c>
      <c r="AY4" s="145"/>
      <c r="AZ4" s="19" t="s">
        <v>14</v>
      </c>
    </row>
    <row r="5" spans="1:54" ht="18" customHeight="1" thickBot="1" x14ac:dyDescent="0.3">
      <c r="A5" s="90" t="str">
        <f>IF(AND($J$4=1,$E$8=7,$W$14=1,(D9-1)*(J4-1)*(D11-1)*(D10-1)=0,OR(R20=TRUE,R22=TRUE,R23=TRUE,Q24=TRUE)),"→",IF(AND($J$4=1,$E$8=8,$AT$51=1,(D9-1)*(J4-1)*(D11-1)*(D10-1)=0,OR(AD12=TRUE,AD9=TRUE,AD10=TRUE,AD15=TRUE,AD13=TRUE,AD11=TRUE,AD14=TRUE,AD16=TRUE)),"→",""))</f>
        <v/>
      </c>
      <c r="C5" s="167"/>
      <c r="D5" s="113"/>
      <c r="E5" s="410" t="s">
        <v>14</v>
      </c>
      <c r="F5" s="25"/>
      <c r="G5" s="26" t="s">
        <v>14</v>
      </c>
      <c r="H5" s="26"/>
      <c r="I5" s="26"/>
      <c r="J5" s="27">
        <f>D11-1</f>
        <v>1</v>
      </c>
      <c r="K5" s="26"/>
      <c r="L5" s="26"/>
      <c r="M5" s="28">
        <f>J5</f>
        <v>1</v>
      </c>
      <c r="N5" s="26"/>
      <c r="O5" s="25"/>
      <c r="P5" s="26"/>
      <c r="Q5" s="26"/>
      <c r="R5" s="26"/>
      <c r="S5" s="26"/>
      <c r="T5" s="26"/>
      <c r="U5" s="26"/>
      <c r="V5" s="26"/>
      <c r="W5" s="29"/>
      <c r="X5" s="29"/>
      <c r="Y5" s="20"/>
      <c r="Z5" s="20" t="s">
        <v>14</v>
      </c>
      <c r="AC5" s="376" t="str">
        <f>IF($W$14=1,"B","")</f>
        <v>B</v>
      </c>
      <c r="AD5" s="317" t="b">
        <v>1</v>
      </c>
      <c r="AE5" s="318" t="s">
        <v>267</v>
      </c>
      <c r="AF5" s="324" t="str">
        <f>IF(Elektrolisis!$AJ$6="Error",IF(AND(Elektrolisis!$W$14=1,Elektrolisis!$E$8&gt;=7,Elektrolisis!$R$22=TRUE),INDEX(REAKSI!$AC$3:$AC$172,MATCH(3,REAKSI!$B$3:$B$172,1)),IF(OR(Elektrolisis!$W$14&lt;&gt;1,Elektrolisis!$E$8&lt;7,Elektrolisis!$R$23=FALSE),INDEX(REAKSI!$AG$3:$AG$172,MATCH(3,REAKSI!$B$3:$B$172,1)))),IF(AND(Elektrolisis!$W$14=1,Elektrolisis!$E$8&gt;=7,Elektrolisis!$R$22=TRUE),INDEX(REAKSI!$AC$3:$AC$172,MATCH(Elektrolisis!$M$7,REAKSI!$B$3:$B$172,1)),IF(OR(Elektrolisis!$W$14&lt;&gt;1,Elektrolisis!$E$8&lt;7,Elektrolisis!$R$23=FALSE),INDEX(REAKSI!$AG$3:$AG$172,MATCH(Elektrolisis!$L$7,REAKSI!$B$3:$B$172,1)))))</f>
        <v>Cl-</v>
      </c>
      <c r="AG5" s="329" t="str">
        <f>IF(AND($W$14=1,$E$8=8,$E$15&gt;=1,$M$5=1,$D$11=2,$C$12=TRUE),"Konsentrasi (M):",IF(AND($W$14=1,$E$8=8,$E$15&gt;=1,$D$11=3,$C$12=TRUE),"Massa"&amp;" "&amp;$AJ$29&amp;" "&amp;"=",""))</f>
        <v>Konsentrasi (M):</v>
      </c>
      <c r="AH5" s="336">
        <f>IF($C$12=FALSE,"",IF($D$11=2,$AM$51,IF($D$11=3,$AM$50,"")))</f>
        <v>1</v>
      </c>
      <c r="AI5" s="337" t="str">
        <f>IF(AND($W$14=1,$E$8=8,$E$15&gt;=1,$M$5=1,$D$11=2,$C$12=TRUE),"mol/L",IF(AND($W$14=1,$E$8=8,$E$15&gt;=1,$D$11=3,$C$12=TRUE),"g",""))</f>
        <v>mol/L</v>
      </c>
      <c r="AJ5" s="359">
        <f>IF($W$14=1,$Q$14*$Q$15,"")</f>
        <v>71970</v>
      </c>
      <c r="AK5" s="357"/>
      <c r="AL5" s="143" t="str">
        <f>IF(E8&gt;=7,"C","")</f>
        <v>C</v>
      </c>
      <c r="AM5" s="143" t="str">
        <f>IF(E8&gt;=7,"C","")</f>
        <v>C</v>
      </c>
      <c r="AN5" s="211" t="str">
        <f>IF(AND($W$14=1,$E$8&gt;=7),IF($M$5=0,AO5,IF($M$5=1,AO5,IF($M$5=2,AP5))),"")</f>
        <v/>
      </c>
      <c r="AO5" s="212" t="str">
        <f>IF($C$11=1,"HF",IF($C$11=2,"HCl",IF($C$11=3,"HBr",IF($C$11=4,"HI",""))))</f>
        <v/>
      </c>
      <c r="AP5" s="212" t="s">
        <v>8</v>
      </c>
      <c r="AQ5" s="209" t="str">
        <f>IF(OR($W$14=2,$E$8&lt;7),"","Cu")</f>
        <v>Cu</v>
      </c>
      <c r="AR5" s="35">
        <v>4</v>
      </c>
      <c r="AS5" s="144" t="s">
        <v>35</v>
      </c>
      <c r="AT5" s="33">
        <v>2</v>
      </c>
      <c r="AU5" s="145" t="s">
        <v>38</v>
      </c>
      <c r="AV5" s="31" t="s">
        <v>38</v>
      </c>
      <c r="AW5" s="153" t="s">
        <v>46</v>
      </c>
      <c r="AX5" s="31" t="s">
        <v>14</v>
      </c>
      <c r="AY5" s="145" t="str">
        <f>IF(AND(W14=1,$E$8&gt;=7),IF(R23=TRUE,IF(OR(AJ6="error",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,M7=169,M7=170),"O",""),""),"")</f>
        <v/>
      </c>
      <c r="BA5" s="158"/>
      <c r="BB5" s="159"/>
    </row>
    <row r="6" spans="1:54" ht="18" customHeight="1" thickBot="1" x14ac:dyDescent="0.4">
      <c r="A6" s="90" t="str">
        <f>IF(AND($D$11=1,$E$8=7,$W$14=1,(D9-1)*(J4-1)*(D11-1)*(D10-1)=0,OR(R20=TRUE,R22=TRUE,R23=TRUE,Q24=TRUE)),"→",IF(AND($D$11=1,$E$8=8,$AT$51=1,(D9-1)*(J4-1)*(D11-1)*(D10-1)=0,OR(AD12=TRUE,AD9=TRUE,AD10=TRUE,AD15=TRUE,AD13=TRUE,AD11=TRUE,AD14=TRUE,AD16=TRUE)),"→",""))</f>
        <v/>
      </c>
      <c r="C6" s="167"/>
      <c r="D6" s="113">
        <f>IF($E$8&gt;=7,IF(AND($J$3=1,$J$5=1,$J$6=1,$C$11=2),37,IF(AND($J$3=1,$J$5=1,$J$6=1,$C$11=3),38,IF(AND($J$3=1,$J$5=1,$J$6=2,$C$11=2),39,IF(AND($J$3=1,$J$5=1,$J$6=2,$C$11=3),40,IF(AND(J3=1,J5=1,J6=1,C11=4),41,IF(AND(J3=1,J5=1,J6=4,C11=2),42,IF(AND(J3=1,J5=1,J6=4,C11=3),43,IF(AND(J3=1,J5=1,J6=4,C11=4),44,IF(AND(J3=1,J5=1,J6=4,C11=5),45,IF(AND(J3=1,J5=1,J6=4,C11=6),46,IF(AND(J3=1,J5=1,J6=4,C11=7),47,IF(AND(J3=1,J5=1,J6=5,C11=2),48,IF(AND(J3=1,J5=1,J6=5,C11=3),49,IF(AND(J3=1,J5=1,J6=5,C11=4),50,IF(AND(J3=1,J5=1,J6=5,C11=5),51,IF(AND(J3=1,J5=1,J6=5,C11=6),52,IF(AND(J3=1,J5=1,J6=5,C11=7),53,IF(AND(J3=1,J5=1,J6=6,C11=2),54,IF(AND(J3=1,J5=1,J6=6,C11=3),55,IF(AND(J3=1,J5=1,J6=6,C11=4),56,IF(AND(J3=1,J5=1,J6=6,C11=5),57,IF(AND(J3=1,J5=1,J6=6,C11=6),58,IF(AND(J3=1,J5=1,J6=6,C11=7),59,IF(AND(J3=1,J5=1,J6=7,C11=2),60,IF(AND(J3=1,J5=1,J6=7,C11=3),61,IF(AND(J3=1,J5=1,J6=7,C11=4),62,IF(AND(J3=1,J5=1,J6=7,C11=5),63,IF(AND(J3=1,J5=1,J6=7,C11=6),64,IF(AND(J3=1,J5=1,J6=7,C11=7),65,IF(AND(J3=1,J5=1,J6=8,C11=2),66,IF(AND(J3=1,J5=1,J6=8,C11=3),67,IF(AND(J3=1,J5=1,J6=8,C11=4),68,IF(AND(J3=1,J5=1,J6=8,C11=5),69,IF(AND(J3=1,J5=1,J6=8,C11=6),70,IF(AND(J3=1,J5=1,J6=8,C11=7),71,IF(AND(J3=1,J5=1,J6=9,C11=2),72,IF(AND(J3=1,J5=1,J6=9,C11=3),73,IF(AND(J3=1,J5=1,J6=9,C11=4),74,IF(AND(J3=1,J5=1,J6=9,C11=5),75,IF(AND(J3=1,J5=1,J6=9,C11=6),76,IF(AND(J3=1,J5=1,J6=9,C11=7),77,IF(AND(J3=2,J5=1,J6=1,C11=4),170,IF(AND(J3=3,J5=1,J6=1,C11=4),169,L7))))))))))))))))))))))))))))))))))))))))))),0)</f>
        <v>63</v>
      </c>
      <c r="E6" s="410"/>
      <c r="F6" s="25"/>
      <c r="G6" s="26"/>
      <c r="H6" s="26"/>
      <c r="I6" s="26"/>
      <c r="J6" s="27">
        <f>D10-1</f>
        <v>7</v>
      </c>
      <c r="K6" s="26"/>
      <c r="L6" s="26"/>
      <c r="M6" s="28">
        <f>J6</f>
        <v>7</v>
      </c>
      <c r="N6" s="26"/>
      <c r="O6" s="25"/>
      <c r="P6" s="26"/>
      <c r="Q6" s="26"/>
      <c r="R6" s="26"/>
      <c r="S6" s="26"/>
      <c r="T6" s="26"/>
      <c r="U6" s="26"/>
      <c r="V6" s="26"/>
      <c r="W6" s="29"/>
      <c r="X6" s="29"/>
      <c r="Y6" s="20"/>
      <c r="Z6" s="20"/>
      <c r="AC6" s="376" t="str">
        <f>IF($W$14=1,"C","")</f>
        <v>C</v>
      </c>
      <c r="AD6" s="317" t="b">
        <v>1</v>
      </c>
      <c r="AE6" s="318" t="s">
        <v>268</v>
      </c>
      <c r="AF6" s="324" t="str">
        <f>IF(Elektrolisis!$AJ$6="Error",IF(AND(Elektrolisis!$W$14=1,Elektrolisis!$E$8&gt;=7,Elektrolisis!$R$22=TRUE),INDEX(REAKSI!$AD$3:$AD$172,MATCH(3,REAKSI!$B$3:$B$172,1)),IF(OR(Elektrolisis!$W$14&lt;&gt;1,Elektrolisis!$E$8&lt;7,Elektrolisis!$R$23=FALSE),INDEX(REAKSI!$AG$3:$AG$172,MATCH(3,REAKSI!$B$3:$B$172,1)))),IF(AND(Elektrolisis!$W$14=1,Elektrolisis!$E$8&gt;=7,Elektrolisis!$R$22=TRUE),INDEX(REAKSI!$AD$3:$AD$172,MATCH(Elektrolisis!$M$7,REAKSI!$B$3:$B$172,1)),IF(OR(Elektrolisis!$W$14&lt;&gt;1,Elektrolisis!$E$8&lt;7,Elektrolisis!$R$23=FALSE),INDEX(REAKSI!$AG$3:$AG$172,MATCH(Elektrolisis!$L$7,REAKSI!$B$3:$B$172,1)))))</f>
        <v>Cl2</v>
      </c>
      <c r="AG6" s="329" t="str">
        <f>IF(AND($W$14=1,$E$8=8,$E$15&gt;=1,$M$5=1,$D$11=2,$C$12=TRUE),"Kuat Arus (i):",IF(AND($W$14=1,$E$8=8,$E$15&gt;=1,$D$11=3,$C$12=TRUE),"Kuat Arus (i):",""))</f>
        <v>Kuat Arus (i):</v>
      </c>
      <c r="AH6" s="336">
        <f>IF(AND($W$14=1,$E$8=8,$E$15&gt;=1,$M$5=1,$D$11=2,$Q$12*$Q$13&gt;0,$C$12=TRUE),$Q$14,IF(AND($W$14=1,$E$8=8,$E$15&gt;=1,$D$11=3,$C$12=TRUE),$Q$14,""))</f>
        <v>10</v>
      </c>
      <c r="AI6" s="337" t="str">
        <f>IF(AND($W$14=1,$E$8=8,$E$15&gt;=1,$M$5=1,$D$11=2,$C$12=TRUE),"A",IF(AND($W$14=1,$E$8=8,$E$15&gt;=1,$D$11=3,$C$12=TRUE),"A",""))</f>
        <v>A</v>
      </c>
      <c r="AJ6" s="360" t="str">
        <f>IFERROR(IF(AND($E$8=8,$Q$15&gt;$AH$14,$M$7&lt;&gt;3),"Error",IF(AND($E$8=8,$Q$15=$AH$14,$M$7&lt;&gt;3,$W$14=1,$AJ$5=$AJ$4),"optimum",IF(AND($E$8&gt;=7,$D$9=4,$D$11=3),"NO",IF(AND($AJ$5&gt;$AJ$4,$E$8=8),"soak","")))),"")</f>
        <v/>
      </c>
      <c r="AK6" s="357"/>
      <c r="AL6" s="143" t="str">
        <f>IF(E8&gt;=7,"Cu","")</f>
        <v>Cu</v>
      </c>
      <c r="AM6" s="143" t="str">
        <f>IF(E8&gt;=7,"Cu","")</f>
        <v>Cu</v>
      </c>
      <c r="AN6" s="211" t="str">
        <f t="shared" ref="AN6:AN13" si="0">IF(AND($W$14=1,$E$8&gt;=7),IF($M$5=0,AO6,IF($M$5=1,AO6,IF($M$5=2,AP6))),"")</f>
        <v/>
      </c>
      <c r="AO6" s="212" t="str">
        <f>IF($C$11=1,"H2SO4",IF($C$11=2,"HNO3",IF($C$11=3,"H3PO4","")))</f>
        <v/>
      </c>
      <c r="AP6" s="212" t="s">
        <v>71</v>
      </c>
      <c r="AQ6" s="209" t="str">
        <f>IF(OR($W$14=2,$E$8&lt;7),"","Ag")</f>
        <v>Ag</v>
      </c>
      <c r="AR6" s="35">
        <v>7</v>
      </c>
      <c r="AS6" s="144" t="s">
        <v>35</v>
      </c>
      <c r="AT6" s="33">
        <v>3</v>
      </c>
      <c r="AU6" s="145" t="s">
        <v>38</v>
      </c>
      <c r="AV6" s="31" t="s">
        <v>36</v>
      </c>
      <c r="AW6" s="154">
        <v>0</v>
      </c>
      <c r="AX6" s="31" t="str">
        <f>IF(AND($W$14=1,$E$8&gt;=7),IF($R$22=TRUE,IF(OR(M7=2,M7=3,M7=5,M7=6,M7=8,M7=9,M7=14,M7=15,M7=16,M7=17,M7=18,M7=33,M7=34,M7=35,M7=36,M7=39,M7=40,M7=42,M7=43,M7=44,M7=45,M7=46,M7=47,M7=48,M7=49,M7=50,M7=51,M7=52,M7=53,M7=54,M7=55,M7=56,M7=57,M7=58,M7=59,M7=66,M7=67,M7=68,M7=69,M7=70,M7=71,M7=72,M7=73,M7=74,M7=75,M7=76,M7=77),"o",""),""),"")</f>
        <v/>
      </c>
      <c r="AY6" s="145" t="str">
        <f>IF(AND(W14=1,$E$8&gt;=7),IF(R23=TRUE,IF(OR(M7=21,M7=168),"O",""),""),"")</f>
        <v/>
      </c>
      <c r="BA6" s="398" t="s">
        <v>14</v>
      </c>
    </row>
    <row r="7" spans="1:54" ht="18" customHeight="1" thickBot="1" x14ac:dyDescent="0.3">
      <c r="A7" s="90" t="str">
        <f>IF(AND($D$10=1,$E$8=7,$W$14=1,(D9-1)*(J4-1)*(D11-1)*(D10-1)=0,OR(R20=TRUE,R22=TRUE,R23=TRUE,Q24=TRUE)),"→",IF(AND($D$10=1,$E$8=8,$AT$51=1,(D9-1)*(J4-1)*(D11-1)*(D10-1)=0,OR(AD12=TRUE,AD9=TRUE,AD10=TRUE,AD15=TRUE,AD13=TRUE,AD11=TRUE,AD14=TRUE,AD16=TRUE)),"→",""))</f>
        <v/>
      </c>
      <c r="C7" s="167"/>
      <c r="D7" s="113">
        <f>IF(AND(J3=2,J5=1,J6=1,C11=2),78,IF(AND(J3=2,J5=1,J6=1,C11=3),79,IF(AND(J3=2,J5=1,J6=2,C11=2),80,IF(AND(J3=2,J5=1,J6=2,C11=3),81,IF(AND(J3=2,J5=1,J6=2,C11=4),82,IF(AND(J3=2,J5=1,J6=4,C11=2),83,IF(AND(J3=2,J5=1,J6=4,C11=3),84,IF(AND(J3=2,J5=1,J6=4,C11=4),85,IF(AND(J3=2,J5=1,J6=4,C11=5),86,IF(AND(J3=2,J5=1,J6=4,C11=6),87,IF(AND(J3=2,J5=1,J6=4,C11=7),88,IF(AND(J3=2,J5=1,J6=5,C11=2),89,IF(AND(J3=2,J5=1,J6=5,C11=3),90,IF(AND(J3=2,J5=1,J6=5,C11=4),91,IF(AND(J3=2,J5=1,J6=5,C11=5),92,IF(AND(J3=2,J5=1,J6=5,C11=6),93,IF(AND(J3=2,J5=1,J6=5,C11=7),94,IF(AND(J3=2,J5=1,J6=6,C11=2),95,IF(AND(J3=2,J5=1,J6=6,C11=3),96,IF(AND(J3=2,J5=1,J6=6,C11=4),97,IF(AND(J3=2,J5=1,J6=6,C11=5),98,IF(AND(J3=2,J5=1,J6=6,C11=6),99,IF(AND(J3=2,J5=1,J6=6,C11=7),100,IF(AND(J3=2,J5=1,J6=7,C11=2),101,IF(AND(J3=2,J5=1,J6=7,C11=3),102,IF(AND(J3=2,J5=1,J6=7,C11=4),103,IF(AND(J3=2,J5=1,J6=7,C11=5),104,IF(AND(J3=2,J5=1,J6=7,C11=6),105,IF(AND(J3=2,J5=1,J6=7,C11=7),106,IF(AND(J3=2,J5=1,J6=8,C11=2),107,IF(AND(J3=2,J5=1,J6=8,C11=3),108,IF(AND(J3=2,J5=1,J6=8,C11=4),109,IF(AND(J3=2,J5=1,J6=8,C11=5),110,IF(AND(J3=2,J5=1,J6=8,C11=6),111,IF(AND(J3=2,J5=1,J6=8,C11=7),112,IF(AND(J3=2,J5=1,J6=9,C11=2),113,IF(AND(J3=2,J5=1,J6=9,C11=3),114,IF(AND(J3=2,J5=1,J6=9,C11=4),115,IF(AND(J3=2,J5=1,J6=9,C11=5),116,IF(AND(J3=2,J5=1,J6=9,C11=6),117,IF(AND(J3=2,J5=1,J6=9,C11=7),118,L7)))))))))))))))))))))))))))))))))))))))))</f>
        <v>7</v>
      </c>
      <c r="E7" s="411"/>
      <c r="F7" s="25"/>
      <c r="G7" s="26"/>
      <c r="H7" s="26"/>
      <c r="I7" s="26"/>
      <c r="J7" s="26"/>
      <c r="K7" s="32"/>
      <c r="L7" s="31">
        <f>(M6+9*M5+9*2*M3)-27</f>
        <v>7</v>
      </c>
      <c r="M7" s="187">
        <f>IF(MAX(D6:D8)&gt;=0,MAX(D6:D8),0)</f>
        <v>63</v>
      </c>
      <c r="N7" s="31"/>
      <c r="O7" s="33"/>
      <c r="P7" s="26"/>
      <c r="Q7" s="26"/>
      <c r="R7" s="26"/>
      <c r="S7" s="26"/>
      <c r="T7" s="26"/>
      <c r="U7" s="26"/>
      <c r="V7" s="26"/>
      <c r="W7" s="29"/>
      <c r="X7" s="29"/>
      <c r="Y7" s="20"/>
      <c r="Z7" s="20"/>
      <c r="AB7" s="89" t="s">
        <v>14</v>
      </c>
      <c r="AC7" s="376" t="str">
        <f>IF($W$14=1,"D","")</f>
        <v>D</v>
      </c>
      <c r="AD7" s="317" t="b">
        <v>1</v>
      </c>
      <c r="AE7" s="318" t="s">
        <v>106</v>
      </c>
      <c r="AF7" s="324" t="str">
        <f>IF(AND(Elektrolisis!$W$14=1,Elektrolisis!$E$8&gt;=7,Elektrolisis!$R$22=TRUE),INDEX(REAKSI!$W$3:$W$172,MATCH(Elektrolisis!$M$7,REAKSI!$B$3:$B$172,1)),IF(OR(Elektrolisis!$W$14&lt;&gt;1,Elektrolisis!$E$8&lt;7,Elektrolisis!$R$22=FALSE),INDEX(REAKSI!$AH$3:$AH$172,MATCH(Elektrolisis!$M$7,REAKSI!$B$3:$B$172,1))))</f>
        <v>E0 H2O = -1,23 V</v>
      </c>
      <c r="AG7" s="329" t="str">
        <f>IF(AND($W$14=1,$E$8=8,$E$15&gt;=1,$M$5=1,$D$11=2,$C$12=TRUE),"Waktu (t):",IF(AND($W$14=1,$E$8=8,$E$15&gt;=1,$D$11=3,$C$12=TRUE),"Waktu (t):",""))</f>
        <v>Waktu (t):</v>
      </c>
      <c r="AH7" s="336">
        <f>IF(AND($W$14=1,$E$8=8,$E$15&gt;=1,$M$5=1,$AM$11=2,$Q$12*$Q$13&gt;0,$C$12=TRUE),$Q$15,IF(AND($W$14=1,$E$8=8,$E$15&gt;=1,$AM$11=3&gt;0,$C$12=TRUE),$Q$15,""))</f>
        <v>7197</v>
      </c>
      <c r="AI7" s="337" t="str">
        <f>IF(AND($W$14=1,$E$8=8,$E$15&gt;=1,$M$5=1,$D$11=2,$C$12=TRUE),"s",IF(AND($W$14=1,$E$8=8,$E$15&gt;=1,$D$11=3,$C$12=TRUE),"s",""))</f>
        <v>s</v>
      </c>
      <c r="AJ7" s="361" t="str">
        <f>IF($AJ$6="Error","NO!",IF($AJ$6="soak","NO!","OK"))</f>
        <v>OK</v>
      </c>
      <c r="AK7" s="356"/>
      <c r="AL7" s="26"/>
      <c r="AM7" s="143" t="str">
        <f>IF($M$6=1,AN5,IF($M$6=2,AN6,IF($M$6=3,AN7,IF($M$6=4,AN8,IF($M$6=5,AN9,IF($M$6=6,AN10,IF($M$6=7,AN11,IF($M$6=8,AN12,IF($M$6=9,AN13)))))))))</f>
        <v>ZnCl2</v>
      </c>
      <c r="AN7" s="211" t="str">
        <f t="shared" si="0"/>
        <v>H2O</v>
      </c>
      <c r="AO7" s="212" t="s">
        <v>10</v>
      </c>
      <c r="AP7" s="212" t="s">
        <v>17</v>
      </c>
      <c r="AQ7" s="209" t="str">
        <f>IF(OR($W$14=2,$E$8&lt;7),"","Fe")</f>
        <v>Fe</v>
      </c>
      <c r="AR7" s="35">
        <v>10</v>
      </c>
      <c r="AS7" s="144" t="s">
        <v>35</v>
      </c>
      <c r="AT7" s="33">
        <v>4</v>
      </c>
      <c r="AU7" s="145" t="s">
        <v>38</v>
      </c>
      <c r="AV7" s="31" t="s">
        <v>37</v>
      </c>
      <c r="AW7" s="155" t="s">
        <v>41</v>
      </c>
      <c r="AX7" s="31" t="str">
        <f>IF(AND(W14=1,$E$8&gt;=7,AJ6&lt;&gt;"error"),IF(R22=TRUE,IF(OR(M7=19,M7=20,M7=21,M7=22,M7=23,M7=24,M7=25,M7=26,M7=27,M7=78,M7=79,M7=80,M7=81,M7=82,M7=83,M7=84,M7=85,M7=86,M7=87,M7=88,,M7=89,M7=90,M7=91,M7=92,M7=93,M7=94,M7=95,M7=96,M7=97,M7=98,M7=99,M7=100,,M7=101,M7=102,M7=103,M7=104,M7=105,M7=106,M7=107,M7=108,M7=109,M7=110,M7=111,M7=112,M7=113,M7=114,M7=115,M7=116,M7=117,M7=118,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,M7=169,M7=170),"+",""),""),"")</f>
        <v/>
      </c>
      <c r="AY7" s="145"/>
      <c r="BA7" s="398"/>
    </row>
    <row r="8" spans="1:54" ht="15.75" thickBot="1" x14ac:dyDescent="0.3">
      <c r="A8" s="107"/>
      <c r="C8" s="167"/>
      <c r="D8" s="113">
        <f>IF(AND(J3=3,J5=1,J6=1,C11=1),119,IF(AND(J3=3,J5=1,J6=1,C11=2),120,IF(AND(J3=3,J5=1,J6=1,C11=3),121,IF(AND(J3=3,J5=1,J6=2,C11=1),122,IF(AND(J3=3,J5=1,J6=2,C11=2),123,IF(AND(J3=3,J5=1,J6=2,C11=3),124,IF(AND(J3=3,J5=1,J6=2,C11=4),125,IF(AND(J3=3,J5=1,J6=4,C11=1),126,IF(AND(J3=3,J5=1,J6=4,C11=2),127,IF(AND(J3=3,J5=1,J6=4,C11=3),128,IF(AND(J3=3,J5=1,J6=4,C11=4),129,IF(AND(J3=3,J5=1,J6=4,C11=5),130,IF(AND(J3=3,J5=1,J6=4,C11=6),131,IF(AND(J3=3,J5=1,J6=4,C11=7),132,IF(AND(J3=3,J5=1,J6=5,C11=1),133,IF(AND(J3=3,J5=1,J6=5,C11=2),134,IF(AND(J3=3,J5=1,J6=5,C11=3),135,IF(AND(J3=3,J5=1,J6=5,C11=4),136,IF(AND(J3=3,J5=1,J6=5,C11=5),137,IF(AND(J3=3,J5=1,J6=5,C11=6),138,IF(AND(J3=3,J5=1,J6=5,C11=7),139,IF(AND(J3=3,J5=1,J6=6,C11=1),140,IF(AND(J3=3,J5=1,J6=6,C11=2),141,IF(AND(J3=3,J5=1,J6=6,C11=3),142,IF(AND(J3=3,J5=1,J6=6,C11=4),143,IF(AND(J3=3,J5=1,J6=6,C11=5),144,IF(AND(J3=3,J5=1,J6=6,C11=6),145,IF(AND(J3=3,J5=1,J6=6,C11=7),146,IF(AND(J3=3,J5=1,J6=7,C11=1),147,IF(AND(J3=3,J5=1,J6=7,C11=2),148,IF(AND(J3=3,J5=1,J6=7,C11=3),149,IF(AND(J3=3,J5=1,J6=7,C11=4),150,IF(AND(J3=3,J5=1,J6=7,C11=5),151,IF(AND(J3=3,J5=1,J6=7,C11=6),152,IF(AND(J3=3,J5=1,J6=7,C11=7),153,IF(AND(J3=3,J5=1,J6=8,C11=1),154,IF(AND(J3=3,J5=1,J6=8,C11=2),155,IF(AND(J3=3,J5=1,J6=8,C11=3),156,IF(AND(J3=3,J5=1,J6=8,C11=4),157,IF(AND(J3=3,J5=1,J6=8,C11=5),158,IF(AND(J3=3,J5=1,J6=8,C11=6),159,IF(AND(J3=3,J5=1,J6=8,C11=7),160,IF(AND(J3=3,J5=1,J6=9,C11=1),161,IF(AND(J3=3,J5=1,J6=9,C11=2),162,IF(AND(J3=3,J5=1,J6=9,C11=3),163,IF(AND(J3=3,J5=1,J6=9,C11=4),164,IF(AND(J3=3,J5=1,J6=9,C11=5),165,IF(AND(J3=3,J5=1,J6=9,C11=6),166,IF(AND(J3=3,J5=1,J6=9,C11=7),167,IF(AND(J3=3,J5=1,J6=3,C11&gt;=1),168,L7))))))))))))))))))))))))))))))))))))))))))))))))))</f>
        <v>7</v>
      </c>
      <c r="E8" s="63">
        <f>IF(E9=9,0,IF(E9&gt;=10,8,E9))</f>
        <v>8</v>
      </c>
      <c r="F8" s="25"/>
      <c r="G8" s="412" t="str">
        <f>IF(E8=1,"1) Standar Kompetensi",IF(E8=2,"2) Kompetensi Dasar",IF(E8=3,"3) Indikator",IF(E8=4,"4) Tujuan Eksperimen",IF(E8=5,"5) Alat &amp; Bahan",IF(E8=6,"6) Prosedur Kerja di Laboratorium",IF(E8=7,"7) Prosedur Kerja Program Aplikasi Elektrolisis",IF(E8=8,"8) Stoikiometri",""))))))))</f>
        <v>8) Stoikiometri</v>
      </c>
      <c r="H8" s="412"/>
      <c r="I8" s="412"/>
      <c r="J8" s="412"/>
      <c r="K8" s="412"/>
      <c r="L8" s="412"/>
      <c r="M8" s="26"/>
      <c r="N8" s="31"/>
      <c r="O8" s="33"/>
      <c r="P8" s="26"/>
      <c r="Q8" s="26"/>
      <c r="R8" s="26"/>
      <c r="S8" s="26"/>
      <c r="T8" s="26"/>
      <c r="U8" s="26"/>
      <c r="V8" s="26"/>
      <c r="W8" s="29"/>
      <c r="X8" s="29"/>
      <c r="Y8" s="20"/>
      <c r="Z8" s="20"/>
      <c r="AC8" s="376" t="str">
        <f>IF($W$14=1,"E","")</f>
        <v>E</v>
      </c>
      <c r="AD8" s="317" t="b">
        <v>1</v>
      </c>
      <c r="AE8" s="318" t="s">
        <v>758</v>
      </c>
      <c r="AF8" s="324" t="str">
        <f>IF(Elektrolisis!$AJ$6="Error",IF(AND(Elektrolisis!$W$14=1,Elektrolisis!$E$8&gt;=7,Elektrolisis!$R$22=TRUE),INDEX(REAKSI!$X$3:$X$172,MATCH(3,REAKSI!$B$3:$B$172,1)),IF(OR(Elektrolisis!$W$14&lt;&gt;1,Elektrolisis!$E$8&lt;7,Elektrolisis!$R$22=FALSE),INDEX(REAKSI!$AH$3:$AH$172,MATCH(3,REAKSI!$B$3:$B$172,1)))),IF(AND(Elektrolisis!$W$14=1,Elektrolisis!$E$8&gt;=7,Elektrolisis!$R$22=TRUE),INDEX(REAKSI!$X$3:$X$172,MATCH(Elektrolisis!$M$7,REAKSI!$B$3:$B$172,1)),IF(OR(Elektrolisis!$W$14&lt;&gt;1,Elektrolisis!$E$8&lt;7,Elektrolisis!$R$22=FALSE),INDEX(REAKSI!$AH$3:$AH$172,MATCH(Elektrolisis!$M$7,REAKSI!$B$3:$B$172,1)))))</f>
        <v>E0 Cl- = -1,36 V</v>
      </c>
      <c r="AG8" s="205" t="str">
        <f>IF($AD$5=TRUE,$K$14,"")</f>
        <v>Kons :</v>
      </c>
      <c r="AH8" s="330"/>
      <c r="AI8" s="338">
        <f>D11</f>
        <v>2</v>
      </c>
      <c r="AJ8" s="345">
        <f>IF(AND($E$10&gt;=10,$C$16=TRUE,$AD$5=TRUE),1,0)</f>
        <v>1</v>
      </c>
      <c r="AK8" s="356"/>
      <c r="AL8" s="143" t="str">
        <f>IF(AND(W14=1,E8&gt;=7),"LARUTAN","")</f>
        <v>LARUTAN</v>
      </c>
      <c r="AM8" s="143" t="str">
        <f>IF(AND(M5=1,OR(M6=1,M6=2,M6&gt;3)),"(aq)",IF(AND(M5=1,M6=3),"(l)",IF(AND(M5=2,M6&gt;=1),"(l)")))</f>
        <v>(aq)</v>
      </c>
      <c r="AN8" s="211" t="str">
        <f t="shared" si="0"/>
        <v>CaCl2</v>
      </c>
      <c r="AO8" s="212" t="str">
        <f>IF($C$11=1,"KI",IF($C$11=2,"KCl",IF($C$11=3,"NaBr",IF($C$11=4,"NaCl",IF($C$11=5,"CaCl2",IF($C$11=6,"AlCl3",IF($C$11=7,"MnCl2")))))))</f>
        <v>CaCl2</v>
      </c>
      <c r="AP8" s="212" t="s">
        <v>18</v>
      </c>
      <c r="AQ8" s="209" t="str">
        <f>IF(OR($W$14=2,$E$8&lt;7),"","Co")</f>
        <v>Co</v>
      </c>
      <c r="AR8" s="35">
        <v>11</v>
      </c>
      <c r="AS8" s="144" t="s">
        <v>35</v>
      </c>
      <c r="AT8" s="33">
        <v>5</v>
      </c>
      <c r="AU8" s="145" t="s">
        <v>38</v>
      </c>
      <c r="AV8" s="31" t="s">
        <v>40</v>
      </c>
      <c r="AW8" s="156" t="s">
        <v>42</v>
      </c>
      <c r="AX8" s="31"/>
      <c r="AY8" s="157" t="str">
        <f>IF(AND(W14=1,$E$8&gt;=7,AJ6&lt;&gt;"error"),IF(R23=TRUE,IF(OR(M7=7,M7=8,M7=9,M7=10,M7=11,M7=12,M7=13,M7=14,M7=15,M7=16,M7=17,M7=18,M7=25,M7=26,M7=27,M7=28,M7=29,M7=30,M7=31,M7=32,M7=33,M7=34,M7=35,M7=36,M7=60,M7=61,M7=62,M7=63,M7=64,M7=65,M7=66,M7=67,M7=68,M7=69,M7=70,M7=71,M7=72,M7=73,M7=74,M7=75,M7=76,M7=77,M7=101,M7=102,M7=103,M7=104,M7=105,M7=106,M7=107,M7=108,M7=109,M7=110,M7=111,M7=112,M7=113,M7=114,M7=115,M7=116,M7=117,M7=118,M7=147,M7=148,M7=149,M7=150,M7=151,M7=152,M7=153,M7=154,M7=155,M7=156,M7=157,M7=158,M7=159,M7=160,M7=161,M7=162,M7=163,M7=164,M7=165,M7=166,M7=167),"*",""),""),"")</f>
        <v>*</v>
      </c>
      <c r="BA8" s="398"/>
    </row>
    <row r="9" spans="1:54" ht="20.100000000000001" customHeight="1" x14ac:dyDescent="0.25">
      <c r="A9" s="107" t="s">
        <v>669</v>
      </c>
      <c r="C9" s="167"/>
      <c r="D9" s="30">
        <v>2</v>
      </c>
      <c r="E9" s="34">
        <f>IF($E$10&lt;=$E$10,$E$10,8)</f>
        <v>14</v>
      </c>
      <c r="F9" s="35"/>
      <c r="G9" s="414" t="str">
        <f>IF(E8&lt;=7,"",IF(AND(C12=TRUE,E9=8,M6=3,M5=1,D11=2),"Sebanyak"&amp;" "&amp;AN15&amp;" "&amp;"liter "&amp;" "&amp;AO15&amp;" "&amp;"dielektrolisis menggunakan anoda"&amp;" "&amp;AO16&amp;" "&amp;"dan katoda"&amp;" "&amp;AO17&amp;" "&amp;"dengan kuat arus"&amp;" "&amp;AN18&amp;" "&amp;"ampere selama"&amp;" "&amp;AN17&amp;" "&amp;"detik. Tuliskan reaksi elektrolisis &amp; Tentukanlah:",IF(AND(C12=TRUE,E8=8,M6&lt;&gt;3,M5=1,D11=2),"Sebanyak"&amp;" "&amp;AN15&amp;" "&amp;"liter larutan"&amp;" "&amp;AO15&amp;" "&amp;AN16&amp;" "&amp;"M dielektrolisis menggunakan anoda"&amp;" "&amp;AO16&amp;" "&amp;"dan katoda"&amp;" "&amp;AO17&amp;" "&amp;"dengan kuat arus"&amp;" "&amp;AN18&amp;" "&amp;"ampere selama"&amp;" "&amp;AN17&amp;" "&amp;"detik. Tuliskan reaksi elektrolisis &amp; Tentukanlah:",IF(AND(C12=TRUE,E8=8,D11=3),"Sebanyak"&amp;" "&amp;Q12&amp;" "&amp;"kg "&amp;" "&amp;AO15&amp;" "&amp;"(Mr ="&amp;" "&amp;AJ27&amp;")"&amp;" "&amp;"dielektrolisis menggunakan anoda"&amp;" "&amp;AO16&amp;" "&amp;"dan katoda"&amp;" "&amp;AO17&amp;" "&amp;"dengan kuat arus"&amp;" "&amp;Q14&amp;" "&amp;"ampere selama"&amp;" "&amp;Q15&amp;" "&amp;"detik. Tuliskan reaksi elektrolisis &amp; Tentukanlah:",""))))</f>
        <v>Sebanyak 1 liter larutan ZnCl2 1 M dielektrolisis menggunakan anoda C dan katoda C dengan kuat arus 10 ampere selama 7197 detik. Tuliskan reaksi elektrolisis &amp; Tentukanlah:</v>
      </c>
      <c r="H9" s="415"/>
      <c r="I9" s="415"/>
      <c r="J9" s="415"/>
      <c r="K9" s="415"/>
      <c r="L9" s="416"/>
      <c r="M9" s="26"/>
      <c r="N9" s="31"/>
      <c r="O9" s="33"/>
      <c r="P9" s="26"/>
      <c r="Q9" s="26"/>
      <c r="R9" s="26"/>
      <c r="S9" s="26"/>
      <c r="T9" s="26"/>
      <c r="U9" s="26"/>
      <c r="V9" s="26"/>
      <c r="W9" s="29"/>
      <c r="X9" s="29"/>
      <c r="Y9" s="20"/>
      <c r="Z9" s="20"/>
      <c r="AC9" s="376" t="str">
        <f>IF($W$14=1,"F","")</f>
        <v>F</v>
      </c>
      <c r="AD9" s="319" t="b">
        <v>1</v>
      </c>
      <c r="AE9" s="318" t="s">
        <v>107</v>
      </c>
      <c r="AF9" s="324">
        <f>IF(AND(Elektrolisis!$W$14=1,Elektrolisis!$E$8&gt;=7,Elektrolisis!$R$22=TRUE),INDEX(REAKSI!$Y$2:$Y$172,MATCH(Elektrolisis!$M$7,REAKSI!$B$2:$B$172,1)),IF(OR(Elektrolisis!$W$14&lt;&gt;1,Elektrolisis!$E$8&lt;7,Elektrolisis!$R$22=FALSE),INDEX(REAKSI!$AH$2:$AH$172,MATCH(Elektrolisis!$M$7,REAKSI!$B$2:$B$172,1))))</f>
        <v>0</v>
      </c>
      <c r="AG9" s="205" t="str">
        <f>IF($AD$6=TRUE,$K$15,"")</f>
        <v>muatan :</v>
      </c>
      <c r="AH9" s="330"/>
      <c r="AI9" s="338"/>
      <c r="AJ9" s="346">
        <f>IF(AND($E$10&gt;=11,$C$16=TRUE,$AD$6=TRUE),2,0)</f>
        <v>2</v>
      </c>
      <c r="AK9" s="356"/>
      <c r="AL9" s="143" t="str">
        <f>IF(AND(W14=1,E8&gt;=7),"LELEHAN","")</f>
        <v>LELEHAN</v>
      </c>
      <c r="AM9" s="143" t="str">
        <f>AM7&amp;AM8</f>
        <v>ZnCl2(aq)</v>
      </c>
      <c r="AN9" s="211" t="str">
        <f t="shared" si="0"/>
        <v>CaSO4</v>
      </c>
      <c r="AO9" s="212" t="str">
        <f>IF($C$11=1,"Na2SO4",IF($C$11=2,"KNO3",IF($C$11=3,"Na3PO4",IF($C$11=4,"Ca(NO3)2",IF($C$11=5,"CaSO4",IF($C$11=6,"AlPO4",IF($C$11=7,"MnSO4")))))))</f>
        <v>CaSO4</v>
      </c>
      <c r="AP9" s="212" t="s">
        <v>19</v>
      </c>
      <c r="AQ9" s="209" t="str">
        <f>IF(OR($W$14=2,$E$8&lt;7),"","Ni")</f>
        <v>Ni</v>
      </c>
      <c r="AR9" s="35">
        <v>12</v>
      </c>
      <c r="AS9" s="144" t="s">
        <v>35</v>
      </c>
      <c r="AT9" s="33">
        <v>6</v>
      </c>
      <c r="AU9" s="145" t="s">
        <v>38</v>
      </c>
      <c r="AV9" s="26"/>
      <c r="AW9" s="26"/>
      <c r="AX9" s="31" t="str">
        <f>IF(AND(W14=1,$E$8&gt;=7),IF(R22=TRUE,IF(OR(M7=4,M7=38,7=62),"I2(s)",IF(OR(M7=37,M7=43,M7=61),"Br2(g)",IF(OR(M7=1,M7=7,M7=10,M7=11,M7=12,M7=13,M7=28,M7=29,M7=30,M7=31,M7=42,M7=44,M7=45,M7=46,M7=47,M7=60,M7=63,M7=64,M7=65),"Cl2(g)",IF(OR(M7=2,M7=3,M7=5,M7=6,M7=8,M7=9,M7=14,M7=15,M7=16,M7=17,M7=18,M7=33,M7=34,M7=35,M7=36,M7=39,M7=40,M7=41,M7=48,M7=49,M7=50,M7=51,M7=52,M7=53,M7=54,M7=55,M7=56,M7=57,M7=58,M7=59,M7=66,M7=67,M7=68,M7=69,M7=70,M7=71,M7=72,M7=73,M7=74,M7=75,M7=76,M7=77),"O2(g)",IF(OR(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168),"Ag+(aq)",IF(OR(M7=19,M7=20,M7=21,M7=22,M7=23,M7=24,M7=25,M7=26,M7=27,M7=78,M7=79,M7=80,M7=81,M7=82,M7=83,M7=84,M7=85,M7=86,M7=87,M7=88,M7=89,M7=90,M7=91,M7=92,M7=93,M7=94,M7=95,M7=96,M7=97,M7=98,M7=99,M7=100,M7=101,M7=102,M7=103,M7=104,M7=105,M7=106,M7=107,M7=108,M7=109,M7=110,M7=111,M7=112,M7=113,M7=114,M7=115,M7=116,M7=117,M7=118),"Cu2+(aq)","")))))),""),"")</f>
        <v>Cl2(g)</v>
      </c>
      <c r="AY9" s="29" t="str">
        <f>IF(AND(W14=1,$E$8&gt;=7),IF(R23=TRUE,IF(OR(M7=21,M7=168),"O2(g)"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146),"H2(g)",IF(OR(M7=16,M7=34,M7=70,M7=111,M7=159),"Cd(s)",IF(OR(M7=12,M7=30,M7=64,M7=105,M7=152),"Cr(s)",IF(OR(M7=7,M7=8,M7=9,M7=25,M7=26,M7=27,M7=62,M7=103,M7=147,M7=150,M7=154,M7=161),"Cu(s)",IF(OR(M7=15,M7=33,M7=60,M7=66,M7=101,M7=107,M7=148,M7=155),"Ag(s)",IF(OR(M7=61,M7=102,M7=110,M7=149),"Ni(s)",IF(OR(M7=76,M7=117,M7=166),"Pb(s)",IF(OR(M7=65,M7=71,M7=75,M7=106,M7=112,M7=116,M7=153,M7=160,M7=165),"Sn(s)",IF(OR(M7=17,M7=35),"Al(s)",IF(OR(M7=67,M7=108,M7=156),"Fe(s)",IF(OR(M7=68,M7=72,M7=109,M7=113,M7=157,M7=162),"Co(s)",IF(OR(M7=69,M7=73,M7=114,M7=158,M7=163),"Ni(s)",IF(OR(M7=11,M7=14,M7=29,M7=32),"Mg(s)",IF(OR(M7=10,M7=28),"Na(s)",IF(OR(M7=77,M7=118,M7=167),"Cd(s)",IF(OR(M7=13,M7=31,M7=36,M7=63,M7=74,M7=104,M7=115,M7=151,M7=164),"Zn(s)",""))))))))))))))))),""),"")</f>
        <v>Zn(s)</v>
      </c>
      <c r="BA9" s="398"/>
    </row>
    <row r="10" spans="1:54" ht="20.100000000000001" customHeight="1" thickBot="1" x14ac:dyDescent="0.3">
      <c r="A10" s="107"/>
      <c r="C10" s="168"/>
      <c r="D10" s="112">
        <v>8</v>
      </c>
      <c r="E10" s="38">
        <v>14</v>
      </c>
      <c r="F10" s="25"/>
      <c r="G10" s="417"/>
      <c r="H10" s="418"/>
      <c r="I10" s="418"/>
      <c r="J10" s="418"/>
      <c r="K10" s="418"/>
      <c r="L10" s="419"/>
      <c r="M10" s="26"/>
      <c r="N10" s="31"/>
      <c r="O10" s="33"/>
      <c r="P10" s="26"/>
      <c r="Q10" s="26"/>
      <c r="R10" s="26"/>
      <c r="S10" s="26"/>
      <c r="T10" s="26"/>
      <c r="U10" s="26"/>
      <c r="V10" s="26"/>
      <c r="W10" s="29"/>
      <c r="X10" s="29"/>
      <c r="Y10" s="20"/>
      <c r="Z10" s="20"/>
      <c r="AC10" s="376" t="str">
        <f>IF($W$14=1,"G","")</f>
        <v>G</v>
      </c>
      <c r="AD10" s="319" t="b">
        <v>1</v>
      </c>
      <c r="AE10" s="318" t="s">
        <v>98</v>
      </c>
      <c r="AF10" s="324">
        <f>IF(AND(Elektrolisis!$W$14=1,Elektrolisis!$E$8&gt;=7,Elektrolisis!$R$22=TRUE),INDEX(REAKSI!$F$3:$F$172,MATCH(Elektrolisis!$M$7,REAKSI!$B$3:$B$172,1)),IF(OR(Elektrolisis!$W$14&lt;&gt;1,Elektrolisis!$E$8&lt;7,Elektrolisis!$R$22=FALSE),INDEX(REAKSI!$D$3:$D$172,MATCH(Elektrolisis!$M$7,REAKSI!$B$3:$B$172,1))))</f>
        <v>0</v>
      </c>
      <c r="AG10" s="205" t="str">
        <f>IF($AD$7=TRUE,$K$16,"")</f>
        <v>muatan:</v>
      </c>
      <c r="AH10" s="330"/>
      <c r="AI10" s="338"/>
      <c r="AJ10" s="346">
        <f>IF(AND($E$10&gt;=12,$C$16=TRUE,$AD$7=TRUE),3,0)</f>
        <v>3</v>
      </c>
      <c r="AK10" s="356"/>
      <c r="AL10" s="143" t="s">
        <v>85</v>
      </c>
      <c r="AM10" s="143" t="s">
        <v>14</v>
      </c>
      <c r="AN10" s="211" t="str">
        <f t="shared" si="0"/>
        <v>Ba(OH)2</v>
      </c>
      <c r="AO10" s="212" t="str">
        <f>IF($C$11=1,"NaOH",IF($C$11=2,"KOH",IF($C$11=3,"Ca(OH)2",IF($C$11=4,"Sr(OH)2",IF($C$11=5,"Ba(OH)2",IF($C$11=6,"Al(OH)3",IF($C$11=7,"Mn(OH)2")))))))</f>
        <v>Ba(OH)2</v>
      </c>
      <c r="AP10" s="212" t="s">
        <v>63</v>
      </c>
      <c r="AQ10" s="209" t="str">
        <f>IF(OR($W$14=2,$E$8&lt;7),"","Zn")</f>
        <v>Zn</v>
      </c>
      <c r="AR10" s="35">
        <v>13</v>
      </c>
      <c r="AS10" s="144" t="s">
        <v>35</v>
      </c>
      <c r="AT10" s="33">
        <v>19</v>
      </c>
      <c r="AU10" s="145" t="s">
        <v>38</v>
      </c>
      <c r="AV10" s="26"/>
      <c r="AW10" s="26"/>
      <c r="AX10" s="26"/>
      <c r="AY10" s="29"/>
    </row>
    <row r="11" spans="1:54" ht="20.100000000000001" customHeight="1" x14ac:dyDescent="0.25">
      <c r="A11" s="261" t="str">
        <f>IF(AND($C$12=FALSE,$E$8=7,$W$14=1,(D9-1)*(J4-1)*(D11-1)*(D10-1)&gt;0,OR(R20=TRUE,R22=TRUE,R23=TRUE,Q24=TRUE)),"→",IF(AND($E$8=8,$AT$51=1,(D9-1)*(J4-1)*(D11-1)*(D10-1)&gt;0,$C$12=FALSE,OR(AD12=TRUE,AD9=TRUE,AD10=TRUE,AD15=TRUE,AD13=TRUE,AD11=TRUE,AD14=TRUE,AD16=TRUE)),"→",""))</f>
        <v/>
      </c>
      <c r="B11" s="18" t="s">
        <v>14</v>
      </c>
      <c r="C11" s="185">
        <v>5</v>
      </c>
      <c r="D11" s="112">
        <v>2</v>
      </c>
      <c r="E11" s="289"/>
      <c r="F11" s="25"/>
      <c r="G11" s="404" t="str">
        <f>IF(AND(M5=1,C12=TRUE,D11=2),AX42&amp;" "&amp;AX43,IF(AND(C12=TRUE,D11=3,E8=8),"a) massa"&amp;" "&amp;AN43&amp;" "&amp;"b) Volue gas"&amp;" "&amp;AO43&amp;"  "&amp;", c) t_maks, d) Quantitas, e &amp; f) laju reaksi",""))</f>
        <v>(a) W_ Zn(s) (b) V_ Cl2(g) (c) t_maks, (d) Q(%), (e) r_di katoda, (f) r_anoda, (g) [H+], [OH-], Kw</v>
      </c>
      <c r="H11" s="405"/>
      <c r="I11" s="405"/>
      <c r="J11" s="405"/>
      <c r="K11" s="405"/>
      <c r="L11" s="406"/>
      <c r="M11" s="26"/>
      <c r="N11" s="31"/>
      <c r="O11" s="33"/>
      <c r="P11" s="36"/>
      <c r="Q11" s="36"/>
      <c r="R11" s="36"/>
      <c r="S11" s="26"/>
      <c r="T11" s="26"/>
      <c r="U11" s="26"/>
      <c r="V11" s="36" t="s">
        <v>14</v>
      </c>
      <c r="W11" s="37"/>
      <c r="X11" s="29"/>
      <c r="Y11" s="20"/>
      <c r="Z11" s="20"/>
      <c r="AC11" s="376" t="str">
        <f>IF($W$14=1,"H","")</f>
        <v>H</v>
      </c>
      <c r="AD11" s="319" t="b">
        <v>1</v>
      </c>
      <c r="AE11" s="318" t="s">
        <v>759</v>
      </c>
      <c r="AF11" s="324" t="str">
        <f>IF(Elektrolisis!$AJ$6="error",INDEX(REAKSI!$K$3:$K$170,MATCH(3,REAKSI!$B$3:$B$172,1)),IF(OR(Elektrolisis!$Q$24=FALSE,Elektrolisis!$W$14&lt;&gt;1,Elektrolisis!$Y$21=0,Elektrolisis!$C$12=FALSE),INDEX(REAKSI!$AV$3:$AV$172,MATCH(Elektrolisis!$M$7,REAKSI!$B$3:$B$172,1)),IF(AND(Elektrolisis!$Q$24=TRUE,Elektrolisis!$W$14=1,Elektrolisis!$Y$21=1,Elektrolisis!$C$12=TRUE),INDEX(REAKSI!$K$3:$K$172,MATCH(Elektrolisis!$M$7,REAKSI!$B$3:$B$172,1)),IF(AND(Elektrolisis!$Q$24=TRUE,Elektrolisis!$W$14=1,Elektrolisis!$Y$21=2,Elektrolisis!$C$12=TRUE),INDEX(REAKSI!$AU$3:$AU$172,MATCH(Elektrolisis!$M$7,REAKSI!$B$3:$B$172,1))))))</f>
        <v xml:space="preserve">               ZnCl2(aq)  → Zn(s) + Cl2(g)</v>
      </c>
      <c r="AG11" s="205" t="str">
        <f>IF($AD$8=TRUE,$K$17,"")</f>
        <v>ACCU:</v>
      </c>
      <c r="AH11" s="330"/>
      <c r="AI11" s="338"/>
      <c r="AJ11" s="346">
        <f>IF(AND($E$10&gt;=13,$C$16=TRUE,$AD$8=TRUE),4,0)</f>
        <v>4</v>
      </c>
      <c r="AK11" s="356"/>
      <c r="AL11" s="143" t="str">
        <f>IF($W$14=1,IF(AND(E8&gt;=7,J3=1),"C",IF(AND(E8&gt;=7,J3=2),"Cu",IF(AND(E8&gt;=7,J3=3),"Ag",""))),"")</f>
        <v>C</v>
      </c>
      <c r="AM11" s="143"/>
      <c r="AN11" s="211" t="str">
        <f t="shared" si="0"/>
        <v>ZnCl2</v>
      </c>
      <c r="AO11" s="212" t="str">
        <f>IF($C$11=1,"CuCl2",IF($C$11=2,"AgCl",IF($C$11=3,"NiBr2",IF($C$11=4,"CuI2",IF($C$11=5,"ZnCl2",IF($C$11=6,"CrCl3",IF($C$11=7,"SnCl2")))))))</f>
        <v>ZnCl2</v>
      </c>
      <c r="AP11" s="212" t="s">
        <v>12</v>
      </c>
      <c r="AQ11" s="209" t="str">
        <f>IF(OR($W$14=2,$E$8&lt;7),"","Sn")</f>
        <v>Sn</v>
      </c>
      <c r="AR11" s="35">
        <v>28</v>
      </c>
      <c r="AS11" s="144" t="s">
        <v>35</v>
      </c>
      <c r="AT11" s="33">
        <v>20</v>
      </c>
      <c r="AU11" s="145" t="s">
        <v>38</v>
      </c>
      <c r="AV11" s="31"/>
      <c r="AW11" s="26"/>
      <c r="AX11" s="26"/>
      <c r="AY11" s="29"/>
    </row>
    <row r="12" spans="1:54" ht="14.1" customHeight="1" thickBot="1" x14ac:dyDescent="0.3">
      <c r="A12" s="107"/>
      <c r="B12" s="90"/>
      <c r="C12" s="107" t="b">
        <v>1</v>
      </c>
      <c r="D12" s="18">
        <f>J4</f>
        <v>2</v>
      </c>
      <c r="E12" s="413" t="s">
        <v>14</v>
      </c>
      <c r="F12" s="25"/>
      <c r="G12" s="45"/>
      <c r="H12" s="46"/>
      <c r="I12" s="46"/>
      <c r="J12" s="46"/>
      <c r="K12" s="46"/>
      <c r="L12" s="47"/>
      <c r="M12" s="26"/>
      <c r="N12" s="26"/>
      <c r="O12" s="25"/>
      <c r="P12" s="69" t="str">
        <f>IF(AND(E8=8,W14=1,D11=2),"Volume (V) :",IF(AND(E8=8,W14=1,D11=3),"Massa Zat(m) :",""))</f>
        <v>Volume (V) :</v>
      </c>
      <c r="Q12" s="217">
        <v>1</v>
      </c>
      <c r="R12" s="85" t="str">
        <f>IF(AND(E8=8,W14=1,D11=2),"L",IF(AND(E8=8,W14=1,D11=3),"kg",""))</f>
        <v>L</v>
      </c>
      <c r="S12" s="26"/>
      <c r="T12" s="26"/>
      <c r="U12" s="26"/>
      <c r="V12" s="36" t="s">
        <v>14</v>
      </c>
      <c r="W12" s="166" t="b">
        <v>1</v>
      </c>
      <c r="X12" s="29"/>
      <c r="Y12" s="20"/>
      <c r="Z12" s="20"/>
      <c r="AC12" s="376" t="str">
        <f>IF($W$14=1,"I","")</f>
        <v>I</v>
      </c>
      <c r="AD12" s="319" t="b">
        <v>1</v>
      </c>
      <c r="AE12" s="318" t="s">
        <v>670</v>
      </c>
      <c r="AF12" s="324" t="str">
        <f>IF(Elektrolisis!$AJ$6="Error",IF(AND(Elektrolisis!$W$14=1,Elektrolisis!$E$8&gt;=7,Elektrolisis!$R$20=TRUE,Elektrolisis!$C$12=TRUE),INDEX(REAKSI!$H$2:$H$172,MATCH(3,REAKSI!$B$2:$B$172,1)),IF(OR(Elektrolisis!$W$14&lt;&gt;1,Elektrolisis!$E$8&lt;7,Elektrolisis!$R$20=FALSE,Elektrolisis!$C$12=FALSE),INDEX(REAKSI!$L$2:$L$172,MATCH(3,REAKSI!$B$2:$B$172,1)))),IF(AND(Elektrolisis!$W$14=1,Elektrolisis!$E$8&gt;=7,Elektrolisis!$R$20=TRUE,Elektrolisis!$C$12=TRUE),INDEX(REAKSI!$H$2:$H$172,MATCH(Elektrolisis!$M$7,REAKSI!$B$2:$B$172,1)),IF(OR(Elektrolisis!$W$14&lt;&gt;1,Elektrolisis!$E$8&lt;7,Elektrolisis!$R$20=FALSE,Elektrolisis!$C$12=FALSE),INDEX(REAKSI!$L$2:$L$172,MATCH(Elektrolisis!$M$7,REAKSI!$B$2:$B$172,1)))))</f>
        <v>ZnCl2 (aq) → Zn2+(aq) + 2Cl-(aq)</v>
      </c>
      <c r="AG12" s="184" t="str">
        <f>IF(AND($E$8=8,$E$17&gt;=3,$W$14=1,$M$5=1,$D$11=2,$C$12=TRUE),IF(OR($AO$44="H2",$AO$44="O2"),"a) Volume"&amp;" "&amp;$AO$44&amp;" "&amp;"=","a) Massa"&amp;" "&amp;$AO$44&amp;" "&amp;"="),IF(AND($E$8=8,$E$17&gt;=3,$W$14=1,$D$11=3,$C$12=TRUE),"a) Massa"&amp;" "&amp;$AJ$29&amp;" "&amp;"=",""))</f>
        <v>a) Massa Zn =</v>
      </c>
      <c r="AH12" s="435">
        <f>IF($AJ$6="Error",$AM$44,IF(AND($AJ$6&lt;&gt;"error",$D$11=2,$C$12=TRUE),$AS$51,IF(AND($AJ$6&lt;&gt;"error",$D$11=3,$C$12=TRUE),$AS$50,"")))</f>
        <v>24.384032642487046</v>
      </c>
      <c r="AI12" s="339"/>
      <c r="AJ12" s="347">
        <f>IF(AND(E10&gt;=14,AD9=TRUE),IF(OR(M7=7,M7=8,M7=9,M7=10,M7=11,M7=12,M7=13,M7=14,M7=15,M7=16,M7=17,M7=18,M7=25,M7=26,M7=27,M7=28,M7=29,M7=30,M7=31,M7=32,M7=33,M7=34,M7=35,M7=36,M7=60,M7=61,M7=62,M7=63,M7=64,M7=65,M7=66,M7=67,M7=68,M7=69,M7=70,M7=71,M7=72,M7=73,M7=74,M7=75,M7=76,M7=77,M7=102,M7=103,M7=104,M7=105,M7=106,M7=107,M7=108,M7=109,M7=110,M7=111,M7=112,M7=113,M7=114,M7=115,M7=116,M7=118,M7=154,M7=155,M7=156,M7=157,M7=158,M7=159,M7=160,M7=161,M7=162,M7=163,M7=164,M7=165,M7=166,M7=167),5,IF(OR(M7=1,M7=2,M7=3,M7=4,M7=5,M7=6,M7=19,M7=20,M7=21,M7=22,M7=23,M7=24,M7=37,M7=38,M7=39,M7=40,M7=41,M7=42,M7=43,M7=44,M7=45,M7=46,M7=47,M7=48,M7=49,M7=50,M7=51,M7=52,M7=53,M7=54,M7=55,M7=56,M7=57,M7=58,M7=59,M7=78,M7=79,M7=80,M7=81,M7=83,M7=84,M7=85,M7=86,M7=87,M7=88,M7=89,M7=90,M7=91,M7=92,M7=93,M7=94,M7=95,M7=96,M7=97,M7=98,M7=99,M7=100,M7=101,M7=119,M7=120,M7=121,M7=122,M7=123,M7=124,M7=126,M7=127,M7=128,M7=129,M7=130,M7=131,M7=132,M7=133,M7=134,M7=135,M7=136,M7=137,M7=138,M7=139,M7=140,M7=141,M7=142,M7=143,M7=144,M7=145,M7=146,M7=168,M7=169,M7=170),6,0)),0)</f>
        <v>5</v>
      </c>
      <c r="AK12" s="356" t="str">
        <f>IF(OR(M7=7,M7=8,M7=9,M7=10,M7=11,M7=12,M7=13,M7=14,M7=15,M7=16,M7=17,M7=18,M7=25,M7=26,M7=27,M7=28,M7=29,M7=30,M7=31,M7=32,M7=33,M7=34,M7=35,M7=36,M7=37,M7=60,M7=61,M7=62,M7=63,M7=64,M7=65,M7=66,M7=67,M7=68,M7=69,M7=70,M7=71,M7=72,M7=73,M7=74,M7=75,M7=76,M7=77,M7=101,M7=102,M7=103,M7=104,M7=105,M7=106,M7=107,M7=108,M7=109,M7=110,M7=111,M7=112,M7=113,M7=114,M7=115,M7=116,M7=118,M7=154,M7=155,M7=156,M7=157,M7=158,M7=159,M7=160,M7=161,M7=162,M7=163,M7=164,M7=165,M7=166,M7=167),"W",IF(OR(M7=1,M7=2,M7=3,M7=4,M7=5,M7=6,M7=19,M7=20,M7=21,M7=22,M7=23,M7=24,M7=37,M7=38,M7=39,M7=40,M7=41,M7=42,M7=43,M7=44,M7=45,M7=46,M7=47,M7=48,M7=49,M7=50,M7=51,M7=52,M7=53,M7=54,M7=55,M7=56,M7=57,M7=58,M7=59,M7=78,M7=79,M7=80,M7=81,M7=83,M7=84,M7=85,M7=86,M7=87,M7=88,M7=89,M7=90,M7=91,M7=92,M7=93,M7=94,M7=95,M7=96,M7=97,M7=98,M7=99,M7=100,M7=101,M7=119,M7=120,M7=121,M7=122,M7=123,M7=124,M7=126,M7=127,M7=128,M7=129,M7=130,M7=131,M7=132,M7=133,M7=134,M7=135,M7=136,M7=137,M7=138,M7=139,M7=140,M7=141,M7=142,M7=143,M7=144,M7=145,M7=146,M7=168,M7=169,M7=170),"V",1))</f>
        <v>W</v>
      </c>
      <c r="AL12" s="143" t="str">
        <f>IF($W$14=1,IF(AND(E8&gt;=7,J4=2),"C",IF(AND(E8&gt;=7,J4=3),"Cu",IF(AND(E8&gt;=7,J4=4),"Ag",IF(AND(E8&gt;=7,J4=5),"Fe",IF(AND(E8&gt;=7,J4=6),"Co",IF(AND(E8&gt;=7,J4=7),"Ni",IF(AND(E8&gt;=7,J4=8),"Zn",IF(AND(E8&gt;=7,J4=9),"Sn",IF(AND(E8&gt;=7,J4=10),"Pb",IF(AND(E8&gt;=7,J4=11),"Cd","")))))))))),"")</f>
        <v>C</v>
      </c>
      <c r="AM12" s="143"/>
      <c r="AN12" s="211" t="str">
        <f t="shared" si="0"/>
        <v>NiSO4</v>
      </c>
      <c r="AO12" s="212" t="str">
        <f>IF($C$11=1,"CuSO4",IF($C$11=2,"AgNO3",IF($C$11=3,"FePO4",IF($C$11=4,"Co(NO3)2",IF($C$11=5,"NiSO4",IF($C$11=6,"ZnSO4",IF($C$11=7,"Sn(NO3)2")))))))</f>
        <v>NiSO4</v>
      </c>
      <c r="AP12" s="212" t="s">
        <v>52</v>
      </c>
      <c r="AQ12" s="209" t="str">
        <f>IF(OR($W$14=2,$E$8&lt;7),"","Pb")</f>
        <v>Pb</v>
      </c>
      <c r="AR12" s="35">
        <v>29</v>
      </c>
      <c r="AS12" s="144" t="s">
        <v>35</v>
      </c>
      <c r="AT12" s="33">
        <v>22</v>
      </c>
      <c r="AU12" s="145" t="s">
        <v>38</v>
      </c>
      <c r="AV12" s="31" t="s">
        <v>35</v>
      </c>
      <c r="AW12" s="26"/>
      <c r="AX12" s="26"/>
      <c r="AY12" s="29"/>
    </row>
    <row r="13" spans="1:54" ht="15.75" thickBot="1" x14ac:dyDescent="0.3">
      <c r="A13" s="107"/>
      <c r="B13" s="90"/>
      <c r="C13" s="107">
        <f>L7</f>
        <v>7</v>
      </c>
      <c r="E13" s="413"/>
      <c r="F13" s="39"/>
      <c r="G13" s="255" t="str">
        <f>IF(AND(W14=1,E8=8,E17&gt;=1,M5=1,C12=TRUE),"DIKETAHUI",IF(AND(W14=1,E8=8,E17&gt;=2,D11=3,C12=TRUE),"DIKETAHUI",""))</f>
        <v>DIKETAHUI</v>
      </c>
      <c r="H13" s="40" t="s">
        <v>14</v>
      </c>
      <c r="I13" s="188"/>
      <c r="J13" s="189"/>
      <c r="K13" s="409"/>
      <c r="L13" s="409"/>
      <c r="M13" s="36"/>
      <c r="N13" s="26"/>
      <c r="O13" s="25"/>
      <c r="P13" s="69" t="str">
        <f>IF(AND(E8=8,W14=1,D11=2),"Konsentrasi (M):","")</f>
        <v>Konsentrasi (M):</v>
      </c>
      <c r="Q13" s="217">
        <v>1</v>
      </c>
      <c r="R13" s="85" t="str">
        <f>IF(AND(E8=8,W14=1,D11=2),"mol/L","")</f>
        <v>mol/L</v>
      </c>
      <c r="S13" s="26"/>
      <c r="T13" s="26"/>
      <c r="U13" s="26"/>
      <c r="V13" s="36" t="s">
        <v>14</v>
      </c>
      <c r="W13" s="166" t="b">
        <v>0</v>
      </c>
      <c r="X13" s="29"/>
      <c r="Y13" s="20"/>
      <c r="Z13" s="20"/>
      <c r="AC13" s="377" t="s">
        <v>14</v>
      </c>
      <c r="AD13" s="319" t="b">
        <v>1</v>
      </c>
      <c r="AE13" s="318" t="s">
        <v>675</v>
      </c>
      <c r="AF13" s="324" t="str">
        <f>IF(AND(Elektrolisis!$W$14=1,Elektrolisis!$E$8&gt;=7,Elektrolisis!$R$23=TRUE),INDEX(REAKSI!$Z$3:$Z$172,MATCH(Elektrolisis!$M$7,REAKSI!$B$3:$B$172,1)),IF(OR(Elektrolisis!$W$14&lt;&gt;1,Elektrolisis!$E$8&lt;7,Elektrolisis!$R$23=FALSE),INDEX(REAKSI!$AH$3:$AH$172,MATCH(Elektrolisis!$M$7,REAKSI!$B$3:$B$172,1))))</f>
        <v>E0 H2O = -0,83 V</v>
      </c>
      <c r="AG13" s="331" t="str">
        <f>IF(AND($W$14=1,$E$8=8,$E$17&gt;=3,$M$5=1,$D$11=2,$C$12=TRUE,$AP$44="I2"),"b) Massa"&amp;" "&amp;$AP$44&amp;" "&amp;"=",IF(AND($W$14=1,$E$8=8,$E$17&gt;=3,$M$5=1,$D$11=2,$C$12=TRUE),IF(OR($AP$44="H2",$AP$44="O2",$AP$44="Br2",$AP$44="Cl2"),"b) Volume"&amp;" "&amp;$AP$44&amp;" "&amp;"=","b) Kons."&amp;" "&amp;$AP$44&amp;" "&amp;"="),IF(AND($E$8=8,$E$17&gt;=3,$W$14=1,$D$11=3,$C$12=TRUE),"b) Volume"&amp;" "&amp;$AJ$30&amp;" "&amp;"=","")))</f>
        <v>b) Volume Cl2 =</v>
      </c>
      <c r="AH13" s="435">
        <f>IF($AJ$6="Error",$AM$45,IF(AND($C$12=TRUE,$D$11=2),$AV$51,IF(AND($C$12=TRUE,$D$11=3),$AV$50,"")))</f>
        <v>8.3529948186528493</v>
      </c>
      <c r="AI13" s="339"/>
      <c r="AJ13" s="347">
        <f>IF(AND($E$10&gt;=15,AD10=TRUE),IF(OR(M7=1,M7=2,M7=3,M7=5,M7=6,M7=7,M7=8,M7=9,M7=10,M7=11,M7=12,M7=13,M7=14,M7=15,M7=16,M7=17,M7=18,M7=28,M7=29,M7=30,M7=31,M7=32,M7=33,M7=34,M7=35,M7=36,M7=37,M7=38,M7=39,M7=40,M7=42,M7=43,M7=44,M7=45,M7=46,M7=47,M7=48,M7=49,M7=50,M7=51,M7=52,M7=53,M7=54,M7=55,M7=56,M7=57,M7=58,M7=59,M7=60,M7=61,M7=62,M7=63,M7=64,M7=65,M7=66,M7=67,M7=68,M7=69,M7=70,M7=71,M7=72,M7=73,M7=74,M7=75,M7=76,M7=77),7,IF(OR(M7=4,M7=41),8,IF(OR(M7=19,M7=20,M7=21,M7=22,M7=23,M7=24,M7=25,M7=26,M7=27,M7=78,M7=79,M7=80,M7=81,M7=83,M7=84,M7=85,M7=86,M7=87,M7=88,M7=89,M7=90,M7=91,M7=92,M7=93,M7=94,M7=95,M7=96,M7=97,M7=98,M7=99,M7=100,M7=101,M7=102,M7=103,M7=104,M7=105,M7=106,M7=107,M7=108,M7=109,M7=110,M7=111,M7=112,M7=113,M7=114,M7=115,M7=116,M7=118,M7=119,M7=120,M7=121,M7=122,M7=123,M7=124,M7=126,M7=127,M7=128,M7=129,M7=130,M7=131,M7=132,M7=133,M7=134,M7=135,M7=136,M7=137,M7=138,M7=139,M7=140,M7=141,M7=142,M7=143,M7=144,M7=145,M7=146,M7=154,M7=155,M7=156,M7=157,M7=158,M7=159,M7=160,M7=161,M7=162,M7=163,M7=164,M7=165,M7=166,M7=167,M7=168,M7=169,M7=170),9,0))),0)</f>
        <v>0</v>
      </c>
      <c r="AK13" s="356" t="str">
        <f>IF(OR(M7=1,M7=2,M7=3,M7=5,M7=6,M7=7,M7=8,M7=9,M7=10,M7=11,M7=12,M7=13,M7=14,M7=15,M7=16,M7=17,M7=18,M7=26,M7=27,M7=28,M7=29,M7=30,M7=31,M7=32,M7=33,M7=34,M7=35,M7=36,M7=37,M7=38,M7=39,M7=40,M7=42,M7=43,M7=44,M7=45,M7=46,M7=47,M7=48,M7=49,M7=50,M7=51,M7=52,M7=53,M7=54,M7=55,M7=56,M7=57,M7=58,M7=59,M7=60,M7=61,M7=62,M7=63,M7=64,M7=65,M7=66,M7=67,M7=68,M7=69,M7=70,M7=71,M7=72,M7=73,M7=74,M7=75,M7=76,M7=77),"V",IF(OR(M7=4,M7=41),"w",IF(OR(M7=19,M7=20,M7=21,M7=22,M7=23,M7=24,M7=25,M7=26,M7=27,M7=78,M7=79,M7=80,M7=81,M7=83,M7=84,M7=85,M7=86,M7=87,M7=88,M7=89,M7=90,M7=91,M7=92,M7=93,M7=94,M7=95,M7=96,M7=97,M7=98,M7=99,M7=100,M7=102,M7=103,M7=104,M7=105,M7=106,M7=107,M7=108,M7=109,M7=110,M7=111,M7=112,M7=113,M7=114,M7=115,M7=116,M7=118,M7=119,M7=120,M7=121,M7=122,M7=123,M7=124,M7=126,M7=127,M7=128,M7=129,M7=130,M7=131,M7=132,M7=133,M7=134,M7=135,M7=136,M7=137,M7=138,M7=139,M7=140,M7=141,M7=142,M7=143,M7=144,M7=145,M7=146,M7=154,M7=155,M7=156,M7=157,M7=158,M7=159,M7=160,M7=161,M7=162,M7=163,M7=164,M7=165,M7=166,M7=167,M7=168,M7=169,M7=170),"M",1)))</f>
        <v>V</v>
      </c>
      <c r="AL13" s="316" t="str">
        <f>IF(AND(W14=1,E8&gt;=7),"SAMPEL","")</f>
        <v>SAMPEL</v>
      </c>
      <c r="AM13" s="46"/>
      <c r="AN13" s="211" t="str">
        <f t="shared" si="0"/>
        <v>Sn(OH)2</v>
      </c>
      <c r="AO13" s="213" t="str">
        <f>IF($C$11=1,"Cu(OH)2",IF($C$11=2,"Co(OH)2",IF($C$11=3,"Ni(OH)2",IF($C$11=4,"Zn(OH)2",IF($C$11=5,"Sn(OH)2",IF($C$11=6,"Pb(OH)2",IF($C$11=7,"Cd(OH)2")))))))</f>
        <v>Sn(OH)2</v>
      </c>
      <c r="AP13" s="213" t="s">
        <v>11</v>
      </c>
      <c r="AQ13" s="210" t="str">
        <f>IF(OR($W$14=2,$E$8&lt;7),"","Cd")</f>
        <v>Cd</v>
      </c>
      <c r="AR13" s="35">
        <v>30</v>
      </c>
      <c r="AS13" s="144" t="s">
        <v>35</v>
      </c>
      <c r="AT13" s="33">
        <v>23</v>
      </c>
      <c r="AU13" s="145" t="s">
        <v>38</v>
      </c>
      <c r="AV13" s="31"/>
      <c r="AW13" s="26"/>
      <c r="AX13" s="26"/>
      <c r="AY13" s="29"/>
    </row>
    <row r="14" spans="1:54" ht="15.75" thickBot="1" x14ac:dyDescent="0.3">
      <c r="A14" s="113"/>
      <c r="B14" s="90"/>
      <c r="C14" s="91"/>
      <c r="D14" s="245">
        <f>(M6+9*M5+9*2*M3)-27</f>
        <v>7</v>
      </c>
      <c r="E14" s="413"/>
      <c r="F14" s="25"/>
      <c r="G14" s="248"/>
      <c r="H14" s="248"/>
      <c r="I14" s="249"/>
      <c r="J14" s="283" t="str">
        <f>IF(AND($E$8=8,W14=1,J5=1,$E$17&gt;=1,D11=2,C12=TRUE,AD4=TRUE),"Ar_"&amp;" "&amp;AO44&amp;"="&amp;" "&amp;AS44,IF(AND($E$8=8,W14=1,$E$17&gt;=1,D11=3,C12=TRUE,AD4=TRUE),"Ar_"&amp;" "&amp;AO44&amp;" "&amp;"  =  "&amp;""&amp;AS44,""))</f>
        <v>Ar_ Zn= 65.39</v>
      </c>
      <c r="K14" s="287" t="str">
        <f>IF(AND($E$8=8,W14=1,J5=1,$E$17&gt;=1,D11=2,C12=TRUE),"Kons :",IF(AND($E$8=8,W14=1,$E$17&gt;=1,D11=3,C12=TRUE),"Mr "&amp;AO15&amp;" =",""))</f>
        <v>Kons :</v>
      </c>
      <c r="L14" s="393">
        <f>IFERROR(IF(AND($E$8=8,J5=1,$E$17&gt;=1,C12=TRUE,AD5=TRUE),AH4*AH5,IF(AND($E$8=8,W14=1,$E$17&gt;=1,D11=3,C12=TRUE,AD5=TRUE),$AJ$27,"")),"")</f>
        <v>1</v>
      </c>
      <c r="M14" s="248" t="str">
        <f>IF(AND($E$8=8,W14=1,J5=1,$E$17&gt;=1,C12=TRUE,AD5=TRUE),"mol","")</f>
        <v>mol</v>
      </c>
      <c r="N14" s="26"/>
      <c r="O14" s="25"/>
      <c r="P14" s="69" t="str">
        <f>IF(AND(E8=8,W14=1),"Kuat Arus (i) :","")</f>
        <v>Kuat Arus (i) :</v>
      </c>
      <c r="Q14" s="218">
        <v>10</v>
      </c>
      <c r="R14" s="85" t="str">
        <f>IF(AND(E8=8,W14=1),"A","")</f>
        <v>A</v>
      </c>
      <c r="S14" s="26"/>
      <c r="T14" s="26"/>
      <c r="U14" s="26"/>
      <c r="V14" s="26"/>
      <c r="W14" s="27">
        <f>IF(AND(W12=TRUE,W13=FALSE),1,IF(AND(W12=FALSE,W13=TRUE),2,IF(AND(W12=TRUE,W13=TRUE),3,0)))</f>
        <v>1</v>
      </c>
      <c r="X14" s="29"/>
      <c r="Y14" s="20"/>
      <c r="Z14" s="20"/>
      <c r="AC14" s="377"/>
      <c r="AD14" s="319" t="b">
        <v>1</v>
      </c>
      <c r="AE14" s="318" t="s">
        <v>676</v>
      </c>
      <c r="AF14" s="325" t="str">
        <f>IF(Elektrolisis!$AJ$6="Error",IF(AND(Elektrolisis!$W$14=1,Elektrolisis!$E$8&gt;=7,Elektrolisis!$R$23=TRUE),INDEX(REAKSI!$AA$3:$AA$172,MATCH(3,REAKSI!$B$3:$B$172,1)),IF(OR(Elektrolisis!$W$14&lt;&gt;1,Elektrolisis!$E$8&lt;7,Elektrolisis!$R$23=FALSE),INDEX(REAKSI!$AH$3:$AH$172,MATCH(3,REAKSI!$B$3:$B$172,1)))),IF(AND(Elektrolisis!$W$14=1,Elektrolisis!$E$8&gt;=7,Elektrolisis!$R$23=TRUE),INDEX(REAKSI!$AA$3:$AA$172,MATCH(Elektrolisis!$M$7,REAKSI!$B$3:$B$172,1)),IF(OR(Elektrolisis!$W$14&lt;&gt;1,Elektrolisis!$E$8&lt;7,Elektrolisis!$R$23=FALSE),INDEX(REAKSI!$AH$3:$AH$172,MATCH(Elektrolisis!$M$7,REAKSI!$B$3:$B$172,1)))))</f>
        <v>E0 Zn2+ = -0,76 V</v>
      </c>
      <c r="AG14" s="184" t="str">
        <f>IF(AND($W$14=1,$E$8=8,$E$15=3,$M$5=1,$D$11=2,$C$12=TRUE),"c) Waktu maks  =",IF(AND($W$14=1,$E$8=8,$E$15=3,$D$11=3,$C$12=TRUE),"c) Waktu maks  =",""))</f>
        <v>c) Waktu maks  =</v>
      </c>
      <c r="AH14" s="332">
        <f>IF($C$12=TRUE,IF($D$11=2,$AN$51,IF($D$11=3,$AN$50,"")),"")</f>
        <v>19300</v>
      </c>
      <c r="AI14" s="340"/>
      <c r="AJ14" s="370">
        <f>IF(AND($E$10=16,$AD$11=TRUE),10,0)</f>
        <v>0</v>
      </c>
      <c r="AK14" s="356"/>
      <c r="AL14" s="26" t="s">
        <v>0</v>
      </c>
      <c r="AM14" s="26" t="s">
        <v>20</v>
      </c>
      <c r="AN14" s="163" t="str">
        <f>IF(AND(W14=1,E8&gt;=7),"NOMOR PERCOBAAN →","")</f>
        <v>NOMOR PERCOBAAN →</v>
      </c>
      <c r="AO14" s="26"/>
      <c r="AP14" s="26"/>
      <c r="AQ14" s="26"/>
      <c r="AR14" s="146">
        <v>31</v>
      </c>
      <c r="AS14" s="147" t="s">
        <v>35</v>
      </c>
      <c r="AT14" s="33">
        <v>24</v>
      </c>
      <c r="AU14" s="145" t="s">
        <v>38</v>
      </c>
      <c r="AV14" s="31"/>
      <c r="AW14" s="26"/>
      <c r="AX14" s="26"/>
      <c r="AY14" s="29"/>
    </row>
    <row r="15" spans="1:54" ht="15.75" x14ac:dyDescent="0.25">
      <c r="A15" s="113"/>
      <c r="B15" s="90"/>
      <c r="C15" s="91"/>
      <c r="D15" s="269">
        <f>M6</f>
        <v>7</v>
      </c>
      <c r="E15" s="266">
        <f>E17</f>
        <v>3</v>
      </c>
      <c r="F15" s="25"/>
      <c r="G15" s="248"/>
      <c r="H15" s="248"/>
      <c r="I15" s="249"/>
      <c r="J15" s="283" t="str">
        <f>IF(AND($E$8=8,W14=1,J5=1,$E$17&gt;=1,D11=2,C12=TRUE,AD4=TRUE),"n_"&amp;" "&amp;AO44&amp;"="&amp;" "&amp;AO45,IF(AND($E$8=8,W14=1,$E$17&gt;=1,D11=3,C12=TRUE,AD4=TRUE),"n_"&amp;" "&amp;AO44&amp;" = "&amp;" "&amp;AO45,""))</f>
        <v>n_ Zn= 2</v>
      </c>
      <c r="K15" s="287" t="str">
        <f>IF(AND($E$8=8,W14=1,J5=1,$E$17&gt;=1,D11=2,C12=TRUE),"muatan :",IF(AND($E$8=8,W14=1,$E$17&gt;=1,D11=3,C12=TRUE),"muatan :",""))</f>
        <v>muatan :</v>
      </c>
      <c r="L15" s="394">
        <f>IFERROR(IF(AND($E$8=8,$E$17&gt;=1,C12=TRUE,AD6=TRUE),AH6*AH7,""),"")</f>
        <v>71970</v>
      </c>
      <c r="M15" s="248" t="str">
        <f>IF(AND(E8=8,W14=1,E17&gt;=1,M5=1,D11=2,C12=TRUE,AD6=TRUE),"C",IF(AND(E8=8,W14=1,E17&gt;=1,D11=3,C12=TRUE,AD6=TRUE),"C",""))</f>
        <v>C</v>
      </c>
      <c r="N15" s="26"/>
      <c r="O15" s="25"/>
      <c r="P15" s="69" t="str">
        <f>IF(AND(E8=8,W14=1),"Waktu (t):","")</f>
        <v>Waktu (t):</v>
      </c>
      <c r="Q15" s="219">
        <v>7197</v>
      </c>
      <c r="R15" s="85" t="str">
        <f>IF(AND(E8=8,W14=1),"s","")</f>
        <v>s</v>
      </c>
      <c r="S15" s="26"/>
      <c r="T15" s="26"/>
      <c r="U15" s="26"/>
      <c r="V15" s="26"/>
      <c r="W15" s="29"/>
      <c r="X15" s="29"/>
      <c r="Y15" s="20"/>
      <c r="Z15" s="20"/>
      <c r="AC15" s="377"/>
      <c r="AD15" s="319" t="b">
        <v>1</v>
      </c>
      <c r="AE15" s="318" t="s">
        <v>671</v>
      </c>
      <c r="AF15" s="325" t="str">
        <f>IF(Elektrolisis!$AJ$6="Error",IF(AND(Elektrolisis!$W$14=1,Elektrolisis!$E$8&gt;=7,Elektrolisis!$R$23=TRUE,Elektrolisis!$C$12=TRUE),INDEX(REAKSI!$J$2:$J$172,MATCH(3,REAKSI!$B$2:$B$172,1)),IF(OR(Elektrolisis!$W$14&lt;&gt;1,Elektrolisis!$E$8&lt;7,Elektrolisis!$R$23=FALSE,Elektrolisis!$C$12=FALSE),INDEX(REAKSI!$L$2:$L$172,MATCH(3,REAKSI!$B$2:$B$172,1)))),IF(AND(Elektrolisis!$W$14=1,Elektrolisis!$E$8&gt;=7,Elektrolisis!$R$23=TRUE,Elektrolisis!$C$12=TRUE),INDEX(REAKSI!$J$2:$J$172,MATCH(Elektrolisis!$M$7,REAKSI!$B$2:$B$172,1)),IF(OR(Elektrolisis!$W$14&lt;&gt;1,Elektrolisis!$E$8&lt;7,Elektrolisis!$R$23=FALSE,Elektrolisis!$C$12=FALSE),INDEX(REAKSI!$L$2:$L$172,MATCH(Elektrolisis!$M$7,REAKSI!$B$2:$B$172,1)))))</f>
        <v>Zn2+(aq) + 2e  → Zn(s)</v>
      </c>
      <c r="AG15" s="184" t="str">
        <f>IF(AND($W$14=1,$E$8=8,$E$15=3,$M$5=1,$D$11=2,$C$12=TRUE),"d) Quantitas =",IF(AND($W$14=1,$E$8=8,$E$15=3,$D$11=3,$C$12=TRUE),"d) Quantitas =",""))</f>
        <v>d) Quantitas =</v>
      </c>
      <c r="AH15" s="333">
        <f>IF($C$12=FALSE,"",IF($D$11=2,$AQ$51,IF($D$11=3,$AQ$50,"")))</f>
        <v>0.33880829015544039</v>
      </c>
      <c r="AI15" s="341"/>
      <c r="AJ15" s="370">
        <f>IF(AND($E$10=17,$AD$12=TRUE),11,0)</f>
        <v>0</v>
      </c>
      <c r="AK15" s="356"/>
      <c r="AL15" s="26" t="str">
        <f>IF($M$3=1,"C",IF($M$3=2,"Cu",""))</f>
        <v>C</v>
      </c>
      <c r="AM15" s="163" t="str">
        <f>IF(AND(W14=1,$E$8&gt;=7),IF($C$12=TRUE,IF(AND($M$5=1,$M$6=1),"HF",IF(AND($M$5=1,$M$6=2),"H2SO4",IF(AND($M$5=1,$M$6=4),"KI",IF(AND($M$5=1,$M$6=5),"Na2SO4",IF(AND($M$5=1,$M$6=6),"NaOH",IF(AND($M$5=1,$M$6=7),"CuCl2",IF(AND($M$5=1,$M$6=8),"CuSO4",IF(AND($M$5=1,$M$6=9),"Cu(OH)2","")))))))),""),"")</f>
        <v>CuCl2</v>
      </c>
      <c r="AN15" s="148">
        <f>IF(J14="","x",Q12)</f>
        <v>1</v>
      </c>
      <c r="AO15" s="142" t="str">
        <f>AM7</f>
        <v>ZnCl2</v>
      </c>
      <c r="AP15" s="155" t="str">
        <f>IF($W$14=1,"A","")</f>
        <v>A</v>
      </c>
      <c r="AQ15" s="26"/>
      <c r="AR15" s="138">
        <v>19</v>
      </c>
      <c r="AS15" s="140" t="s">
        <v>37</v>
      </c>
      <c r="AT15" s="141">
        <v>16</v>
      </c>
      <c r="AU15" s="142" t="s">
        <v>51</v>
      </c>
      <c r="AV15" s="31"/>
      <c r="AW15" s="26"/>
      <c r="AX15" s="26"/>
      <c r="AY15" s="29"/>
    </row>
    <row r="16" spans="1:54" ht="15.75" x14ac:dyDescent="0.25">
      <c r="A16" s="107" t="str">
        <f>IF(AND($E$8=8,$C$12=TRUE,$AT$51=1,$AW$50&gt;0,(D9-1)*(J4-1)*(D11-1)*(D10-1)&gt;0,E15=0,OR(AD12=TRUE,AD9=TRUE,AD10=TRUE,AD15=TRUE,AD13=TRUE,AD11=TRUE,AD14=TRUE,AD16=TRUE)),"→","")</f>
        <v/>
      </c>
      <c r="B16" s="90"/>
      <c r="C16" s="170" t="b">
        <v>1</v>
      </c>
      <c r="D16" s="269">
        <f>M5</f>
        <v>1</v>
      </c>
      <c r="E16" s="42"/>
      <c r="F16" s="25"/>
      <c r="G16" s="248"/>
      <c r="H16" s="248"/>
      <c r="I16" s="251"/>
      <c r="J16" s="284" t="str">
        <f>IF(AND($E$8=8,W14=1,J5=1,$E$17&gt;=1,D11=2,C12=TRUE,AD4=TRUE),"Ar_"&amp;" "&amp;AP44&amp;"="&amp;" "&amp;AT44,IF(AND($E$8=8,W14=1,$E$17&gt;=1,D11=3,C12=TRUE,AD4=TRUE),"Ar_"&amp;" "&amp;AP44&amp;"="&amp;" "&amp;AT44,""))</f>
        <v>Ar_ Cl2= 71</v>
      </c>
      <c r="K16" s="286" t="str">
        <f>IF(AND($E$8=8,W14=1,J5=1,$E$17&gt;=1,D11=2,C12=TRUE),"muatan:",IF(AND($E$8=8,W14=1,D11=3,$E$17&gt;=1,C12=TRUE),"muatan:",""))</f>
        <v>muatan:</v>
      </c>
      <c r="L16" s="253">
        <f>IFERROR(IF(AND($E$8=8,$E$17&gt;=1,C12=TRUE,AD7=TRUE),L15/96500,""),"")</f>
        <v>0.74580310880829015</v>
      </c>
      <c r="M16" s="248" t="str">
        <f>IF(AND(E8=8,W14=1,E17&gt;=1,M5=1,D11=2,C12=TRUE,AD7=TRUE),"F",IF(AND(E8=8,W14=1,E17&gt;=1,D11=3,C12=TRUE,AD7=TRUE),"F",""))</f>
        <v>F</v>
      </c>
      <c r="N16" s="26"/>
      <c r="O16" s="25"/>
      <c r="P16" s="26"/>
      <c r="Q16" s="31"/>
      <c r="R16" s="26"/>
      <c r="S16" s="26"/>
      <c r="T16" s="26"/>
      <c r="U16" s="26"/>
      <c r="V16" s="26"/>
      <c r="W16" s="29"/>
      <c r="X16" s="29"/>
      <c r="Y16" s="20"/>
      <c r="Z16" s="20"/>
      <c r="AC16" s="377"/>
      <c r="AD16" s="319" t="b">
        <v>1</v>
      </c>
      <c r="AE16" s="318" t="s">
        <v>269</v>
      </c>
      <c r="AF16" s="325" t="str">
        <f>IF(Elektrolisis!$AJ$6="Error",IF(AND(Elektrolisis!$W$14=1,Elektrolisis!$E$8&gt;=7,Elektrolisis!$R$23=TRUE),INDEX(REAKSI!$AE$3:$AE$172,MATCH(3,REAKSI!$B$3:$B$172,1)),IF(OR(Elektrolisis!$W$14&lt;&gt;1,Elektrolisis!$E$8&lt;7,Elektrolisis!$R$23=FALSE),INDEX(REAKSI!$AG$3:$AG$172,MATCH(3,REAKSI!$B$3:$B$172,1)))),IF(AND(Elektrolisis!$W$14=1,Elektrolisis!$E$8&gt;=7,Elektrolisis!$R$23=TRUE),INDEX(REAKSI!$AE$3:$AE$172,MATCH(Elektrolisis!$M$7,REAKSI!$B$3:$B$172,1)),IF(OR(Elektrolisis!$W$14&lt;&gt;1,Elektrolisis!$E$8&lt;7,Elektrolisis!$R$23=FALSE),INDEX(REAKSI!$AG$3:$AG$172,MATCH(Elektrolisis!$L$7,REAKSI!$B$3:$B$172,1)))))</f>
        <v>Zn2+</v>
      </c>
      <c r="AG16" s="184" t="str">
        <f>IF(AND($W$14=1,$E$8=8,$E$15=3,$M$5=1,$D$11=2,$C$12=TRUE),"e) r_katoda"&amp;" "&amp;$AO$44&amp;"=",IF(AND($W$14=1,$E$8=8,$E$15=3,$D$11=3,$C$12=TRUE),"d) r_katoda"&amp;" "&amp;$AO$44&amp;"=",""))</f>
        <v>e) r_katoda Zn=</v>
      </c>
      <c r="AH16" s="334">
        <f>IF($C$12=TRUE,IF($D$11=2,$AU$51,IF($D$11=3,$AU$50,"")),"")</f>
        <v>5.1813471502590674E-5</v>
      </c>
      <c r="AI16" s="342"/>
      <c r="AJ16" s="370">
        <f>IF(AND($E$10&gt;=18,$AD$13=TRUE),12,0)</f>
        <v>0</v>
      </c>
      <c r="AK16" s="356"/>
      <c r="AL16" s="26" t="str">
        <f>IF($M$3=1,"Au",IF($M$3=2,"Ag",""))</f>
        <v>Au</v>
      </c>
      <c r="AM16" s="163" t="str">
        <f>IF(AND(W14=1,$E$8&gt;=7),IF($C$12=TRUE,IF(AND($M$5=1,$M$6=1),"HCl",IF(AND($M$5=1,$M$6=2),"HNO3",IF(AND($M$5=1,$M$6=4),"KCl",IF(AND($M$5=1,$M$6=5),"KNO3",IF(AND($M$5=1,$M$6=6),"KOH",IF(AND($M$5=1,$M$6=7),"AgCl",IF(AND($M$5=1,$M$6=8),"AgNO3",IF(AND($M$5=1,$M$6=9),"Co(OH)2","")))))))),""),"")</f>
        <v>AgCl</v>
      </c>
      <c r="AN16" s="149">
        <f>IF(J15="","x",Q13)</f>
        <v>1</v>
      </c>
      <c r="AO16" s="145" t="str">
        <f>AL11</f>
        <v>C</v>
      </c>
      <c r="AQ16" s="26"/>
      <c r="AR16" s="35">
        <v>20</v>
      </c>
      <c r="AS16" s="144" t="s">
        <v>37</v>
      </c>
      <c r="AT16" s="33">
        <v>34</v>
      </c>
      <c r="AU16" s="145" t="s">
        <v>51</v>
      </c>
      <c r="AV16" s="31"/>
      <c r="AW16" s="26"/>
      <c r="AX16" s="26"/>
      <c r="AY16" s="29"/>
    </row>
    <row r="17" spans="1:53" ht="15.75" x14ac:dyDescent="0.25">
      <c r="A17" s="107"/>
      <c r="C17" s="20" t="b">
        <v>1</v>
      </c>
      <c r="D17" s="269">
        <f>M3</f>
        <v>1</v>
      </c>
      <c r="E17" s="38">
        <f>IF(AND($C$16=TRUE,$C$17=FALSE,$C$18=FALSE),1,IF(AND($C$17=TRUE,$C$18=FALSE),2,IF($C$18=TRUE,3,0)))</f>
        <v>3</v>
      </c>
      <c r="F17" s="25"/>
      <c r="G17" s="248"/>
      <c r="H17" s="248"/>
      <c r="I17" s="250"/>
      <c r="J17" s="285" t="str">
        <f>IF(AND($E$8=8,W14=1,J5=1,$E$17&gt;=1,D11=2,C12=TRUE,AD4=TRUE),"n_"&amp;" "&amp;AP44&amp;"="&amp;" "&amp;AP45,IF(AND($E$8=8,W14=1,$E$17&gt;=1,D11=3,C12=TRUE,AD4=TRUE),"n_"&amp;" "&amp;AP44&amp;"="&amp;" "&amp;AP45,""))</f>
        <v>n_ Cl2= 2</v>
      </c>
      <c r="K17" s="288" t="str">
        <f>IF(AND($E$8=8,W14=1,J5=1,$E$17&gt;=1,D11=2,C12=TRUE),"ACCU:",IF(AND($E$8=8,W14=1,D11=3,$E$17&gt;=1,C12=TRUE),"ACCU:",""))</f>
        <v>ACCU:</v>
      </c>
      <c r="L17" s="253">
        <f>IF(AND($E$8=8,$E$17&gt;=1,$W$14=1,Q12*Q13&gt;0,$D$11=2,$C$12=TRUE,AD8=TRUE),(40*3600)/96500,IF(AND($E$8=8,$E$17&gt;=1,W14=1,Q12&gt;0,D11=3,C12=TRUE,AD8=TRUE),(40*3600)/96500,""))</f>
        <v>1.4922279792746114</v>
      </c>
      <c r="M17" s="252" t="str">
        <f>IF(AND(E8=8,W14=1,E17&gt;=1,M5=1,D11=2,C12=TRUE,AD8=TRUE),"F",IF(AND(E8=8,W14=1,E17&gt;=1,D11=3,C12=TRUE,AD8=TRUE),"F",""))</f>
        <v>F</v>
      </c>
      <c r="N17" s="26"/>
      <c r="O17" s="25"/>
      <c r="P17" s="26"/>
      <c r="Q17" s="155"/>
      <c r="R17" s="26"/>
      <c r="S17" s="26"/>
      <c r="T17" s="26"/>
      <c r="U17" s="26"/>
      <c r="V17" s="26"/>
      <c r="W17" s="29"/>
      <c r="X17" s="29"/>
      <c r="Y17" s="20"/>
      <c r="Z17" s="20"/>
      <c r="AC17" s="377"/>
      <c r="AD17" s="205"/>
      <c r="AE17" s="318" t="s">
        <v>270</v>
      </c>
      <c r="AF17" s="325" t="str">
        <f>IF(Elektrolisis!$AJ$6="Error",IF(AND(Elektrolisis!$W$14=1,Elektrolisis!$E$8&gt;=7,Elektrolisis!$R$23=TRUE),INDEX(REAKSI!$AF$3:$AF$172,MATCH(3,REAKSI!$B$3:$B$172,1)),IF(OR(Elektrolisis!$W$14&lt;&gt;1,Elektrolisis!$E$8&lt;7,Elektrolisis!$R$23=FALSE),INDEX(REAKSI!$AG$3:$AG$172,MATCH(3,REAKSI!$B$3:$B$172,1)))),IF(AND(Elektrolisis!$W$14=1,Elektrolisis!$E$8&gt;=7,Elektrolisis!$R$23=TRUE),INDEX(REAKSI!$AF$3:$AF$172,MATCH(Elektrolisis!$M$7,REAKSI!$B$3:$B$172,1)),IF(OR(Elektrolisis!$W$14&lt;&gt;1,Elektrolisis!$E$8&lt;7,Elektrolisis!$R$23=FALSE),INDEX(REAKSI!$AG$3:$AG$172,MATCH(Elektrolisis!$M$7,REAKSI!$B$3:$B$172,1)))))</f>
        <v>Zn</v>
      </c>
      <c r="AG17" s="184" t="str">
        <f>IF(AND($W$14=1,$E$8=8,$E$15=3,$M$5=1,$D$11=2,$C$12=TRUE),"f) r_anoda"&amp;" "&amp;$AP$44&amp;"=",IF(AND($W$14=1,$E$8=8,$E$15=3,$D$11=3,$C$12=TRUE),"e) r_anoda"&amp;" "&amp;$AP$44&amp;"=",""))</f>
        <v>f) r_anoda Cl2=</v>
      </c>
      <c r="AH17" s="334">
        <f>IF($C$12=TRUE,IF($D$11=2,$AP$51,IF($D$11=3,$AP$50,"")),"")</f>
        <v>5.1813471502590674E-5</v>
      </c>
      <c r="AI17" s="342"/>
      <c r="AJ17" s="370">
        <f>IF(AND($E$10=19,$AD$14=TRUE),13,0)</f>
        <v>0</v>
      </c>
      <c r="AK17" s="356"/>
      <c r="AL17" s="26" t="str">
        <f>IF($M$3=1,"Pt",IF($M$3=2,"Ni",""))</f>
        <v>Pt</v>
      </c>
      <c r="AM17" s="163" t="str">
        <f>IF(AND(W14=1,$E$8&gt;=7),IF($C$12=TRUE,IF(AND($M$5=1,$M$6=1),"HBr",IF(AND($M$5=1,$M$6=2),"H3PO4",IF(AND($M$5=1,$M$6=4),"NaBr",IF(AND($M$5=1,$M$6=5),"Na3PO4",IF(AND($M$5=1,$M$6=6),"Ca(OH)2",IF(AND($M$5=1,$M$6=7),"NiBr2",IF(AND($M$5=1,$M$6=8),"FePO4",IF(AND($M$5=1,$M$6=9),"Ni(OH)2","")))))))),""),"")</f>
        <v>NiBr2</v>
      </c>
      <c r="AN17" s="149">
        <f>IF(J16="","x",Q15)</f>
        <v>7197</v>
      </c>
      <c r="AO17" s="145" t="str">
        <f>AL12</f>
        <v>C</v>
      </c>
      <c r="AQ17" s="26"/>
      <c r="AR17" s="35">
        <v>22</v>
      </c>
      <c r="AS17" s="144" t="s">
        <v>37</v>
      </c>
      <c r="AT17" s="33">
        <v>12</v>
      </c>
      <c r="AU17" s="145" t="s">
        <v>49</v>
      </c>
      <c r="AV17" s="31" t="s">
        <v>38</v>
      </c>
      <c r="AW17" s="26"/>
      <c r="AX17" s="26"/>
      <c r="AY17" s="29"/>
    </row>
    <row r="18" spans="1:53" ht="15.75" thickBot="1" x14ac:dyDescent="0.3">
      <c r="A18" s="107" t="str">
        <f>IF(AND($E$8=8,$AT$51=1,$AW$50&gt;0,(D9-1)*(J4-1)*(D11-1)*(D10-1)&gt;0,E15=2,OR(AD12=TRUE,AD9=TRUE,AD10=TRUE,AD15=TRUE,AD13=TRUE,AD11=TRUE,AD14=TRUE,AD16=TRUE)),"→","")</f>
        <v/>
      </c>
      <c r="C18" s="20" t="b">
        <v>1</v>
      </c>
      <c r="D18" s="41"/>
      <c r="E18" s="42"/>
      <c r="F18" s="25"/>
      <c r="G18" s="255" t="str">
        <f>IF(AND(W14=1,E8=8,E17&gt;=2,M5=1,D11=2,C12=TRUE),"PERTANYAAN",IF(AND(W14=1,E8=8,E17&gt;=2,D11=3,C12=TRUE),"PERTANYAAN",""))</f>
        <v>PERTANYAAN</v>
      </c>
      <c r="H18" s="40"/>
      <c r="I18" s="427" t="str">
        <f>IF(AND(W14=1,E8=8,E17&gt;=3,M5=1,D11=2,C12=TRUE),"DAN JAWABAN",IF(AND(W14=1,E8=8,E17&gt;=3,D11=3,C12=TRUE),"DAN JAWABAN",""))</f>
        <v>DAN JAWABAN</v>
      </c>
      <c r="J18" s="427"/>
      <c r="K18" s="175" t="s">
        <v>14</v>
      </c>
      <c r="L18" s="176" t="s">
        <v>14</v>
      </c>
      <c r="M18" s="40"/>
      <c r="N18" s="26"/>
      <c r="O18" s="45"/>
      <c r="P18" s="46"/>
      <c r="Q18" s="46"/>
      <c r="R18" s="46"/>
      <c r="S18" s="46"/>
      <c r="T18" s="46"/>
      <c r="U18" s="46"/>
      <c r="V18" s="46"/>
      <c r="W18" s="47"/>
      <c r="X18" s="29"/>
      <c r="Y18" s="20"/>
      <c r="Z18" s="20"/>
      <c r="AC18" s="377"/>
      <c r="AD18" s="205"/>
      <c r="AE18" s="318" t="s">
        <v>271</v>
      </c>
      <c r="AF18" s="325">
        <f>IF(AND(Elektrolisis!$W$14=1,Elektrolisis!$E$8&gt;=7,Elektrolisis!$R$22=TRUE),INDEX(REAKSI!$AM$2:$AM$172,MATCH(Elektrolisis!$M$7,REAKSI!$B$2:$B$172,1)),IF(OR(Elektrolisis!$W$14&lt;&gt;1,Elektrolisis!$E$8&lt;7,Elektrolisis!$R$22=FALSE),INDEX(REAKSI!$AK$2:$AK$172,MATCH(Elektrolisis!$M$7,REAKSI!$B$2:$B$172,1))))</f>
        <v>0</v>
      </c>
      <c r="AG18" s="184" t="str">
        <f>IF(AND($W$14=1,$C$18=TRUE,$E$8=8,$D$11=2,$C$12=TRUE),$AW$45&amp;$AY$45,"")</f>
        <v>g) Kw =</v>
      </c>
      <c r="AH18" s="335">
        <f>IFERROR(IF(AND($W$14=1,$E$8=8,$C$18=TRUE,$Q$12*$Q$13&gt;0,$AD$15=TRUE,$D$11=2,$C$12=TRUE),IF(AND($W$14=1,$AJ$6&lt;&gt;"optimum",$AW$48=1,$AJ$6&lt;&gt;"error"),($Q$14*$Q$15)/(96500*$AO$45),IF(AND($W$14=1,$AJ$6&lt;&gt;"optimum",$AW$48=2,$AJ$6&lt;&gt;"error",$C$12=TRUE),($Q$14*$Q$15)/(96500*$AO$45),IF(OR($W$14=1,$AJ$6="error",$AJ$6="optimum",$AW$48=0,$C$12=TRUE),0.00000000000001))),""),"")</f>
        <v>1E-14</v>
      </c>
      <c r="AI18" s="343"/>
      <c r="AJ18" s="347">
        <f>IF(AND($E$10&gt;=20,$AD$15=TRUE),14,0)</f>
        <v>0</v>
      </c>
      <c r="AK18" s="356"/>
      <c r="AL18" s="26" t="str">
        <f>IF($M$3=1,"",IF($M$3=2,"Fe",""))</f>
        <v/>
      </c>
      <c r="AM18" s="163" t="str">
        <f>IF(AND(W14=1,$E$8&gt;=7),IF($C$12=TRUE,IF(AND($M$5=1,$M$6=1),"HI",IF(AND($M$5=1,$M$6=4),"NaCl",IF(AND($M$5=1,$M$6=5),"Ca(NO3)2",IF(AND($M$5=1,$M$6=6),"Sr(OH)2",IF(AND($M$5=1,$M$6=7),"CuI2",IF(AND($M$5=1,$M$6=8),"Co(NO3)2",IF(AND($M$5=1,$M$6=9),"Zn(OH)2",""))))))),""),"")</f>
        <v>CuI2</v>
      </c>
      <c r="AN18" s="149">
        <f>IF(J15="","x",Q14)</f>
        <v>10</v>
      </c>
      <c r="AO18" s="145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/>
      </c>
      <c r="AQ18" s="26"/>
      <c r="AR18" s="35">
        <v>23</v>
      </c>
      <c r="AS18" s="144" t="s">
        <v>37</v>
      </c>
      <c r="AT18" s="33">
        <v>30</v>
      </c>
      <c r="AU18" s="145" t="s">
        <v>49</v>
      </c>
      <c r="AV18" s="31"/>
      <c r="AW18" s="26"/>
      <c r="AX18" s="26"/>
      <c r="AY18" s="29"/>
    </row>
    <row r="19" spans="1:53" ht="17.100000000000001" customHeight="1" thickBot="1" x14ac:dyDescent="0.3">
      <c r="A19" s="107" t="s">
        <v>14</v>
      </c>
      <c r="D19" s="89">
        <f>J3</f>
        <v>1</v>
      </c>
      <c r="E19" s="289"/>
      <c r="F19" s="25"/>
      <c r="G19" s="253" t="str">
        <f>IF(AND(W14=1,E8=8,E17&gt;=2,D11=2,C12=TRUE),AO46,IF(AND(E8=8,W14=1,C12=TRUE,E15&gt;=2,E17&gt;=1,D11=3,C12=TRUE),"a) massa"&amp;" "&amp;AN43&amp;" "&amp;"b) Volume gas"&amp;" "&amp;AO43&amp;"  "&amp;", c) t_maks, d) quantitas, f) laju reaksi",""))</f>
        <v>(a) W_ Zn(s)  (b) V_ Cl2(g) (c) t_maks, (d) Q(%), (e) r_di katoda, (f) r_anoda, (g) [H+], [OH-], Kw</v>
      </c>
      <c r="H19" s="36"/>
      <c r="I19" s="69"/>
      <c r="J19" s="69"/>
      <c r="K19" s="93"/>
      <c r="L19" s="93"/>
      <c r="M19" s="94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9"/>
      <c r="Y19" s="20"/>
      <c r="Z19" s="20"/>
      <c r="AC19" s="378"/>
      <c r="AD19" s="207"/>
      <c r="AE19" s="318" t="s">
        <v>272</v>
      </c>
      <c r="AF19" s="325">
        <f>IF(AND(Elektrolisis!$W$14=1,Elektrolisis!$E$8&gt;=7,Elektrolisis!$R$23=TRUE),INDEX(REAKSI!$AM$2:$AM$172,MATCH(Elektrolisis!$M$7,REAKSI!$B$2:$B$172,1)),IF(OR(Elektrolisis!$W$14&lt;&gt;1,Elektrolisis!$E$8&lt;7,Elektrolisis!$R$23=FALSE),INDEX(REAKSI!$AK$2:$AK$172,MATCH(Elektrolisis!$M$7,REAKSI!$B$2:$B$172,1))))</f>
        <v>0</v>
      </c>
      <c r="AG19" s="395" t="str">
        <f>IFERROR(IF(AND($W$14=1,$E$8=8,$E$17=3,$M$5=1,$C$12=TRUE),"h) pH larutan =",""),"")</f>
        <v>h) pH larutan =</v>
      </c>
      <c r="AH19" s="307">
        <f>IF(AND($W$14=1,$E$8=8,$C$18=TRUE,$M$5=1,$AD$16=TRUE),REAKSI!$BF$173,"")</f>
        <v>7</v>
      </c>
      <c r="AI19" s="339"/>
      <c r="AJ19" s="347">
        <f>IF(AND($E$10=21,$AD$16=TRUE),15,0)</f>
        <v>0</v>
      </c>
      <c r="AK19" s="356"/>
      <c r="AL19" s="26" t="str">
        <f>IF($M$3=1,"",IF($M$3=2,"Zn",""))</f>
        <v/>
      </c>
      <c r="AM19" s="163" t="str">
        <f>IF(AND(W14=1,$E$8&gt;=7),IF($C$12=TRUE,IF(AND($M$5=1,$M$6=4),"CaCl2",IF(AND($M$5=1,$M$6=5),"CaSO4",IF(AND($M$5=1,$M$6=6),"Ba(OH)2",IF(AND($M$5=1,$M$6=7),"ZnCl2",IF(AND($M$5=1,$M$6=8),"NiSO4",IF(AND($M$5=1,$M$6=9),"Sn(OH)2","")))))),""),"")</f>
        <v>ZnCl2</v>
      </c>
      <c r="AN19" s="33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/>
      </c>
      <c r="AO19" s="145" t="str">
        <f>IF(OR(M7=1,M7=4,M7=7,M7=10,M7=11,M7=12,M7=13,M7=28,M7=29,M7=30,M7=31),"Cl2(g)",IF(OR(M7=2,M7=3,M7=5,M7=6,M7=8,M7=9,M7=14,M7=15,M7=16,M7=17,M7=18,M7=32,M7=33,M7=34,M7=35,M7=36),"O2(g)",IF(OR(M7=19,M7=20,M7=21,M7=22,M7=23,M7=24,M7=25,M7=26,M7=27),"Cu2+(aq)","")))</f>
        <v/>
      </c>
      <c r="AQ19" s="26"/>
      <c r="AR19" s="35">
        <v>24</v>
      </c>
      <c r="AS19" s="144" t="s">
        <v>37</v>
      </c>
      <c r="AT19" s="33">
        <v>7</v>
      </c>
      <c r="AU19" s="145" t="s">
        <v>3</v>
      </c>
      <c r="AV19" s="31"/>
      <c r="AW19" s="26"/>
      <c r="AX19" s="26"/>
      <c r="AY19" s="29"/>
    </row>
    <row r="20" spans="1:53" ht="15.75" thickBot="1" x14ac:dyDescent="0.3">
      <c r="A20" s="107"/>
      <c r="B20" s="7"/>
      <c r="C20" s="89" t="s">
        <v>14</v>
      </c>
      <c r="D20" s="89">
        <f>J4</f>
        <v>2</v>
      </c>
      <c r="E20" s="265">
        <f>E21</f>
        <v>5</v>
      </c>
      <c r="F20" s="25"/>
      <c r="G20" s="180"/>
      <c r="H20" s="40"/>
      <c r="I20" s="70"/>
      <c r="J20" s="96"/>
      <c r="K20" s="94"/>
      <c r="L20" s="94"/>
      <c r="M20" s="177"/>
      <c r="N20" s="178"/>
      <c r="O20" s="178"/>
      <c r="P20" s="26"/>
      <c r="Q20" s="26"/>
      <c r="R20" s="66" t="b">
        <v>1</v>
      </c>
      <c r="S20" s="26"/>
      <c r="T20" s="26"/>
      <c r="U20" s="26"/>
      <c r="V20" s="26"/>
      <c r="W20" s="26" t="str">
        <f>IF(Y21=2,IF(AND(W14=1,$E$8&gt;=7,Q24=TRUE,C12=TRUE,M7&lt;&gt;3,M7&lt;&gt;21,M7&lt;&gt;168),IF(OR(M7=1,M7=2,M7=4,M7=8,M7=9,M7=10,M7=12,M7=14,M7=15,M7=16,M7=17,M7=18,M7=19,M7=24,M7=28,M7=30,M7=32,M7=33,M7=34,M7=35,M7=36,M7=37,M7=38,M7=39,M7=40,M7=41,M7=42,M7=43,M7=44,M7=46,M7=60,M7=64,M7=68,M7=69,M7=70,M7=71,M7=72,M7=73,M7=74,M7=75,M7=76,M7=77,M7=78,M7=79,M7=80,M7=81,M7=95,M7=99,M7=101,M7=105,M7=107,M7=108,M7=119,M7=121,M7=124,M7=125,M7=120,M7=123,M7=131,M7=140,M7=141,M7=145,M7=169,M7=170,AJ6="ERROR"),"( x2 )",IF(OR(M7=17,M7=33,M7=35,M7=66,M7=67),"( x4 )","( x1 )")),""),"")</f>
        <v>( x1 )</v>
      </c>
      <c r="X20" s="29"/>
      <c r="Y20" s="20"/>
      <c r="Z20" s="20"/>
      <c r="AC20" s="33"/>
      <c r="AD20" s="207" t="b">
        <v>1</v>
      </c>
      <c r="AE20" s="318" t="s">
        <v>331</v>
      </c>
      <c r="AF20" s="325">
        <f>IF(AND(Elektrolisis!$W$14=1,Elektrolisis!$E$8&gt;=7),INDEX(REAKSI!$AS$174:$AS$341,MATCH(Elektrolisis!$E$8,REAKSI!$B$174:$B$341,1)),IF(OR(Elektrolisis!$W$14=2,Elektrolisis!$E$8&lt;7),INDEX(REAKSI!$AR$174:$AR$341,MATCH(Elektrolisis!$E$8,REAKSI!$B$174:$B$341,1))))</f>
        <v>0</v>
      </c>
      <c r="AG20" s="327" t="str">
        <f>IF(AND($W$14=1,$E$8&gt;=7,$M$7&lt;&gt;3,$M$7&lt;&gt;21,$M$7&lt;&gt;168),"IONISASI:",IF(AND($W$14=1,$E$8&gt;=1,OR($M$7=3,$M$7=21,$M$7=168)),"MOLEKUL :",""))</f>
        <v>IONISASI:</v>
      </c>
      <c r="AH20" s="208"/>
      <c r="AI20" s="208"/>
      <c r="AJ20" s="388">
        <f>MAX(AJ8:AJ19)</f>
        <v>5</v>
      </c>
      <c r="AK20" s="356"/>
      <c r="AL20" s="26" t="str">
        <f>IF($M$3=1,"",IF($M$3=2,"Pb",""))</f>
        <v/>
      </c>
      <c r="AM20" s="163" t="str">
        <f>IF(AND(W14=1,$E$8&gt;=7),IF($C$12=TRUE,IF(AND($M$5=1,$M$6=4),"AlCl3",IF(AND($M$5=1,$M$6=5),"AlPO4",IF(AND($M$5=1,$M$6=6),"Al(OH)3",IF(AND($M$5=1,$M$6=7),"CrCl3",IF(AND($M$5=1,$M$6=8),"ZnSO4",IF(AND($M$5=1,$M$6=9),"Pb(OH)2","")))))),""),"")</f>
        <v>CrCl3</v>
      </c>
      <c r="AN20" s="33"/>
      <c r="AO20" s="145" t="str">
        <f>IF(OR(M7=8,M7=9,M7=19,M7=20,M7=21,M7=22,M7=23,M7=24),"pH",IF(OR(M7=7,M7=8,M7=9,M7=25,M7=26,M7=27),"Ar Cu =",IF(OR(M7=10,M7=10,M7=28),"Ar Na =",IF(OR(M7=11,M7=14,M7=29,M7=32),"Ar Mg",IF(OR(M7=12,M7=30),"Ar Cr",IF(OR(M7=13,M7=18,M7=31,M7=36),"Ar Zn",IF(OR(M7=15,M7=33),"Ar Ag =",IF(OR(M7=16,M7=34),"Ar Cd =",IF(OR(M7=17,M7=35),"Ar Al =","")))))))))</f>
        <v/>
      </c>
      <c r="AQ20" s="26"/>
      <c r="AR20" s="35">
        <v>25</v>
      </c>
      <c r="AS20" s="144" t="s">
        <v>37</v>
      </c>
      <c r="AT20" s="33">
        <v>8</v>
      </c>
      <c r="AU20" s="145" t="s">
        <v>3</v>
      </c>
      <c r="AV20" s="31"/>
      <c r="AW20" s="26"/>
      <c r="AX20" s="26"/>
      <c r="AY20" s="29"/>
      <c r="BA20" s="264" t="s">
        <v>677</v>
      </c>
    </row>
    <row r="21" spans="1:53" ht="16.5" thickBot="1" x14ac:dyDescent="0.3">
      <c r="A21" s="107"/>
      <c r="D21" s="89">
        <f>D11</f>
        <v>2</v>
      </c>
      <c r="E21" s="259">
        <f>AJ20</f>
        <v>5</v>
      </c>
      <c r="F21" s="25"/>
      <c r="G21" s="97" t="s">
        <v>14</v>
      </c>
      <c r="H21" s="40" t="s">
        <v>14</v>
      </c>
      <c r="I21" s="48"/>
      <c r="J21" s="49"/>
      <c r="K21" s="95"/>
      <c r="L21" s="94"/>
      <c r="M21" s="179"/>
      <c r="N21" s="178"/>
      <c r="O21" s="178"/>
      <c r="P21" s="26"/>
      <c r="Q21" s="26"/>
      <c r="R21" s="67"/>
      <c r="S21" s="26"/>
      <c r="T21" s="26"/>
      <c r="U21" s="26"/>
      <c r="V21" s="26"/>
      <c r="W21" s="26" t="str">
        <f>IF(AND(W14=1,$E$8&gt;=7,Q24=TRUE,C12=TRUE),IF(OR(M7=1,M7=2,M7=3,M7=5,M7=6,M7=8,M7=9,M7=10,M7=12,M7=14,M7=16,M7=18,M7=28,M7=30,M7=32,M7=34,M7=36,M7=39,M7=40,M7=48,M7=49,M7=50,M7=51,M7=52,M7=53,M7=54,M7=55,M7=56,M7=57,M7=58,M7=59,M7=60,M7=64,M7=68,M7=69,M7=70,M7=71,M7=72,M7=73,M7=74,M7=75,M7=76,M7=77,M7=101,M7=105,M7=107,M7=108,AJ6="ERROR"),"( x2 )",IF(OR(M7=15,M7=17,M7=33,M7=35,M7=66,M7=67),"( x4 )",IF(OR(M7=46,M7=81,M7=124),"(x3)","( x1 )"))),"")</f>
        <v>( x1 )</v>
      </c>
      <c r="X21" s="29"/>
      <c r="Y21" s="129">
        <f>Y23</f>
        <v>2</v>
      </c>
      <c r="Z21" s="20"/>
      <c r="AC21" s="33"/>
      <c r="AD21" s="207" t="b">
        <v>1</v>
      </c>
      <c r="AE21" s="318" t="s">
        <v>332</v>
      </c>
      <c r="AF21" s="325">
        <f>IF(AND(Elektrolisis!$W$14=1,Elektrolisis!$E$8&gt;=7),INDEX(REAKSI!$AR$174:$AR$341,MATCH(Elektrolisis!$E$8,REAKSI!$B$174:$B$341,1)),IF(OR(Elektrolisis!$W$14=2,Elektrolisis!$E$8&lt;7),INDEX(REAKSI!$AS$174:$AS$341,MATCH(Elektrolisis!$E$8,REAKSI!$B$174:$B$341,1))))</f>
        <v>0</v>
      </c>
      <c r="AG21" s="327" t="str">
        <f>IF(OR($W$14&lt;&gt;1,$E$8&lt;7),"","KATODA"&amp;" "&amp;"("&amp;$AL$12&amp;"):")</f>
        <v>KATODA (C):</v>
      </c>
      <c r="AH21" s="208"/>
      <c r="AI21" s="371"/>
      <c r="AJ21" s="347"/>
      <c r="AK21" s="372"/>
      <c r="AL21" s="26" t="str">
        <f>IF($M$3=1,"",IF($M$3=2,"Sn",""))</f>
        <v/>
      </c>
      <c r="AM21" s="163" t="str">
        <f>IF(AND(W14=1,$E$8&gt;=7),IF($C$12=TRUE,IF(AND($M$5=1,$M$6=4),"MnCl2",IF(AND($M$5=1,$M$6=5),"MnSO4",IF(AND($M$5=1,$M$6=6),"Mn(OH)2",IF(AND($M$5=1,$M$6=7),"SnCl2",IF(AND($M$5=1,$M$6=8),"Sn(NO3)2",IF(AND($M$5=1,$M$6=9),"Cd(OH)2","")))))),""),"")</f>
        <v>SnCl2</v>
      </c>
      <c r="AN21" s="399"/>
      <c r="AO21" s="400"/>
      <c r="AQ21" s="26"/>
      <c r="AR21" s="35">
        <v>26</v>
      </c>
      <c r="AS21" s="144" t="s">
        <v>37</v>
      </c>
      <c r="AT21" s="33">
        <v>9</v>
      </c>
      <c r="AU21" s="145" t="s">
        <v>3</v>
      </c>
      <c r="AV21" s="31"/>
      <c r="AW21" s="26"/>
      <c r="AX21" s="26"/>
      <c r="AY21" s="29"/>
    </row>
    <row r="22" spans="1:53" ht="15.75" thickBot="1" x14ac:dyDescent="0.3">
      <c r="A22" s="107"/>
      <c r="C22" s="89"/>
      <c r="D22" s="89">
        <f>C11</f>
        <v>5</v>
      </c>
      <c r="E22" s="24"/>
      <c r="F22" s="25"/>
      <c r="G22" s="44" t="s">
        <v>14</v>
      </c>
      <c r="H22" s="40"/>
      <c r="I22" s="40"/>
      <c r="J22" s="43"/>
      <c r="K22" s="95"/>
      <c r="L22" s="94"/>
      <c r="M22" s="420"/>
      <c r="N22" s="420"/>
      <c r="O22" s="420"/>
      <c r="P22" s="26"/>
      <c r="Q22" s="26"/>
      <c r="R22" s="68" t="b">
        <v>1</v>
      </c>
      <c r="S22" s="46"/>
      <c r="T22" s="46"/>
      <c r="U22" s="46"/>
      <c r="V22" s="46"/>
      <c r="W22" s="50" t="str">
        <f>IF(AND(W14=1,$E$8&gt;=7,Q24=TRUE,C12=TRUE),IF(OR(M7=119,M7=120,M7=121,M7=122,M7=123,M7=125,M7=126,M7=127,M7=128,M7=129,M7=130,M7=131,M7=132,M7=133,M7=134,M7=135,M7=136,M7=137,M7=138,M7=139,M7=140,M7=141,M7=142,M7=143,M7=144,M7=145,M7=146,M7=147,M7=149,M7=150,M7=151,M7=153,M7=154,M7=157,M7=158,M7=159,M7=160,M7=161,M7=162,M7=163,M7=164,M7=165,M7=166,M7=167,M7=168,M7=169),"( x2 )",IF(OR(M7=168,M7=168),"( x4 )",IF(OR(M7=12,M7=17,M7=30,M7=35,M7=64,M7=67,M7=105,M7=108,M7=152,M7=156),"( x3 )",IF(OR(M7=46,M7=81),"(x3)",IF(M7=124,"(x6)","( x1 )"))))),"")</f>
        <v>( x1 )</v>
      </c>
      <c r="X22" s="29"/>
      <c r="Z22" s="20"/>
      <c r="AC22" s="33"/>
      <c r="AD22" s="207" t="b">
        <v>1</v>
      </c>
      <c r="AE22" s="320" t="s">
        <v>760</v>
      </c>
      <c r="AF22" s="326">
        <f>IF(Elektrolisis!$E$21&gt;=1,INDEX(RUMUS!$C$3:$C$19,MATCH(Elektrolisis!$E$21,RUMUS!$B$3:$B$19,1)),IF(Elektrolisis!$E$21=0,INDEX(RUMUS!$D$3:$D$19,MATCH(Elektrolisis!$E$21,RUMUS!$B$3:$B$19,1))))</f>
        <v>0</v>
      </c>
      <c r="AG22" s="327" t="str">
        <f>IF(OR($W$14&lt;&gt;1,$E$8&lt;7),"","ANODA"&amp;" "&amp;"("&amp;$AL$11&amp;"):")</f>
        <v>ANODA (C):</v>
      </c>
      <c r="AH22" s="208"/>
      <c r="AI22" s="371"/>
      <c r="AJ22" s="347"/>
      <c r="AK22" s="372"/>
      <c r="AL22" s="163" t="str">
        <f>IF(E9=1,"Menerapkan konsep reaksi oksidasi-reduksi dan ",IF(E9=2,"Menjelaskan reaksi oksidasi-reduksi dalam sel elektrolisis.",IF(E9=3,"1. Siswa dapat mengamati reaksi yang terjadi di anode",IF(E9=4,"1) Menganalisis reaksi di anoda dan katoda beberapa ",IF(E9=5,"(1) Wadah  sel elektrolisis  1 buah",IF(E9=6,"1. Klik Tombol VIDEO",IF(E9=7,"1. Klik Tombol START",IF(AND(C12=FALSE,$E$9=8,$D$11=2),"1. Klik Tombol START",IF(AND(C12=FALSE,$E$9=8,$D$11=3),"1. Klik Tombol START","")))))))))</f>
        <v/>
      </c>
      <c r="AN22" s="26" t="str">
        <f>IF(AND($E$8=7,$C$12=TRUE,$D$11=2,M7&lt;&gt;3),"a) Bagaimana REAKSI IONISASI larutan"&amp;" "&amp;AM7&amp;"?",IF(AND($E$8=7,$C$12=TRUE,$D$11=2,M7=3),"a) Bagaimana REAKSI IONISASI"&amp;" "&amp;AM7&amp;"?",IF(AND($E$8=7,$C$12=TRUE,$D$11=3),"a) Bagaimana REAKSI IONISASI lelehan"&amp;" "&amp;AM7&amp;"?",IF(AND($E$8=8,$C$12=TRUE,$E$17=0,D11=2),"1. INPUT DATA  -&gt; Volume, Konsentrasi, Kuat Arus dan Waktu",IF(AND($E$8=8,$C$12=TRUE,$E$17=0,D11=3),"1. INPUT DATA  -&gt; Massa Zat, Kuat Arus dan Waktu","")))))</f>
        <v/>
      </c>
      <c r="AO22" s="26"/>
      <c r="AQ22" s="26"/>
      <c r="AR22" s="146">
        <v>27</v>
      </c>
      <c r="AS22" s="147" t="s">
        <v>37</v>
      </c>
      <c r="AT22" s="33">
        <v>15</v>
      </c>
      <c r="AU22" s="145" t="s">
        <v>3</v>
      </c>
      <c r="AV22" s="31" t="s">
        <v>36</v>
      </c>
      <c r="AW22" s="26"/>
      <c r="AX22" s="26"/>
      <c r="AY22" s="29"/>
    </row>
    <row r="23" spans="1:53" ht="17.100000000000001" customHeight="1" thickBot="1" x14ac:dyDescent="0.3">
      <c r="A23" s="107"/>
      <c r="C23" s="108" t="s">
        <v>14</v>
      </c>
      <c r="E23" s="24"/>
      <c r="F23" s="423"/>
      <c r="G23" s="424"/>
      <c r="H23" s="40"/>
      <c r="I23" s="174"/>
      <c r="J23" s="43"/>
      <c r="K23" s="95"/>
      <c r="L23" s="94"/>
      <c r="M23" s="422"/>
      <c r="N23" s="422"/>
      <c r="O23" s="422"/>
      <c r="P23" s="26"/>
      <c r="Q23" s="26"/>
      <c r="R23" s="130" t="b">
        <v>1</v>
      </c>
      <c r="S23" s="22"/>
      <c r="T23" s="22"/>
      <c r="U23" s="22"/>
      <c r="V23" s="22"/>
      <c r="W23" s="50"/>
      <c r="X23" s="29"/>
      <c r="Y23" s="30">
        <v>2</v>
      </c>
      <c r="Z23" s="20"/>
      <c r="AC23" s="33"/>
      <c r="AD23" s="26"/>
      <c r="AE23" s="322" t="s">
        <v>20</v>
      </c>
      <c r="AF23" s="321" t="str">
        <f>IF(Elektrolisis!$AJ$6="Error",IF(AND(Elektrolisis!$W$14=1,Elektrolisis!$E$9&gt;=7,Elektrolisis!$D$10&gt;1),INDEX(REAKSI!$E$2:$E$172,MATCH(3,REAKSI!$B$2:$B$172,1)),IF(OR(Elektrolisis!$W$14&lt;&gt;1,Elektrolisis!$E$9&lt;7,Elektrolisis!$D$10&lt;=1),INDEX(REAKSI!$AJ$2:$AJ$172,MATCH(3,REAKSI!$B$2:$B$172,1)))),IF(AND(Elektrolisis!$W$14=1,Elektrolisis!$E$9&gt;=7,Elektrolisis!$D$10&gt;1),INDEX(REAKSI!$E$2:$E$172,MATCH(Elektrolisis!$M$7,REAKSI!$B$2:$B$172,1)),IF(OR(Elektrolisis!$W$14&lt;&gt;1,Elektrolisis!$E$9&lt;7,Elektrolisis!$D$10&lt;=1),INDEX(REAKSI!$AJ$2:$AJ$172,MATCH(Elektrolisis!$M$7,REAKSI!$B$2:$B$172,1)))))</f>
        <v xml:space="preserve">   ZnCl2(aq)</v>
      </c>
      <c r="AG23" s="328" t="str">
        <f>IF(OR($W$14&lt;&gt;1,$E$8&lt;7),"","REAKSI:")</f>
        <v>REAKSI:</v>
      </c>
      <c r="AH23" s="203"/>
      <c r="AI23" s="362"/>
      <c r="AJ23" s="347">
        <f>MAX($AJ$12:$AJ$22,$AJ$8:$AJ$11)</f>
        <v>5</v>
      </c>
      <c r="AK23" s="364"/>
      <c r="AL23" s="163" t="str">
        <f>IF(E9=1,"elektrokimia dalam teknologi dan kehidupan sehari-hari.",IF(E9=2,"",IF(E9=3,"    dan katode pada reaksi elektrolisis melalui percobaan.",IF(E9=4,"     larutan elektrolit dalam sel elektrolisis.",IF(E9=5,"(2) Elektroda 2 buah",IF(E9=6,"2. Pilihlah percobaan (KI, H2SO4, CuSO4, NaCl, atau Penyepuhan)",IF(AND(E9=7,D11&lt;=2),"2. Klik Tombol A dan B, Pilihlah elektroda C, Cu, atau Ag",IF(AND(E9=7,D11=3),"2. Klik Tombol A dan B, Pilihlah elektroda C atau  Cu",IF(AND(C12=FALSE,$E$9=8,D11=2),"2. INPUT DATA  -&gt; Volume, Konsentrasi, Kuat Arus dan Waktu",IF(AND(C12=FALSE,$E$9=8,D11=3),"2. INPUT DATA  -&gt; Massa Zat, Kuat Arus dan Waktu",""))))))))))</f>
        <v/>
      </c>
      <c r="AN23" s="26" t="str">
        <f>IF(AND($E$8=7,$C$12=TRUE,$D$11=2),"b) Di KATODA terjadi PERSAINGAN ION  apa saja, ion mana yang menang?",IF(AND($E$8=7,$C$12=TRUE,$D$11=3),"b) Di KATODA terjadi reaksi apa? dan zat apa yang terbentuk?",IF(AND($E$8=8,$C$12=TRUE,$E$17=0,D11=2),"2. Klik Tombol  LATIHAN, pilihlah salah satu contoh larutan",IF(AND($E$8=8,$C$12=TRUE,$E$17=0,D11=3),"2. Klik Tombol  LATIHAN, pilihlah salah satu sampel lelehan",""))))</f>
        <v/>
      </c>
      <c r="AO23" s="254" t="str">
        <f>IF(AND($E$8=8,$AT$51=1,$AW$50=0,(D9-1)*(J4-1)*(D11-1)*(D10-1)&gt;0,$D$11=3,OR(AD12=TRUE,AD9=TRUE,AD10=TRUE,AD15=TRUE,AD13=TRUE,AD11=TRUE,AD14=TRUE,AD16=TRUE)),"INPUT DATA: m, i, t",IF(AND($E$8=8,$AT$51=1,$AW$50=0,(D9-1)*(J4-1)*(D11-1)*(D10-1)&gt;0,$D$11=2,OR(AD12=TRUE,AD9=TRUE,AD10=TRUE,AD15=TRUE,AD13=TRUE,AD11=TRUE,AD14=TRUE,AD16=TRUE)),"INPUT DATA: V, M, i, t",IF(AND($E$8=8,$AT$51=0,OR(AD12=TRUE,AD9=TRUE,AD10=TRUE,AD15=TRUE,AD13=TRUE,AD11=TRUE,AD14=TRUE,AD16=TRUE)),"REAKSI BELUM LENGKAP",IF(AND($E$8=8,$AT$51=1,(D9-1)*(J4-1)*(D11-1)*(D10-1)=0,OR(AD12=TRUE,AD9=TRUE,AD10=TRUE,AD15=TRUE,AD13=TRUE,AD11=TRUE,AD14=TRUE,AD16=TRUE)),"DATA BELUM LENGKAP",IF(AND($E$8=8,$AT$51=1,$AW$50&gt;0,(D9-1)*(J4-1)*(D11-1)*(D10-1)&gt;0,$C$12=FALSE,OR(AD12=TRUE,AD9=TRUE,AD10=TRUE,AD15=TRUE,AD13=TRUE,AD11=TRUE,AD14=TRUE,AD16=TRUE)),"Klik KOTAK Latihan",IF(AND($E$8=8,$AT$51=1,$AW$50&gt;0,(D9-1)*(J4-1)*(D11-1)*(D10-1)&gt;0,E15=0,OR(AD12=TRUE,AD9=TRUE,AD10=TRUE,AD15=TRUE,AD13=TRUE,AD11=TRUE,AD14=TRUE,AD16=TRUE)),"Klik KOTAK Diketahui",IF(AND($E$8=8,$AT$51=1,$AW$50&gt;0,(D9-1)*(J4-1)*(D11-1)*(D10-1)&gt;0,E15=1,OR(AD12=TRUE,AD9=TRUE,AD10=TRUE,AD15=TRUE,AD13=TRUE,AD11=TRUE,AD14=TRUE,AD16=TRUE)),"Klik KOTAK Pertanyaan",IF(AND($E$8=8,$AT$51=1,$AW$50&gt;0,(D9-1)*(J4-1)*(D11-1)*(D10-1)&gt;0,E15=2,OR(AD12=TRUE,AD9=TRUE,AD10=TRUE,AD15=TRUE,AD13=TRUE,AD11=TRUE,AD14=TRUE,AD16=TRUE)),"Klik KOTAK Hasil",IF(AND($E$8=7,$W$14&lt;&gt;1,OR(R20=TRUE,R22=TRUE,R23=TRUE,Q24=TRUE)),"Klik START",IF(AND($E$8=7,$W$14=1,(D9-1)*(J4-1)*(D11-1)*(D10-1)=0,OR(R20=TRUE,R22=TRUE,R23=TRUE,Q24=TRUE)),"Data Belum Lengkap",IF(AND($C$12=FALSE,$E$8=7,$W$14=1,(D9-1)*(J4-1)*(D11-1)*(D10-1)&gt;0,OR(R20=TRUE,R22=TRUE,R23=TRUE,Q24=TRUE)),"Klik KOTAK Latihan",IF(AND($E$8=8,$AT$51=1,(D9-1)*(J4-1)*(D11-1)*(D10-1)&gt;0,$C$12=FALSE,OR(AD12=TRUE,AD9=TRUE,AD10=TRUE,AD15=TRUE,AD13=TRUE,AD11=TRUE,AD14=TRUE,AD16=TRUE)),"Klik KOTAK Latihan",""))))))))))))</f>
        <v/>
      </c>
      <c r="AQ23" s="26"/>
      <c r="AR23" s="150">
        <v>21</v>
      </c>
      <c r="AS23" s="151" t="s">
        <v>38</v>
      </c>
      <c r="AT23" s="33">
        <v>25</v>
      </c>
      <c r="AU23" s="145" t="s">
        <v>3</v>
      </c>
      <c r="AV23" s="31"/>
      <c r="AW23" s="26"/>
      <c r="AX23" s="26"/>
      <c r="AY23" s="29"/>
    </row>
    <row r="24" spans="1:53" ht="17.100000000000001" customHeight="1" thickBot="1" x14ac:dyDescent="0.3">
      <c r="A24" s="107"/>
      <c r="E24" s="51"/>
      <c r="F24" s="425"/>
      <c r="G24" s="426"/>
      <c r="H24" s="52"/>
      <c r="I24" s="169"/>
      <c r="J24" s="133"/>
      <c r="K24" s="134"/>
      <c r="L24" s="52"/>
      <c r="M24" s="421"/>
      <c r="N24" s="421"/>
      <c r="O24" s="421"/>
      <c r="P24" s="46"/>
      <c r="Q24" s="68" t="b">
        <v>1</v>
      </c>
      <c r="R24" s="135" t="s">
        <v>14</v>
      </c>
      <c r="S24" s="46"/>
      <c r="T24" s="46"/>
      <c r="U24" s="46"/>
      <c r="V24" s="46"/>
      <c r="W24" s="46"/>
      <c r="X24" s="47"/>
      <c r="Y24" s="20"/>
      <c r="Z24" s="20"/>
      <c r="AC24" s="33"/>
      <c r="AD24" s="26"/>
      <c r="AE24" s="207"/>
      <c r="AF24" s="348" t="str">
        <f>IF(AND($W$14=1,$E$8&gt;=7,$R$23=TRUE,$J$5=1,$M$7&lt;&gt;3,$M$7&lt;&gt;21,$M$7&lt;&gt;168,$AJ$6&lt;&gt;"ERROR"),"Persaingan Reduksi Ion","")</f>
        <v>Persaingan Reduksi Ion</v>
      </c>
      <c r="AG24" s="351" t="str">
        <f>IF(AND($W$14=1,$E$8&gt;=8),"INPUT DATA","")</f>
        <v>INPUT DATA</v>
      </c>
      <c r="AH24" s="350"/>
      <c r="AI24" s="363"/>
      <c r="AJ24" s="208" t="str">
        <f>IF(AND(AJ8=0,OR(AJ9=2,AJ10=3,AJ11=4)),"Klik diketahui harus berurutan",IF(AND(AJ9=0,OR(AJ10=3,AJ11=4)),"Klik diketahui harus berurutan",IF(AND(AJ10=0,AJ11=4),"Klik diketahui harus berurutan","")))</f>
        <v/>
      </c>
      <c r="AK24" s="372"/>
      <c r="AL24" s="163" t="str">
        <f>IF(E9=1,"",IF(E9=2,"",IF(E9=3,"2. Siswa dapat menuliskan reaksi elektrolisis larutan dan lelehan (leburan)",IF(E9=4,"2) Menghubungkan kuat arus dan waktu elektrolisis terhadap",IF(E9=5,"(3) Baterai  12V 40AH   1 buah   (40 amper selama 1 jam)",IF(E9=6,"3. Buatlah LKPD berdasarkan tayangan pada Video",IF(E9=7,"3. Klik Tombol C, Pilihlah elektrolit (Larutan atau Lelehan)",IF(AND(C12=FALSE,$E$9=8,D11=2),"3. Klik Tombol  LATIHAN, pilihlah salah satu elektrolit ",IF(AND(C12=FALSE,$E$9=8,D11=3),"3. Klik Tombol  LATIHAN, pilihlah salah satu elektrolit ","")))))))))</f>
        <v/>
      </c>
      <c r="AN24" s="26" t="str">
        <f>IF(AND($E$8=7,$C$12=TRUE,$D$11=2),"c) Di ANODA terjadi PERSAINGAN ION apa saja?, ion mana yang menang?",IF(AND($E$8=7,$C$12=TRUE,$D$11=3),"c) Di ANODA terjadi reaksi apa? dan zat apa yang terbentuk?",IF(AND($E$8=8,$C$12=TRUE,$E$17=0,D11=2),"3. Klik Tombol DIKETAHUI, PERTANYAAN, HASIL",IF(AND($E$8=8,$C$12=TRUE,$E$17=0,D11=3),"3. Klik Tombol DIKETAHUI, PERTANYAAN, HASIL",""))))</f>
        <v/>
      </c>
      <c r="AO24" s="26" t="str">
        <f>IF(AND($E$8=8,$AT$51=1,$AW$50=0,(D9-1)*(J4-1)*(D11-1)*(D10-1)&gt;0,OR(AD12=TRUE,AD9=TRUE,AD10=TRUE,AD15=TRUE,AD13=TRUE,AD11=TRUE,AD14=TRUE,AD16=TRUE)),"SALAH !!!",IF(AND($E$8=8,$AT$51=0,OR(AD12=TRUE,AD9=TRUE,AD10=TRUE,AD15=TRUE,AD13=TRUE,AD11=TRUE,AD14=TRUE,AD16=TRUE)),"SALAH !!!",IF(AND($E$8=8,$AT$51=1,(D9-1)*(J4-1)*(D11-1)*(D10-1)=0,OR(AD12=TRUE,AD9=TRUE,AD10=TRUE,AD15=TRUE,AD13=TRUE,AD11=TRUE,AD14=TRUE,AD16=TRUE)),"SALAH !!!",IF(AND($E$8=8,$AT$51=1,$AW$50&gt;0,(D9-1)*(J4-1)*(D11-1)*(D10-1)&gt;0,E15=0,OR(AD12=TRUE,AD9=TRUE,AD10=TRUE,AD15=TRUE,AD13=TRUE,AD11=TRUE,AD14=TRUE,AD16=TRUE)),"SALAH !!!",IF(AND($E$8=8,$AT$51=1,$AW$50&gt;0,(D9-1)*(J4-1)*(D11-1)*(D10-1)&gt;0,E15=1,OR(AD12=TRUE,AD9=TRUE,AD10=TRUE,AD15=TRUE,AD13=TRUE,AD11=TRUE,AD14=TRUE,AD16=TRUE)),"SALAH !!!",IF(AND($E$8=8,$AT$51=1,$AW$50&gt;0,(D9-1)*(J4-1)*(D11-1)*(D10-1)&gt;0,E15=2,OR(AD12=TRUE,AD9=TRUE,AD10=TRUE,AD15=TRUE,AD13=TRUE,AD11=TRUE,AD14=TRUE,AD16=TRUE)),"SALAH !!!",IF(AND($E$8=7,$W$14&lt;&gt;1,OR(R20=TRUE,R22=TRUE,R23=TRUE,Q24=TRUE)),"SALAH !!!",IF(AND($E$8=7,$W$14=1,(D9-1)*(J4-1)*(D11-1)*(D10-1)=0,OR(R20=TRUE,R22=TRUE,R23=TRUE,Q24=TRUE)),"SALAH !!!",IF(AND($C$12=FALSE,$E$8=7,$W$14=1,(D9-1)*(J4-1)*(D11-1)*(D10-1)&gt;0,OR(R20=TRUE,R22=TRUE,R23=TRUE,Q24=TRUE)),"SALAH !!!",IF(AND($E$8=8,$AT$51=1,(D9-1)*(J4-1)*(D11-1)*(D10-1)&gt;0,$C$12=FALSE,OR(AD12=TRUE,AD9=TRUE,AD10=TRUE,AD15=TRUE,AD13=TRUE,AD11=TRUE,AD14=TRUE,AD16=TRUE)),"SALAH !!!",""))))))))))</f>
        <v/>
      </c>
      <c r="AQ24" s="26"/>
      <c r="AR24" s="138">
        <v>2</v>
      </c>
      <c r="AS24" s="140" t="s">
        <v>36</v>
      </c>
      <c r="AT24" s="33">
        <v>26</v>
      </c>
      <c r="AU24" s="145" t="s">
        <v>3</v>
      </c>
      <c r="AV24" s="31"/>
      <c r="AW24" s="26"/>
      <c r="AX24" s="26"/>
      <c r="AY24" s="29"/>
    </row>
    <row r="25" spans="1:53" ht="15.75" thickBot="1" x14ac:dyDescent="0.3">
      <c r="C25" s="173" t="s">
        <v>14</v>
      </c>
      <c r="F25" s="7"/>
      <c r="G25" s="131"/>
      <c r="H25" s="65"/>
      <c r="I25" s="196"/>
      <c r="J25" s="226"/>
      <c r="K25" s="132"/>
      <c r="L25" s="65"/>
      <c r="M25" s="65"/>
      <c r="Y25" s="20"/>
      <c r="Z25" s="20"/>
      <c r="AC25" s="33"/>
      <c r="AD25" s="26"/>
      <c r="AE25" s="205"/>
      <c r="AF25" s="348" t="str">
        <f>IF(AND($W$14=1,$E$8&gt;=7,$R$22=TRUE,$J$5=1,$M$7=3,$AJ$6&lt;&gt;"ERROR"),"",IF(AND($W$14=1,$E$8&gt;=7,$R$22=TRUE,$J$5=1,$AJ$6&lt;&gt;"ERROR",OR($M$7=1,$M$7=7,$M$7=42,$M$7=44,$M$7=45,$M$7=46,$M$7=47,$M$7=60,$M$7=63,$M$7=64,$M$7=65)),"Persaingan Oksidasi Ion",IF(AND($W$14=1,$E$8&gt;=7,$R$22=TRUE,$J$5=1,$AJ$6&lt;&gt;"ERROR",$M$7&lt;&gt;1,$M$7&lt;&gt;3,$M$7&lt;&gt;7,$M$7&lt;&gt;42,$M$7&lt;&gt;44,$M$7&lt;&gt;45,$M$7&lt;&gt;46,$M$7&lt;&gt;47,$M$7&lt;&gt;60,$M$7&lt;&gt;63,$M$7&lt;&gt;64,$M$7&lt;&gt;65),"Persaingan Oksidasi Ion","")))</f>
        <v>Persaingan Oksidasi Ion</v>
      </c>
      <c r="AG25" s="352" t="str">
        <f>$AX$4&amp;$AX$6&amp;$AX$7</f>
        <v>o</v>
      </c>
      <c r="AH25" s="353" t="str">
        <f>IF(AND($AG$25="+",OR($R$22=TRUE,$R$23=TRUE)),"+ ion",IF(AND($AG$25="0",OR($R$22=TRUE,$R$23=TRUE)),"o gas",IF(AND($AG$25="O",OR($R$22=TRUE,$R$23=TRUE)),"o gas","")))</f>
        <v>o gas</v>
      </c>
      <c r="AI25" s="363"/>
      <c r="AJ25" s="369"/>
      <c r="AK25" s="372"/>
      <c r="AL25" s="163" t="str">
        <f>IF(E9=3,"    suatu senyawa dengan elektrode inert dan  aktif.",IF(E9=4,"     massa zat atau volume gas yang dihasilkan di elektroda",IF(E9=5,"(4) Kabel  2  buah",IF(E9=6,"4. Lengkapi LKPD dengan hasil pengamatan &amp; pembahasan",IF(AND(M7&lt;&gt;3,E9=7),"4. Klik Tombol D, Pilihlah  SAMPEL",IF(AND(M7=3,E9=7),"4. Input data Waktu dan Kuat Arus",IF(AND(C12=FALSE,$E$9=8,D11=2),"4. Klik Tombol DIKETAHUI, PERTANYAAN, HASIL",IF(AND(C12=FALSE,$E$9=8,D11=3),"4. Klik Tombol DIKETAHUI, PERTANYAAN, HASIL",""))))))))</f>
        <v/>
      </c>
      <c r="AN25" s="26" t="str">
        <f>IF(AND($E$8=7,$C$12=TRUE,M7&lt;&gt;4,M7&lt;&gt;37,M7&lt;&gt;42,M7&lt;&gt;44,M7&lt;&gt;45,M7&lt;&gt;46,M7&lt;&gt;47,M7&lt;&gt;7,M7&lt;&gt;60,M7&lt;&gt;63,M7&lt;&gt;64,M7&lt;&gt;65,M7&lt;&gt;2,M7&lt;&gt;39,M7&lt;&gt;40,M7&lt;&gt;5,M7&lt;&gt;48,M7&lt;&gt;49,M7&lt;&gt;50,M7&lt;&gt;51,M7&lt;&gt;52,M7&lt;&gt;53,M7&lt;&gt;8,M7&lt;&gt;66,M7&lt;&gt;67,M7&lt;&gt;68,M7&lt;&gt;69,M7&lt;&gt;70,M7&lt;&gt;71),"",IF(AND($E$8=7,$C$12=TRUE,OR(M7=2,M7=37,M7=39,M7=40,M7=5,M7=48,M7=49,M7=50,M7=51,M7=52,M7=53,M7=8,M7=66,M7=67,M7=68,M7=69,M7=70,M7=71,M7=1,M7=42,M7=44,M7=45,M7=46,M7=47,M7=7,M7=60,M7=63,M7=64,M7=65)),"e) Bagaimana  persamaan REAKSI BERSIH dan REAKSI TOTAL?",IF(AND($E$8=8,$C$12=TRUE,$E$17=0,D11=2),"5. Klik Tombol O untuk melihat rumus",IF(AND($E$8=8,$C$12=TRUE,$E$17=0,D11=3),"5.  Klik Tombol O untuk melihat rumus",IF(AND($E$8=7,$C$12=TRUE,M7=4),"e) Bagaimana cara menguji larutan basa dan menguji adanya I2 ?","")))))</f>
        <v/>
      </c>
      <c r="AO25" s="26"/>
      <c r="AP25" s="155"/>
      <c r="AQ25" s="26"/>
      <c r="AR25" s="35">
        <v>3</v>
      </c>
      <c r="AS25" s="144" t="s">
        <v>36</v>
      </c>
      <c r="AT25" s="33">
        <v>27</v>
      </c>
      <c r="AU25" s="145" t="s">
        <v>3</v>
      </c>
      <c r="AV25" s="31"/>
      <c r="AW25" s="26"/>
      <c r="AX25" s="26"/>
      <c r="AY25" s="29"/>
    </row>
    <row r="26" spans="1:53" ht="15.75" thickBot="1" x14ac:dyDescent="0.3">
      <c r="C26" s="18" t="s">
        <v>14</v>
      </c>
      <c r="E26" s="268"/>
      <c r="G26" s="196"/>
      <c r="H26" s="65"/>
      <c r="I26" s="193"/>
      <c r="J26" s="193"/>
      <c r="K26" s="193"/>
      <c r="L26" s="233"/>
      <c r="M26" s="65"/>
      <c r="P26" s="233"/>
      <c r="Q26" s="195"/>
      <c r="R26" s="192"/>
      <c r="S26" s="192"/>
      <c r="Y26" s="20"/>
      <c r="Z26" s="20"/>
      <c r="AC26" s="33"/>
      <c r="AD26" s="26"/>
      <c r="AE26" s="205"/>
      <c r="AF26" s="348" t="str">
        <f>IF(AND($E$8=8,$W$14=1),"DIKETAHUI","")</f>
        <v>DIKETAHUI</v>
      </c>
      <c r="AG26" s="354" t="str">
        <f>$AY$5&amp;$AY$6&amp;$AY$8</f>
        <v>*</v>
      </c>
      <c r="AH26" s="355" t="str">
        <f>IF(AND($AG$26="*",OR($R$22=TRUE,$R$23=TRUE)),"* solid",IF(AND($AG$26="0",OR($R$22=TRUE,$R$23=TRUE)),"O gas",IF(AND($AG$26="O",OR($R$22=TRUE,$R$23=TRUE)),"O gas","")))</f>
        <v>* solid</v>
      </c>
      <c r="AI26" s="372"/>
      <c r="AJ26" s="365">
        <f>IFERROR(VLOOKUP($M$7,REAKSI!$B$3:$AW$38,18),0)</f>
        <v>65.39</v>
      </c>
      <c r="AK26" s="208"/>
      <c r="AL26" s="163" t="str">
        <f>IF(E9=3,"3. Siswa mampu menerapkan hukum Faraday I dan II",IF(E9=4,"3) Mengetahui laju reaksi, waktu optimum, dan pH larutan",IF(E9=5,"(5) Elektrolit (larutan atau lelehan)",IF(AND(M7&lt;&gt;3,E9=7),"5. Klik LATIHAN (jawablah pertanyaan), Hasilnya Klik E, F, G, H",IF(AND(C12=FALSE,$E$9=8,D11=2),"5. Klik Tombol  JAWABAN (a - h) berurutan &amp; Lihat Rumusnya",IF(AND(C12=FALSE,$E$9=8,D11=3),"5. Klik Tombol JAWABAN (a - f) berurutan &amp; Lihat Rumusnya",""))))))</f>
        <v/>
      </c>
      <c r="AN26" s="26" t="s">
        <v>107</v>
      </c>
      <c r="AO26" s="155">
        <f>IF(AND($W$14=1,$E$8&gt;=7,Elektrolisis!$R$22=TRUE),INDEX(REAKSI!$Y$2:$Y$170,MATCH(Elektrolisis!$M$7,REAKSI!$B$2:$B$170,1)),IF(OR($W$14&lt;&gt;1,$E$8&lt;7,Elektrolisis!$R$22=FALSE),INDEX(REAKSI!$AH$2:$AH$170,MATCH(Elektrolisis!$M$7,REAKSI!$B$2:$B$170,1))))</f>
        <v>0</v>
      </c>
      <c r="AP26" s="155"/>
      <c r="AQ26" s="26"/>
      <c r="AR26" s="35">
        <v>5</v>
      </c>
      <c r="AS26" s="144" t="s">
        <v>36</v>
      </c>
      <c r="AT26" s="33">
        <v>33</v>
      </c>
      <c r="AU26" s="145" t="s">
        <v>3</v>
      </c>
      <c r="AV26" s="31"/>
      <c r="AW26" s="26"/>
      <c r="AX26" s="26"/>
      <c r="AY26" s="29"/>
    </row>
    <row r="27" spans="1:53" x14ac:dyDescent="0.25">
      <c r="C27" s="9"/>
      <c r="G27" s="236"/>
      <c r="I27" s="196"/>
      <c r="J27" s="196"/>
      <c r="K27" s="196"/>
      <c r="L27" s="233"/>
      <c r="P27" s="233"/>
      <c r="R27" s="192"/>
      <c r="S27" s="192"/>
      <c r="AC27" s="33"/>
      <c r="AD27" s="26"/>
      <c r="AE27" s="205"/>
      <c r="AF27" s="329" t="str">
        <f>IF(AND($E$8=8,$W$14=1),"PERTANYAAN ","")</f>
        <v xml:space="preserve">PERTANYAAN </v>
      </c>
      <c r="AG27" s="349"/>
      <c r="AH27" s="344"/>
      <c r="AI27" s="208"/>
      <c r="AJ27" s="366">
        <f>IFERROR(VLOOKUP($M$7,REAKSI!$B$3:$AW$38,48),0)</f>
        <v>81.38</v>
      </c>
      <c r="AK27" s="208"/>
      <c r="AL27" s="323" t="b">
        <v>0</v>
      </c>
      <c r="AN27" s="26" t="s">
        <v>98</v>
      </c>
      <c r="AO27" s="155" t="str">
        <f>IF(AND($W$14=1,$E$8&gt;=7,Elektrolisis!$R$22=TRUE),INDEX(REAKSI!$F$3:$F$170,MATCH(Elektrolisis!$E$8,REAKSI!$B$3:$B$170,1)),IF(OR($W$14&lt;&gt;1,$E$8&lt;7,Elektrolisis!$R$22=FALSE),INDEX(REAKSI!$D$3:$D$170,MATCH(Elektrolisis!$E$8,REAKSI!$B$3:$B$170,1))))</f>
        <v>asam</v>
      </c>
      <c r="AQ27" s="26"/>
      <c r="AR27" s="35">
        <v>6</v>
      </c>
      <c r="AS27" s="144" t="s">
        <v>36</v>
      </c>
      <c r="AT27" s="33">
        <v>17</v>
      </c>
      <c r="AU27" s="145" t="s">
        <v>54</v>
      </c>
      <c r="AV27" s="31" t="s">
        <v>37</v>
      </c>
      <c r="AW27" s="26"/>
      <c r="AX27" s="26" t="str">
        <f>IF(OR(L7=16,L7=34),"Cd(s)",IF(OR(L7=12,L7=30),"Cr(s)",IF(OR(L7=7,L7=8,L7=9,L7=15,L7=25,L7=26,L7=27,L7=33),"Cu(s)",IF(OR(L7=17,L7=35),"Al(s)",IF(OR(L7=11,L7=14,L7=29,L7=32),"Mg(s)",IF(OR(L7=10,L7=28),"Na(s)",IF(OR(L7=13,L7=18,L7=31,L7=36),"Zn(s)","")))))))</f>
        <v>Cu(s)</v>
      </c>
      <c r="AY27" s="29"/>
    </row>
    <row r="28" spans="1:53" x14ac:dyDescent="0.25">
      <c r="C28" s="89"/>
      <c r="G28" s="236"/>
      <c r="I28" s="196"/>
      <c r="J28" s="193"/>
      <c r="K28" s="193"/>
      <c r="L28" s="233"/>
      <c r="Q28" s="195"/>
      <c r="R28" s="192"/>
      <c r="S28" s="192"/>
      <c r="AC28" s="33"/>
      <c r="AD28" s="26"/>
      <c r="AE28" s="205"/>
      <c r="AF28" s="329" t="str">
        <f>IF(AND($E$8=8,$W$14=1),"HASIL","")</f>
        <v>HASIL</v>
      </c>
      <c r="AG28" s="205"/>
      <c r="AH28" s="208"/>
      <c r="AI28" s="208"/>
      <c r="AJ28" s="367">
        <f>IFERROR(($Q$12*1000/$AJ$27),0)</f>
        <v>12.288031457360532</v>
      </c>
      <c r="AK28" s="208"/>
      <c r="AL28" s="26" t="str">
        <f>IF($E$8=5,"Baterai 12V 40AH","")</f>
        <v/>
      </c>
      <c r="AN28" s="26" t="s">
        <v>20</v>
      </c>
      <c r="AO28" s="155" t="str">
        <f>IF(AND(Elektrolisis!$W$14=1,Elektrolisis!$E$9&gt;=7,Elektrolisis!$D$10&gt;1),INDEX(REAKSI!$E$2:$E$170,MATCH(Elektrolisis!$M$7,REAKSI!$B$2:$B$170,1)),IF(OR(Elektrolisis!$W$14&lt;&gt;1,Elektrolisis!$E$9&lt;7,Elektrolisis!$D$10&lt;=1),INDEX(REAKSI!$AJ$2:$AJ$170,MATCH(Elektrolisis!$M$7,REAKSI!$B$2:$B$170,1))))</f>
        <v xml:space="preserve">   ZnCl2(aq)</v>
      </c>
      <c r="AQ28" s="26"/>
      <c r="AR28" s="35">
        <v>8</v>
      </c>
      <c r="AS28" s="144" t="s">
        <v>36</v>
      </c>
      <c r="AT28" s="33">
        <v>35</v>
      </c>
      <c r="AU28" s="145" t="s">
        <v>54</v>
      </c>
      <c r="AV28" s="31"/>
      <c r="AW28" s="26"/>
      <c r="AX28" s="26"/>
      <c r="AY28" s="29"/>
    </row>
    <row r="29" spans="1:53" x14ac:dyDescent="0.25">
      <c r="C29" s="89"/>
      <c r="G29" s="236"/>
      <c r="I29" s="196"/>
      <c r="J29" s="236"/>
      <c r="K29" s="193"/>
      <c r="L29" s="233"/>
      <c r="M29" s="225"/>
      <c r="P29" s="233"/>
      <c r="R29" s="192"/>
      <c r="S29" s="192"/>
      <c r="V29" s="268" t="s">
        <v>14</v>
      </c>
      <c r="AC29" s="33"/>
      <c r="AD29" s="26"/>
      <c r="AE29" s="205"/>
      <c r="AF29" s="205"/>
      <c r="AG29" s="205"/>
      <c r="AH29" s="208"/>
      <c r="AI29" s="208"/>
      <c r="AJ29" s="366" t="str">
        <f>IFERROR(VLOOKUP($M$7,REAKSI!$B$3:$AW$38,31),0)</f>
        <v>Zn</v>
      </c>
      <c r="AK29" s="208"/>
      <c r="AL29" s="26" t="str">
        <f>IF($E$8=5,"Elektroda 1","")</f>
        <v/>
      </c>
      <c r="AN29" s="26" t="s">
        <v>102</v>
      </c>
      <c r="AO29" s="155" t="str">
        <f>IF(Elektrolisis!$R$20=TRUE,INDEX(REAKSI!$C$3:$C$170,MATCH(Elektrolisis!$M$7,REAKSI!$B$3:$B$170,1)),IF(Elektrolisis!$R$20=FALSE,INDEX(REAKSI!$D$3:$D$170,MATCH(Elektrolisis!$M$7,REAKSI!$B$3:$B$170,1))))</f>
        <v>ZnCl2</v>
      </c>
      <c r="AQ29" s="26"/>
      <c r="AR29" s="35">
        <v>9</v>
      </c>
      <c r="AS29" s="144" t="s">
        <v>36</v>
      </c>
      <c r="AT29" s="33">
        <v>11</v>
      </c>
      <c r="AU29" s="145" t="s">
        <v>48</v>
      </c>
      <c r="AV29" s="31"/>
      <c r="AW29" s="26"/>
      <c r="AX29" s="26"/>
      <c r="AY29" s="29"/>
    </row>
    <row r="30" spans="1:53" ht="15.75" thickBot="1" x14ac:dyDescent="0.3">
      <c r="C30" s="89"/>
      <c r="G30" s="236"/>
      <c r="I30" s="196"/>
      <c r="J30" s="193"/>
      <c r="K30" s="193"/>
      <c r="L30" s="233"/>
      <c r="M30" s="225"/>
      <c r="P30" s="233"/>
      <c r="Q30" s="195"/>
      <c r="R30" s="192"/>
      <c r="S30" s="192"/>
      <c r="AC30" s="33"/>
      <c r="AD30" s="26"/>
      <c r="AE30" s="205"/>
      <c r="AF30" s="205"/>
      <c r="AG30" s="205"/>
      <c r="AH30" s="208"/>
      <c r="AI30" s="208"/>
      <c r="AJ30" s="368" t="str">
        <f>IFERROR(VLOOKUP($M$7,REAKSI!$B$3:$AW$38,29),0)</f>
        <v>O2</v>
      </c>
      <c r="AK30" s="208"/>
      <c r="AL30" s="26" t="str">
        <f>IF($E$8=5,"Elektroda 2","")</f>
        <v/>
      </c>
      <c r="AN30" s="26" t="s">
        <v>106</v>
      </c>
      <c r="AO30" s="155" t="str">
        <f>IF(AND($W$14=1,$E$8&gt;=7,Elektrolisis!$R$20=TRUE),INDEX(REAKSI!$W$3:$W$170,MATCH(Elektrolisis!$E$8,REAKSI!$B$3:$B$170,1)),IF(OR($W$14&lt;&gt;1,$E$8&lt;7,Elektrolisis!$R$20=FALSE),INDEX(REAKSI!$AH$3:$AH$170,MATCH(Elektrolisis!$E$8,REAKSI!$B$3:$B$170,1))))</f>
        <v>E0 H2O = -1,23 V</v>
      </c>
      <c r="AQ30" s="26"/>
      <c r="AR30" s="35">
        <v>14</v>
      </c>
      <c r="AS30" s="144" t="s">
        <v>36</v>
      </c>
      <c r="AT30" s="33">
        <v>14</v>
      </c>
      <c r="AU30" s="145" t="s">
        <v>48</v>
      </c>
      <c r="AV30" s="26"/>
      <c r="AW30" s="26"/>
      <c r="AX30" s="26"/>
      <c r="AY30" s="29"/>
    </row>
    <row r="31" spans="1:53" x14ac:dyDescent="0.25">
      <c r="C31" s="89"/>
      <c r="G31" s="236"/>
      <c r="I31" s="196"/>
      <c r="J31" s="193"/>
      <c r="K31" s="193"/>
      <c r="M31" s="225"/>
      <c r="P31" s="192"/>
      <c r="R31" s="192"/>
      <c r="AC31" s="33"/>
      <c r="AD31" s="26"/>
      <c r="AE31" s="205"/>
      <c r="AF31" s="205"/>
      <c r="AG31" s="390" t="s">
        <v>763</v>
      </c>
      <c r="AH31" s="391"/>
      <c r="AI31" s="391"/>
      <c r="AJ31" s="392" t="str">
        <f>IF(AND(AJ12=0,OR(AJ13=7,AJ13=8,AJ13=9)),"Klik jawaban harus berurutan",IF(AND(AJ14=10,OR(AJ12=0,AJ13=0)),"Klik jawaban harus berurutan",IF(AND(AJ15=11,OR(AJ12=0,AJ13=0,AJ14=0)),"Klik jawaban harus berurutan",IF(AND(AJ16=12,OR(AJ12=0,AJ13=0,AJ14=0,AJ15=0)),"Klik jawaban harus berurutan",IF(AND(AJ17=13,OR(AJ12=0,AJ13=0,AJ14=0,AJ15=0,AJ16=0)),"Klik jawaban harus berurutan",IF(AND(AJ18=14,OR(AJ12=0,AJ13=0,AJ14=0,AJ15=0,AJ16=0,AJ17=0)),"Klik jawaban harus berurutan",IF(AND(AJ19=15,OR(AJ12=0,AJ13=0,AJ14=0,AJ15=0,AJ16=0,AJ17=0,AJ18=0)),"Klik jawaban harus berurutan","")))))))</f>
        <v/>
      </c>
      <c r="AK31" s="208"/>
      <c r="AL31" s="26" t="str">
        <f>IF($E$8=5,"Wadah sel elektrolisis","")</f>
        <v/>
      </c>
      <c r="AO31" s="26" t="str">
        <f>IF(AND(E8&gt;=7,W14=1,Q24=TRUE),IF(Y21=1,"(bersih)",IF(Y21=2,"(total)",IF(Y21=0,"Klik → I"))),"")</f>
        <v>(total)</v>
      </c>
      <c r="AQ31" s="26"/>
      <c r="AR31" s="35">
        <v>15</v>
      </c>
      <c r="AS31" s="144" t="s">
        <v>36</v>
      </c>
      <c r="AT31" s="33">
        <v>29</v>
      </c>
      <c r="AU31" s="145" t="s">
        <v>48</v>
      </c>
      <c r="AV31" s="26"/>
      <c r="AW31" s="26"/>
      <c r="AX31" s="26"/>
      <c r="AY31" s="29"/>
    </row>
    <row r="32" spans="1:53" x14ac:dyDescent="0.25">
      <c r="G32" s="236"/>
      <c r="I32" s="196"/>
      <c r="J32" s="193"/>
      <c r="K32" s="193"/>
      <c r="L32" s="291"/>
      <c r="M32" s="290"/>
      <c r="P32" s="89"/>
      <c r="Q32" s="195"/>
      <c r="R32" s="192"/>
      <c r="AC32" s="33"/>
      <c r="AD32" s="26"/>
      <c r="AE32" s="26"/>
      <c r="AF32" s="26"/>
      <c r="AG32" s="26"/>
      <c r="AH32" s="31"/>
      <c r="AI32" s="31"/>
      <c r="AJ32" s="31"/>
      <c r="AK32" s="31"/>
      <c r="AL32" s="161" t="s">
        <v>14</v>
      </c>
      <c r="AO32" s="26"/>
      <c r="AP32" s="155"/>
      <c r="AQ32" s="26"/>
      <c r="AR32" s="35">
        <v>16</v>
      </c>
      <c r="AS32" s="144" t="s">
        <v>36</v>
      </c>
      <c r="AT32" s="33">
        <v>32</v>
      </c>
      <c r="AU32" s="145" t="s">
        <v>48</v>
      </c>
      <c r="AV32" s="216" t="str">
        <f>IF(E8=5,"(5) Elektrolit (larutan atau lelehan)",IF($E$8=7,"5. Jawab dulu pertanyaan berikut! Lalu Klik Tombol E, F, G, H dan I",IF(AND(C12=FALSE,$E$9=8),"5. Aktifkan Tombol STOP untuk berhenti","")))</f>
        <v/>
      </c>
      <c r="AW32" s="26"/>
      <c r="AY32" s="29"/>
    </row>
    <row r="33" spans="7:53" x14ac:dyDescent="0.25">
      <c r="G33" s="165"/>
      <c r="I33" s="194"/>
      <c r="J33" s="193"/>
      <c r="K33" s="193"/>
      <c r="L33" s="292"/>
      <c r="M33" s="290"/>
      <c r="R33" s="192"/>
      <c r="AC33" s="33"/>
      <c r="AD33" s="26"/>
      <c r="AE33" s="26"/>
      <c r="AF33" s="26"/>
      <c r="AG33" s="26"/>
      <c r="AH33" s="31"/>
      <c r="AI33" s="31"/>
      <c r="AJ33" s="31"/>
      <c r="AK33" s="31"/>
      <c r="AL33" s="161" t="str">
        <f>IF(OR(W14=2,$E$8&lt;7),"","C")</f>
        <v>C</v>
      </c>
      <c r="AN33" s="26" t="s">
        <v>670</v>
      </c>
      <c r="AO33" s="26" t="str">
        <f>IF(Elektrolisis!$AJ$6="Error",IF(AND(Elektrolisis!$W$14=1,Elektrolisis!$E$8&gt;=7,Elektrolisis!$R$20=TRUE),INDEX(REAKSI!$H$2:$H$170,MATCH(3,REAKSI!$B$2:$B$170,1)),IF(OR(Elektrolisis!$W$14&lt;&gt;1,Elektrolisis!$E$8&lt;7,Elektrolisis!$R$20=FALSE),INDEX(REAKSI!$L$2:$L$170,MATCH(3,REAKSI!$B$2:$B$170,1)))),IF(AND(Elektrolisis!$W$14=1,Elektrolisis!$E$8&gt;=7,Elektrolisis!$R$20=TRUE),INDEX(REAKSI!$H$2:$H$170,MATCH(Elektrolisis!$M$7,REAKSI!$B$2:$B$170,1)),IF(OR(Elektrolisis!$W$14&lt;&gt;1,Elektrolisis!$E$8&lt;7,Elektrolisis!$R$20=FALSE),INDEX(REAKSI!$L$2:$L$170,MATCH(Elektrolisis!$M$7,REAKSI!$B$2:$B$170,1)))))</f>
        <v>ZnCl2 (aq) → Zn2+(aq) + 2Cl-(aq)</v>
      </c>
      <c r="AP33" s="155">
        <f>M7</f>
        <v>63</v>
      </c>
      <c r="AQ33" s="26"/>
      <c r="AR33" s="35">
        <v>17</v>
      </c>
      <c r="AS33" s="144" t="s">
        <v>36</v>
      </c>
      <c r="AT33" s="33">
        <v>10</v>
      </c>
      <c r="AU33" s="145" t="s">
        <v>47</v>
      </c>
      <c r="AV33" s="26" t="str">
        <f>IF(AND($E$8=7,$C$12=TRUE,$D$11=2,M7&lt;&gt;0,M7&lt;&gt;37,M7&lt;&gt;42,M7&lt;&gt;44,M7&lt;&gt;45,M7&lt;&gt;46,M7&lt;&gt;47,M7&lt;&gt;7,M7&lt;&gt;60,M7&lt;&gt;63,M7&lt;&gt;64,M7&lt;&gt;65,M7&lt;&gt;2,M7&lt;&gt;39,M7&lt;&gt;40,M7&lt;&gt;5,M7&lt;&gt;48,M7&lt;&gt;49,M7&lt;&gt;50,M7&lt;&gt;51,M7&lt;&gt;52,M7&lt;&gt;53,M7&lt;&gt;8,M7&lt;&gt;66,M7&lt;&gt;67,M7&lt;&gt;68,M7&lt;&gt;69,M7&lt;&gt;70,M7&lt;&gt;71),"d) Bagaimana  persamaan REAKSI BERSIH dan REAKSI TOTAL?",IF(AND($E$8=7,$C$12=TRUE,OR(M7=37,M7=42,M7=44,M7=45,M7=46,M7=47,M7=7,M7=60,M7=63,M7=64,M7=65)),"d) Mengapa konsentrasi ion klorida harus besar?",IF(AND($E$8=7,$C$12=TRUE,D11=2,OR(M7=2,M7=39,M7=40,M7=5,M7=48,M7=49,M7=50,M7=51,M7=52,M7=53,M7=8,M7=66,M7=67,M7=68,M7=69,M7=70,M7=71)),"d) Mengapa ion nitrat, sulfat, dan posfat tidak dapat dioksidasi?",IF(AND(E8=7,C12=TRUE,D11=3),"d) Tuliskan reaksi ion dan reaksi total",IF(AND($E$8=8,$C$12=TRUE,$E$17=0,D11=2),"4. Klik Tombol JAWABAN secara berurutan (a, b, c, d, e, f, g, h)",IF(AND($E$8=8,$C$12=TRUE,$E$17=0,D11=3),"4. Klik Tombol  JAWABAN secara berurutan (a, b, c, d, e, f)",""))))))</f>
        <v/>
      </c>
      <c r="AW33" s="26"/>
      <c r="AY33" s="29"/>
    </row>
    <row r="34" spans="7:53" x14ac:dyDescent="0.25">
      <c r="G34" s="165"/>
      <c r="I34" s="196"/>
      <c r="J34" s="193"/>
      <c r="K34" s="193"/>
      <c r="Q34" s="195"/>
      <c r="R34" s="192"/>
      <c r="AC34" s="33"/>
      <c r="AD34" s="26"/>
      <c r="AE34" s="26"/>
      <c r="AF34" s="26"/>
      <c r="AG34" s="26"/>
      <c r="AH34" s="31"/>
      <c r="AI34" s="31"/>
      <c r="AJ34" s="31"/>
      <c r="AK34" s="31"/>
      <c r="AL34" s="161" t="str">
        <f>IF(OR(W14=2,$E$8&lt;7),"","Cu")</f>
        <v>Cu</v>
      </c>
      <c r="AN34" s="26" t="s">
        <v>671</v>
      </c>
      <c r="AO34" s="26" t="str">
        <f>IF(Elektrolisis!$AJ$6="Error",IF(AND(Elektrolisis!$W$14=1,Elektrolisis!$E$8&gt;=7,Elektrolisis!$R$23=TRUE),INDEX(REAKSI!$J$2:$J$170,MATCH(3,REAKSI!$B$2:$B$170,1)),IF(OR(Elektrolisis!$W$14&lt;&gt;1,Elektrolisis!$E$8&lt;7,Elektrolisis!$R$23=FALSE),INDEX(REAKSI!$L$2:$L$170,MATCH(3,REAKSI!$B$2:$B$170,1)))),IF(AND(Elektrolisis!$W$14=1,Elektrolisis!$E$8&gt;=7,Elektrolisis!$R$23=TRUE),INDEX(REAKSI!$J$2:$J$170,MATCH(Elektrolisis!$M$7,REAKSI!$B$2:$B$170,1)),IF(OR(Elektrolisis!$W$14&lt;&gt;1,Elektrolisis!$E$8&lt;7,Elektrolisis!$R$23=FALSE),INDEX(REAKSI!$L$2:$L$170,MATCH(Elektrolisis!$M$7,REAKSI!$B$2:$B$170,1)))))</f>
        <v>Zn2+(aq) + 2e  → Zn(s)</v>
      </c>
      <c r="AP34" s="155">
        <f>L7</f>
        <v>7</v>
      </c>
      <c r="AQ34" s="26"/>
      <c r="AR34" s="35">
        <v>18</v>
      </c>
      <c r="AS34" s="144" t="s">
        <v>36</v>
      </c>
      <c r="AT34" s="33">
        <v>28</v>
      </c>
      <c r="AU34" s="145" t="s">
        <v>47</v>
      </c>
      <c r="AV34" s="26"/>
      <c r="AW34" s="26"/>
      <c r="AY34" s="29"/>
    </row>
    <row r="35" spans="7:53" x14ac:dyDescent="0.25">
      <c r="G35" s="165"/>
      <c r="I35" s="196"/>
      <c r="J35" s="193"/>
      <c r="K35" s="193"/>
      <c r="L35" s="193"/>
      <c r="R35" s="192"/>
      <c r="AC35" s="33"/>
      <c r="AD35" s="26"/>
      <c r="AE35" s="26"/>
      <c r="AF35" s="26"/>
      <c r="AG35" s="26"/>
      <c r="AH35" s="31"/>
      <c r="AI35" s="31"/>
      <c r="AJ35" s="31"/>
      <c r="AK35" s="31"/>
      <c r="AL35" s="161" t="str">
        <f>IF(AND(W14=1,$E$8&gt;=7,D11=2),"Ag","")</f>
        <v>Ag</v>
      </c>
      <c r="AN35" s="26" t="s">
        <v>672</v>
      </c>
      <c r="AO35" s="26" t="str">
        <f>IF(Elektrolisis!$AJ$6="Error",IF(AND(Elektrolisis!$W$14=1,Elektrolisis!$E$8&gt;=7,Elektrolisis!$R$22=TRUE),INDEX(REAKSI!$I$2:$I$170,MATCH(3,REAKSI!$B$2:$B$170,1)),IF(OR(Elektrolisis!$W$14&lt;&gt;1,Elektrolisis!$E$8&lt;7,Elektrolisis!$R$22=FALSE),INDEX(REAKSI!$L$2:$L$170,MATCH(3,REAKSI!$B$2:$B$170,1)))),IF(AND(Elektrolisis!$W$14=1,Elektrolisis!$E$8&gt;=7,Elektrolisis!$R$22=TRUE),INDEX(REAKSI!$I$2:$I$170,MATCH(Elektrolisis!$M$7,REAKSI!$B$2:$B$170,1)),IF(OR(Elektrolisis!$W$14&lt;&gt;1,Elektrolisis!$E$8&lt;7,Elektrolisis!$R$22=FALSE),INDEX(REAKSI!$L$2:$L$170,MATCH(Elektrolisis!$M$7,REAKSI!$B$2:$B$170,1)))))</f>
        <v>2Cl-(aq) → Cl2(g) + 2e</v>
      </c>
      <c r="AP35" s="26"/>
      <c r="AQ35" s="26"/>
      <c r="AR35" s="35">
        <v>32</v>
      </c>
      <c r="AS35" s="144" t="s">
        <v>36</v>
      </c>
      <c r="AT35" s="33">
        <v>13</v>
      </c>
      <c r="AU35" s="145" t="s">
        <v>50</v>
      </c>
      <c r="AV35" s="26"/>
      <c r="AW35" s="26"/>
      <c r="AY35" s="29"/>
    </row>
    <row r="36" spans="7:53" x14ac:dyDescent="0.25">
      <c r="G36" s="165"/>
      <c r="I36" s="196"/>
      <c r="J36" s="193"/>
      <c r="K36" s="193"/>
      <c r="L36" s="193"/>
      <c r="Q36" s="195"/>
      <c r="R36" s="192"/>
      <c r="AC36" s="33"/>
      <c r="AD36" s="26"/>
      <c r="AE36" s="26"/>
      <c r="AF36" s="26"/>
      <c r="AG36" s="26"/>
      <c r="AH36" s="31"/>
      <c r="AI36" s="31"/>
      <c r="AJ36" s="31"/>
      <c r="AK36" s="31"/>
      <c r="AM36" s="260"/>
      <c r="AN36" s="26" t="s">
        <v>673</v>
      </c>
      <c r="AO36" s="26" t="str">
        <f>IF(Elektrolisis!$AJ$6="Error",IF(AND(Elektrolisis!$W$14=1,Elektrolisis!$E$8&gt;=7,Elektrolisis!$Q$24=TRUE),INDEX(REAKSI!$K$2:$K$170,MATCH(3,REAKSI!$B$2:$B$170,1)),IF(OR(Elektrolisis!$W$14&lt;&gt;1,Elektrolisis!$E$8&lt;7,Elektrolisis!$Q$24=FALSE),INDEX(REAKSI!$L$2:$L$170,MATCH(3,REAKSI!$B$2:$B$170,1)))),IF(AND(Elektrolisis!$W$14=1,Elektrolisis!$E$8&gt;=7,Elektrolisis!$Q$24=TRUE),INDEX(REAKSI!$K$2:$K$170,MATCH(Elektrolisis!$M$7,REAKSI!$B$2:$B$170,1)),IF(OR(Elektrolisis!$W$14&lt;&gt;1,Elektrolisis!$E$8&lt;7,Elektrolisis!$Q$24=FALSE),INDEX(REAKSI!$L$2:$L$170,MATCH(Elektrolisis!$M$7,REAKSI!$B$2:$B$170,1)))))</f>
        <v xml:space="preserve">               Zn2+(aq) + 2Cl-(aq)  → Zn(s) + Cl2(g)</v>
      </c>
      <c r="AP36" s="26"/>
      <c r="AQ36" s="26"/>
      <c r="AR36" s="35">
        <v>33</v>
      </c>
      <c r="AS36" s="144" t="s">
        <v>36</v>
      </c>
      <c r="AT36" s="33">
        <v>18</v>
      </c>
      <c r="AU36" s="145" t="s">
        <v>50</v>
      </c>
      <c r="AV36" s="26" t="s">
        <v>267</v>
      </c>
      <c r="AW36" s="26" t="str">
        <f>IF(Elektrolisis!$AJ$6="Error",IF(AND(Elektrolisis!$W$14=1,Elektrolisis!$E$8&gt;=7,Elektrolisis!$R$22=TRUE),INDEX(REAKSI!$AC$3:$AC$170,MATCH(3,REAKSI!$B$3:$B$170,1)),IF(OR(Elektrolisis!$W$14&lt;&gt;1,Elektrolisis!$E$8&lt;7,Elektrolisis!$R$23=FALSE),INDEX(REAKSI!$AG$3:$AG$170,MATCH(3,REAKSI!$B$3:$B$170,1)))),IF(AND(Elektrolisis!$W$14=1,Elektrolisis!$E$8&gt;=7,Elektrolisis!$R$22=TRUE),INDEX(REAKSI!$AC$3:$AC$170,MATCH(Elektrolisis!$M$7,REAKSI!$B$3:$B$170,1)),IF(OR(Elektrolisis!$W$14&lt;&gt;1,Elektrolisis!$E$8&lt;7,Elektrolisis!$R$23=FALSE),INDEX(REAKSI!$AG$3:$AG$170,MATCH(Elektrolisis!$L$7,REAKSI!$B$3:$B$170,1)))))</f>
        <v>Cl-</v>
      </c>
      <c r="AX36" s="26" t="s">
        <v>271</v>
      </c>
      <c r="AY36" s="29">
        <f>IF(AND($W$14=1,Elektrolisis!$E$8&gt;=7,Elektrolisis!$R$22=TRUE),INDEX(REAKSI!$AM$2:$AM$170,MATCH(Elektrolisis!$M$7,REAKSI!$B$2:$B$170,1)),IF(OR($W$14&lt;&gt;1,Elektrolisis!$E$8&lt;7,Elektrolisis!$R$22=FALSE),INDEX(REAKSI!$AK$2:$AK$170,MATCH(Elektrolisis!$M$7,REAKSI!$B$2:$B$170,1))))</f>
        <v>0</v>
      </c>
      <c r="AZ36" s="19" t="str">
        <f>IF(AND(Elektrolisis!$W$14=1,Elektrolisis!$E$8&gt;=7,Elektrolisis!$R$22=TRUE),INDEX(REAKSI!$AC$3:$AC$170,MATCH(3,REAKSI!$B$3:$B$170,1)),IF(OR(Elektrolisis!$W$14&lt;&gt;1,Elektrolisis!$E$8&lt;7,Elektrolisis!$R$22=FALSE),INDEX(REAKSI!$AG$3:$AG$170,MATCH(3,REAKSI!$B$3:$B$170,1))))</f>
        <v>H2O</v>
      </c>
    </row>
    <row r="37" spans="7:53" x14ac:dyDescent="0.25">
      <c r="G37" s="165"/>
      <c r="I37" s="196"/>
      <c r="J37" s="193"/>
      <c r="K37" s="193"/>
      <c r="L37" s="193"/>
      <c r="R37" s="192"/>
      <c r="AC37" s="33"/>
      <c r="AD37" s="26"/>
      <c r="AE37" s="26"/>
      <c r="AF37" s="26"/>
      <c r="AG37" s="26"/>
      <c r="AH37" s="31"/>
      <c r="AI37" s="31"/>
      <c r="AJ37" s="31"/>
      <c r="AK37" s="31"/>
      <c r="AN37" s="26" t="s">
        <v>674</v>
      </c>
      <c r="AO37" s="26" t="str">
        <f>IF(Elektrolisis!$AJ$6="Error",IF(AND(Elektrolisis!$W$14=1,Elektrolisis!$E$8&gt;=7,Elektrolisis!$R$20=TRUE),INDEX(REAKSI!$X$3:$X$170,MATCH(3,REAKSI!$B$3:$B$170,1)),IF(OR(Elektrolisis!$W$14&lt;&gt;1,Elektrolisis!$E$8&lt;7,Elektrolisis!$R$23=FALSE),INDEX(REAKSI!$AH$3:$AH$170,MATCH(3,REAKSI!$B$3:$B$170,1)))),IF(AND(Elektrolisis!$W$14=1,Elektrolisis!$E$8&gt;=7,Elektrolisis!$R$20=TRUE),INDEX(REAKSI!$X$3:$X$170,MATCH(Elektrolisis!$M$7,REAKSI!$B$3:$B$170,1)),IF(OR(Elektrolisis!$W$14&lt;&gt;1,Elektrolisis!$E$8&lt;7,Elektrolisis!$R$23=FALSE),INDEX(REAKSI!$AH$3:$AH$170,MATCH(Elektrolisis!$L$7,REAKSI!$B$3:$B$170,1)))))</f>
        <v>E0 Cl- = -1,36 V</v>
      </c>
      <c r="AP37" s="26" t="str">
        <f>IF(W14=1,"ABC","")</f>
        <v>ABC</v>
      </c>
      <c r="AQ37" s="26"/>
      <c r="AR37" s="35">
        <v>34</v>
      </c>
      <c r="AS37" s="144" t="s">
        <v>36</v>
      </c>
      <c r="AT37" s="33">
        <v>31</v>
      </c>
      <c r="AU37" s="145" t="s">
        <v>50</v>
      </c>
      <c r="AV37" s="26" t="s">
        <v>268</v>
      </c>
      <c r="AW37" s="26" t="str">
        <f>IF(Elektrolisis!$AJ$6="Error",IF(AND(Elektrolisis!$W$14=1,Elektrolisis!$E$8&gt;=7,Elektrolisis!$R$22=TRUE),INDEX(REAKSI!$AD$3:$AD$170,MATCH(3,REAKSI!$B$3:$B$170,1)),IF(OR(Elektrolisis!$W$14&lt;&gt;1,Elektrolisis!$E$8&lt;7,Elektrolisis!$R$23=FALSE),INDEX(REAKSI!$AG$3:$AG$170,MATCH(3,REAKSI!$B$3:$B$170,1)))),IF(AND(Elektrolisis!$W$14=1,Elektrolisis!$E$8&gt;=7,Elektrolisis!$R$22=TRUE),INDEX(REAKSI!$AD$3:$AD$170,MATCH(Elektrolisis!$M$7,REAKSI!$B$3:$B$170,1)),IF(OR(Elektrolisis!$W$14&lt;&gt;1,Elektrolisis!$E$8&lt;7,Elektrolisis!$R$23=FALSE),INDEX(REAKSI!$AG$3:$AG$170,MATCH(Elektrolisis!$L$7,REAKSI!$B$3:$B$170,1)))))</f>
        <v>Cl2</v>
      </c>
      <c r="AX37" s="26" t="s">
        <v>272</v>
      </c>
      <c r="AY37" s="29">
        <f>IF(AND($W$14=1,Elektrolisis!$E$8&gt;=7,Elektrolisis!$R$23=TRUE),INDEX(REAKSI!$AM$2:$AM$170,MATCH(Elektrolisis!$M$7,REAKSI!$B$2:$B$170,1)),IF(OR($W$14&lt;&gt;1,Elektrolisis!$E$8&lt;7,Elektrolisis!$R$23=FALSE),INDEX(REAKSI!$AK$2:$AK$170,MATCH(Elektrolisis!$M$7,REAKSI!$B$2:$B$170,1))))</f>
        <v>0</v>
      </c>
    </row>
    <row r="38" spans="7:53" ht="15.75" thickBot="1" x14ac:dyDescent="0.3">
      <c r="G38" s="165"/>
      <c r="I38" s="196"/>
      <c r="J38" s="193"/>
      <c r="K38" s="193"/>
      <c r="L38" s="193"/>
      <c r="Q38" s="195"/>
      <c r="R38" s="192"/>
      <c r="AC38" s="33"/>
      <c r="AD38" s="26"/>
      <c r="AE38" s="26"/>
      <c r="AF38" s="26"/>
      <c r="AG38" s="26"/>
      <c r="AH38" s="31"/>
      <c r="AI38" s="31"/>
      <c r="AJ38" s="31"/>
      <c r="AK38" s="31"/>
      <c r="AN38" s="26" t="s">
        <v>675</v>
      </c>
      <c r="AO38" s="26" t="str">
        <f>IF(AND($W$14=1,$E$8&gt;=7,Elektrolisis!$R$23=TRUE),INDEX(REAKSI!$Z$3:$Z$170,MATCH(Elektrolisis!$M$7,REAKSI!$B$3:$B$170,1)),IF(OR($W$14&lt;&gt;1,$E$8&lt;7,Elektrolisis!$R$23=FALSE),INDEX(REAKSI!$AH$3:$AH$170,MATCH(Elektrolisis!$M$7,REAKSI!$B$3:$B$170,1))))</f>
        <v>E0 H2O = -0,83 V</v>
      </c>
      <c r="AP38" s="26"/>
      <c r="AQ38" s="26"/>
      <c r="AR38" s="35">
        <v>35</v>
      </c>
      <c r="AS38" s="144" t="s">
        <v>36</v>
      </c>
      <c r="AT38" s="373">
        <v>36</v>
      </c>
      <c r="AU38" s="374" t="s">
        <v>50</v>
      </c>
      <c r="AV38" s="26" t="s">
        <v>269</v>
      </c>
      <c r="AW38" s="26" t="str">
        <f>IF(Elektrolisis!$AJ$6="Error",IF(AND(Elektrolisis!$W$14=1,Elektrolisis!$E$8&gt;=7,Elektrolisis!$R$23=TRUE),INDEX(REAKSI!$AE$3:$AE$170,MATCH(3,REAKSI!$B$3:$B$170,1)),IF(OR(Elektrolisis!$W$14&lt;&gt;1,Elektrolisis!$E$8&lt;7,Elektrolisis!$R$23=FALSE),INDEX(REAKSI!$AG$3:$AG$170,MATCH(3,REAKSI!$B$3:$B$170,1)))),IF(AND(Elektrolisis!$W$14=1,Elektrolisis!$E$8&gt;=7,Elektrolisis!$R$23=TRUE),INDEX(REAKSI!$AE$3:$AE$170,MATCH(Elektrolisis!$M$7,REAKSI!$B$3:$B$170,1)),IF(OR(Elektrolisis!$W$14&lt;&gt;1,Elektrolisis!$E$8&lt;7,Elektrolisis!$R$23=FALSE),INDEX(REAKSI!$AG$3:$AG$170,MATCH(Elektrolisis!$L$7,REAKSI!$B$3:$B$170,1)))))</f>
        <v>Zn2+</v>
      </c>
      <c r="AX38" s="26" t="s">
        <v>273</v>
      </c>
      <c r="AY38" s="29">
        <f>IF(Elektrolisis!$E$8&gt;=7,INDEX(REAKSI!$AO$3:$AO$170,MATCH(Elektrolisis!$AX$39,REAKSI!$B$3:$B$170,1)),IF(Elektrolisis!$E$8&lt;7,INDEX(REAKSI!$AN$3:$AN$170,MATCH(Elektrolisis!$AX$39,REAKSI!$B$3:$B$170,1))))</f>
        <v>0</v>
      </c>
    </row>
    <row r="39" spans="7:53" ht="15.75" thickBot="1" x14ac:dyDescent="0.3">
      <c r="G39" s="165"/>
      <c r="I39" s="224"/>
      <c r="J39" s="193"/>
      <c r="K39" s="193"/>
      <c r="L39" s="193"/>
      <c r="R39" s="192"/>
      <c r="AC39" s="33"/>
      <c r="AD39" s="26"/>
      <c r="AE39" s="26"/>
      <c r="AF39" s="26"/>
      <c r="AG39" s="26"/>
      <c r="AH39" s="31"/>
      <c r="AI39" s="31"/>
      <c r="AJ39" s="31"/>
      <c r="AK39" s="31"/>
      <c r="AN39" s="26" t="s">
        <v>676</v>
      </c>
      <c r="AO39" s="26" t="str">
        <f>IF(Elektrolisis!$AJ$6="Error",IF(AND(Elektrolisis!$W$14=1,Elektrolisis!$E$8&gt;=7,Elektrolisis!$R$23=TRUE),INDEX(REAKSI!$AA$3:$AA$170,MATCH(3,REAKSI!$B$3:$B$170,1)),IF(OR(Elektrolisis!$W$14&lt;&gt;1,Elektrolisis!$E$8&lt;7,Elektrolisis!$R$23=FALSE),INDEX(REAKSI!$AH$3:$AH$170,MATCH(3,REAKSI!$B$3:$B$170,1)))),IF(AND(Elektrolisis!$W$14=1,Elektrolisis!$E$8&gt;=7,Elektrolisis!$R$23=TRUE),INDEX(REAKSI!$AA$3:$AA$170,MATCH(Elektrolisis!$M$7,REAKSI!$B$3:$B$170,1)),IF(OR(Elektrolisis!$W$14&lt;&gt;1,Elektrolisis!$E$8&lt;7,Elektrolisis!$R$23=FALSE),INDEX(REAKSI!$AH$3:$AH$170,MATCH(Elektrolisis!$L$7,REAKSI!$B$3:$B$170,1)))))</f>
        <v>E0 Zn2+ = -0,76 V</v>
      </c>
      <c r="AQ39" s="26"/>
      <c r="AR39" s="146">
        <v>36</v>
      </c>
      <c r="AS39" s="147" t="s">
        <v>36</v>
      </c>
      <c r="AT39" s="136">
        <v>21</v>
      </c>
      <c r="AU39" s="137" t="s">
        <v>36</v>
      </c>
      <c r="AV39" s="26" t="s">
        <v>270</v>
      </c>
      <c r="AW39" s="26" t="str">
        <f>IF(Elektrolisis!$AJ$6="Error",IF(AND(Elektrolisis!$W$14=1,Elektrolisis!$E$8&gt;=7,Elektrolisis!$R$23=TRUE),INDEX(REAKSI!$AF$3:$AF$170,MATCH(3,REAKSI!$B$3:$B$170,1)),IF(OR(Elektrolisis!$W$14&lt;&gt;1,Elektrolisis!$E$8&lt;7,Elektrolisis!$R$23=FALSE),INDEX(REAKSI!$AG$3:$AG$170,MATCH(3,REAKSI!$B$3:$B$170,1)))),IF(AND(Elektrolisis!$W$14=1,Elektrolisis!$E$8&gt;=7,Elektrolisis!$R$23=TRUE),INDEX(REAKSI!$AF$3:$AF$170,MATCH(Elektrolisis!$M$7,REAKSI!$B$3:$B$170,1)),IF(OR(Elektrolisis!$W$14&lt;&gt;1,Elektrolisis!$E$8&lt;7,Elektrolisis!$R$23=FALSE),INDEX(REAKSI!$AG$3:$AG$170,MATCH(Elektrolisis!$L$7,REAKSI!$B$3:$B$170,1)))))</f>
        <v>Zn</v>
      </c>
      <c r="AX39" s="26">
        <v>1</v>
      </c>
      <c r="AY39" s="29"/>
    </row>
    <row r="40" spans="7:53" x14ac:dyDescent="0.25">
      <c r="G40" s="165"/>
      <c r="I40" s="224"/>
      <c r="J40" s="193"/>
      <c r="K40" s="193"/>
      <c r="L40" s="193"/>
      <c r="Q40" s="195"/>
      <c r="R40" s="192"/>
      <c r="Z40" s="182"/>
      <c r="AC40" s="33"/>
      <c r="AD40" s="26"/>
      <c r="AE40" s="26"/>
      <c r="AF40" s="26"/>
      <c r="AG40" s="26"/>
      <c r="AH40" s="31"/>
      <c r="AI40" s="31"/>
      <c r="AJ40" s="31"/>
      <c r="AK40" s="31"/>
      <c r="AL40" s="25" t="str">
        <f>IF(AND($E$8=6,$AL$27=TRUE),"KI","")</f>
        <v/>
      </c>
      <c r="AN40" s="26"/>
      <c r="AO40" s="164"/>
      <c r="AQ40" s="26"/>
      <c r="AR40" s="26"/>
      <c r="AS40" s="26"/>
      <c r="AT40" s="26"/>
      <c r="AU40" s="26"/>
      <c r="AV40" s="26" t="str">
        <f>IF(AND(W14=3,E8&gt;=7),"Pilih START atau STOP","")</f>
        <v/>
      </c>
      <c r="AW40" s="26"/>
      <c r="AX40" s="26" t="s">
        <v>331</v>
      </c>
      <c r="AY40" s="29">
        <f>IF(AND(Elektrolisis!$W$14=1,Elektrolisis!$E$8&gt;=7),INDEX(REAKSI!$AS$174:$AS$341,MATCH(Elektrolisis!$E$8,REAKSI!$B$174:$B$341,1)),IF(OR(Elektrolisis!$W$14=2,Elektrolisis!$E$8&lt;7),INDEX(REAKSI!$AR$174:$AR$341,MATCH(Elektrolisis!$E$8,REAKSI!$B$174:$B$341,1))))</f>
        <v>0</v>
      </c>
    </row>
    <row r="41" spans="7:53" x14ac:dyDescent="0.25">
      <c r="G41" s="165"/>
      <c r="I41" s="224"/>
      <c r="J41" s="193"/>
      <c r="K41" s="194"/>
      <c r="L41" s="193"/>
      <c r="R41" s="192"/>
      <c r="Z41" s="182"/>
      <c r="AC41" s="33"/>
      <c r="AD41" s="26"/>
      <c r="AE41" s="26"/>
      <c r="AF41" s="26"/>
      <c r="AG41" s="26"/>
      <c r="AH41" s="31"/>
      <c r="AI41" s="31"/>
      <c r="AJ41" s="31"/>
      <c r="AK41" s="31"/>
      <c r="AL41" s="25" t="str">
        <f>IF(AND($E$8=6,$AL$27=TRUE),"H2SO4","")</f>
        <v/>
      </c>
      <c r="AN41" s="26" t="str">
        <f>IF($E$8=5,"Elektrolit","")</f>
        <v/>
      </c>
      <c r="AO41" s="164"/>
      <c r="AQ41" s="26"/>
      <c r="AR41" s="26" t="str">
        <f>IF(AND($W$14=1,$E$8&gt;=7,$R$20=TRUE,J5=1,AJ6&lt;&gt;"ERROR",OR(M7=37,M7=42,M7=44,M7=45,M7=46,M7=47,M7=7,M7=60,M7=63,M7=64,M7=65)),"konsentrasi [Cl-] harus besar","")</f>
        <v>konsentrasi [Cl-] harus besar</v>
      </c>
      <c r="AU41" s="26"/>
      <c r="AV41" s="26"/>
      <c r="AW41" s="26"/>
      <c r="AX41" s="26" t="s">
        <v>332</v>
      </c>
      <c r="AY41" s="29">
        <f>IF(AND(Elektrolisis!$W$14=1,Elektrolisis!$E$8&gt;=7),INDEX(REAKSI!$AR$174:$AR$341,MATCH(Elektrolisis!$E$8,REAKSI!$B$174:$B$341,1)),IF(OR(Elektrolisis!$W$14=2,Elektrolisis!$E$8&lt;7),INDEX(REAKSI!$AS$174:$AS$341,MATCH(Elektrolisis!$E$8,REAKSI!$B$174:$B$341,1))))</f>
        <v>0</v>
      </c>
    </row>
    <row r="42" spans="7:53" x14ac:dyDescent="0.25">
      <c r="G42" s="165"/>
      <c r="I42" s="224"/>
      <c r="J42" s="193"/>
      <c r="K42" s="194"/>
      <c r="L42" s="193"/>
      <c r="Q42" s="195"/>
      <c r="R42" s="192"/>
      <c r="AC42" s="33"/>
      <c r="AD42" s="26"/>
      <c r="AE42" s="26"/>
      <c r="AF42" s="26"/>
      <c r="AG42" s="26"/>
      <c r="AH42" s="31"/>
      <c r="AI42" s="31"/>
      <c r="AJ42" s="31"/>
      <c r="AK42" s="31"/>
      <c r="AL42" s="25" t="str">
        <f>IF(AND($E$8=6,$AL$27=TRUE),"CuSO4","")</f>
        <v/>
      </c>
      <c r="AM42" s="162"/>
      <c r="AN42" s="26"/>
      <c r="AO42" s="26"/>
      <c r="AQ42" s="26"/>
      <c r="AR42" s="26"/>
      <c r="AU42" s="26"/>
      <c r="AV42" s="26"/>
      <c r="AW42" s="26"/>
      <c r="AX42" s="26" t="str">
        <f>IFERROR(IF(OR(E9&lt;=7,E9=9),"",IF(OR(AN43="H2(g)",AN43="O2(g)"),"(a) V_"&amp;" "&amp;VLOOKUP(M7,REAKSI!B3:T170,16),"(a) W_"&amp;" "&amp;VLOOKUP(M7,REAKSI!B3:T170,16))),"")</f>
        <v>(a) W_ Zn(s)</v>
      </c>
      <c r="AY42" s="29"/>
      <c r="BA42" s="19" t="s">
        <v>14</v>
      </c>
    </row>
    <row r="43" spans="7:53" ht="15.75" thickBot="1" x14ac:dyDescent="0.3">
      <c r="G43" s="165"/>
      <c r="I43" s="224"/>
      <c r="J43" s="193"/>
      <c r="K43" s="194"/>
      <c r="L43" s="193"/>
      <c r="R43" s="192"/>
      <c r="AC43" s="33"/>
      <c r="AD43" s="26"/>
      <c r="AE43" s="26"/>
      <c r="AF43" s="26"/>
      <c r="AG43" s="26"/>
      <c r="AH43" s="31"/>
      <c r="AI43" s="31"/>
      <c r="AJ43" s="31"/>
      <c r="AK43" s="31"/>
      <c r="AL43" s="45" t="str">
        <f>IF(AND($E$8=6,$AL$27=TRUE),"NaCl","")</f>
        <v/>
      </c>
      <c r="AM43" s="46" t="str">
        <f>IF(W14&lt;&gt;1,"",IF(AND(E8=8,Q12=0,$D$11=3),"massa (m)  harus  &gt; 0",IF(AND(E8=8,Q12*Q13=0,$D$11=2),"Volume &amp; Kons. harus  &gt; 0",IF(AJ6="optimum","Kondisi Optimum",IF(AJ6="Error",AM7&amp;" "&amp;"habis!",IF(AJ6="soak","Kurang setrum",IF(AJ6="NO","Tidak ada contoh",IF(AND(E8=8,W14=1,OR(R20=FALSE,R22=FALSE,R23=FALSE,Q24=FALSE)),"Salah!!! Klik Tombol E, F, G, H",IF(AND(E8=8,OR(D9=1,D10=1,D11=1,D12=1)),"Tombol A, B, C, atau D belum dipilih","")))))))))</f>
        <v/>
      </c>
      <c r="AN43" s="46" t="str">
        <f>IFERROR(VLOOKUP($M$7,REAKSI!$B$3:$T$170,16),"")</f>
        <v>Zn(s)</v>
      </c>
      <c r="AO43" s="46" t="str">
        <f>IFERROR(VLOOKUP($M$7,REAKSI!$B$3:$T$170,12),"")</f>
        <v>Cl2(g)</v>
      </c>
      <c r="AP43" s="46" t="str">
        <f>IF(OR(E8=0,M7=0,W14=2),"",IF(AND(E8&gt;=7,OR(M7=148,M7=155),AL12&lt;&gt;"C",AL12&lt;&gt;"Ag"),"Penyepuhan logam"&amp;" "&amp;AL12&amp;" "&amp;"dengan perak (Ag)",IF(AND(E8&gt;=7,AL12&lt;&gt;"C",OR(M7=25,M7=103)),"Proses Pemurnian Logam Tembaga",IF(AND(E8&gt;=7,AL12&lt;&gt;"C",M7=148),"Proses Pemurnian Logam Perak",IF(AND(E8&gt;=7,AL11="C",AL12="C",OR(M7=4,M7=62)),"Produksi Iodin (I2)",IF(AND(E8&gt;=7,AL11="C",AL12="C",OR(M7=7,M7=42,M7=44,M7=45,M7=46,M7=47,M7=60,M7=63,M7=64,M7=65)),"Produksi Gas Klorin (Cl2)",IF(AND(E8&gt;=7,AL11="C",AL12="C",OR(M7=43,M7=61)),"Produksi Gas Bromin (Br2)","")))))))</f>
        <v>Produksi Gas Klorin (Cl2)</v>
      </c>
      <c r="AQ43" s="46"/>
      <c r="AR43" s="46"/>
      <c r="AS43" s="46"/>
      <c r="AT43" s="46" t="s">
        <v>14</v>
      </c>
      <c r="AU43" s="46"/>
      <c r="AV43" s="46"/>
      <c r="AW43" s="46"/>
      <c r="AX43" s="46" t="str">
        <f>IFERROR(IF(OR(E9&lt;=7,E9=9),"",IF(OR(AO43="H2(g)",AO43="O2(g)",AO43="Cl2(g)",AO43="Br2(g)",AO43="I2(g)"),"(b) V_"&amp;" "&amp;VLOOKUP(M7,REAKSI!B3:T170,12)&amp;" "&amp;"(c) t_maks, (d) Q(%), (e) r_di katoda, (f) r_anoda, (g) [H+], [OH-], Kw","b) Kons. "&amp;" "&amp;VLOOKUP(M7,REAKSI!B3:T170,12)&amp;" "&amp;"(c) t_maks, (d) Q(%), (e) r_katoda, (f) r_anoda, (g) pH larutan")),"")</f>
        <v>(b) V_ Cl2(g) (c) t_maks, (d) Q(%), (e) r_di katoda, (f) r_anoda, (g) [H+], [OH-], Kw</v>
      </c>
      <c r="AY43" s="47"/>
      <c r="AZ43" s="19" t="s">
        <v>14</v>
      </c>
    </row>
    <row r="44" spans="7:53" x14ac:dyDescent="0.25">
      <c r="G44" s="165"/>
      <c r="I44" s="224"/>
      <c r="J44" s="193"/>
      <c r="K44" s="194"/>
      <c r="L44" s="193"/>
      <c r="AC44" s="33"/>
      <c r="AD44" s="26"/>
      <c r="AE44" s="26"/>
      <c r="AF44" s="26"/>
      <c r="AG44" s="26"/>
      <c r="AH44" s="31"/>
      <c r="AI44" s="31"/>
      <c r="AJ44" s="31"/>
      <c r="AK44" s="31"/>
      <c r="AL44" s="25" t="str">
        <f>IF(AND($E$8=6,$AL$27=TRUE),"Penyepuhan","")</f>
        <v/>
      </c>
      <c r="AM44" s="234">
        <f>IFERROR((Q12*Q13*AS44),"")</f>
        <v>65.39</v>
      </c>
      <c r="AN44" s="202" t="str">
        <f>IF(AND(E8=8,E17&gt;=3,OR(R22=TRUE,R23=TRUE)),"Produk =","")</f>
        <v>Produk =</v>
      </c>
      <c r="AO44" s="202" t="str">
        <f>IF(AND($E$8=8,$W$14=1,$E$17&gt;=1),IF(AND($E$8&gt;=7,$R$23=TRUE),VLOOKUP($M$7,REAKSI!$B$3:$AF$172,31),""),"")</f>
        <v>Zn</v>
      </c>
      <c r="AP44" s="202" t="str">
        <f>IF(AND($E$8=8,$W$14=1,$E$17&gt;=1),IF(AND($E$8&gt;=7,$R$22=TRUE),VLOOKUP($M$7,REAKSI!$B$3:$AD$172,29),""),"")</f>
        <v>Cl2</v>
      </c>
      <c r="AQ44" s="201"/>
      <c r="AR44" s="201" t="str">
        <f>IF(AND(E8=8,W14=1,E17&gt;=3,M5=1,OR(R22=TRUE,R23=TRUE)),"Ar =","")</f>
        <v>Ar =</v>
      </c>
      <c r="AS44" s="263">
        <f>IF(AND($E$8&gt;=7,$W$14=1),VLOOKUP($M$7,REAKSI!$B$3:$T$172,18),"")</f>
        <v>65.39</v>
      </c>
      <c r="AT44" s="202">
        <f>IF(AND($W$14=1,$E$8&gt;=7,$R$22=TRUE),VLOOKUP($M$7,REAKSI!$B$3:$T$172,14),"")</f>
        <v>71</v>
      </c>
      <c r="AW44" s="202" t="str">
        <f>IF(AND(E8=8,E17&gt;=3,W14=1,R22=TRUE,M5=1,D11=2,C12=TRUE,AP44="I2"),"g",IF(AND(E8=8,E17&gt;=3,W14=1,R22=TRUE,M5=1,D11=2,C12=TRUE,OR(AP44="H2",AP44="O2",AP44="Br2",AP44="Cl2")),"L",IF(AND(E8=8,E17&gt;=3,W14=1,R22=TRUE,M5=1,D11=2,C12=TRUE,AP44&lt;&gt;"H2",AP44&lt;&gt;"O2",AP44&lt;&gt;"Br2",AP44&lt;&gt;"Cl2",AP44&lt;&gt;"I2"),"M",IF(AND(E8=8,E17&gt;=3,W14=1,R22=TRUE,D11=3,C12=TRUE,OR(AP44&lt;&gt;"H2",AP44&lt;&gt;"O2",AP44&lt;&gt;"Br2",AP44&lt;&gt;"Cl2",AP44&lt;&gt;"I2")),"L",""))))</f>
        <v>L</v>
      </c>
      <c r="AY44" s="238">
        <f>IFERROR(IF(AND(AD15=TRUE,AD16=TRUE,W14=1,C18=TRUE,Q12*Q13&gt;0),IF(AND(AJ6&lt;&gt;"error",$AJ$6&lt;&gt;"optimum",OR(M7=4,M7=21,M7=42,M7=43,M7=44,M7=45,M7=46,M7=47,M7=168)),14+LOG(AH18),IF(AND($AJ$6&lt;&gt;"optimum",$AW$48=1,AJ6&lt;&gt;"error",M7&lt;&gt;1,M7&lt;&gt;2,M7&lt;&gt;40),-LOG(Q13-AH18),IF(AND($AJ$6&lt;&gt;"optimum",$AW$48=1,AJ6&lt;&gt;"error",M7=2),-LOG(2*Q13-AH18),IF(AND($AJ$6&lt;&gt;"optimum",$AW$48=1,AJ6&lt;&gt;"error",M7=40),-LOG(((0.0075*Q13)^0.5)-AH18),IF(AND($AJ$6&lt;&gt;"optimum",$AW$48=1,AJ6&lt;&gt;"error",M7=1),-LOG(((0.00065*Q13)^0.5)-AH18),IF(AND($AJ$6&lt;&gt;"optimum",$AW$48=2,AJ6&lt;&gt;"error"),14+LOG(Q13-AH18),IF(OR(AJ6="error",$AJ$6="optimum",$AW$48=0),-LOG(AH18^0.5)))))))),""),"")</f>
        <v>7</v>
      </c>
      <c r="AZ44" s="225" t="s">
        <v>14</v>
      </c>
    </row>
    <row r="45" spans="7:53" x14ac:dyDescent="0.25">
      <c r="G45" s="165"/>
      <c r="I45" s="224"/>
      <c r="J45" s="193"/>
      <c r="K45" s="194"/>
      <c r="L45" s="193"/>
      <c r="AC45" s="33"/>
      <c r="AD45" s="26"/>
      <c r="AE45" s="26"/>
      <c r="AF45" s="26"/>
      <c r="AG45" s="26"/>
      <c r="AH45" s="31"/>
      <c r="AI45" s="31"/>
      <c r="AJ45" s="31"/>
      <c r="AK45" s="31"/>
      <c r="AM45" s="228">
        <f>IF(M7=2,2*Q12*Q13*22.4,IF(AND(M7&lt;&gt;40,M7&lt;&gt;2),Q12*Q13*22.4,IF(M7=40,(0.0075*Q13)^0.5*22.4,IF(M7=1,(0.00065*Q13)^0.5*22.4))))</f>
        <v>22.4</v>
      </c>
      <c r="AN45" s="203" t="str">
        <f>IF(AND(E8=8,E17&gt;=3,OR(R22=TRUE,R23=TRUE)),"n =","")</f>
        <v>n =</v>
      </c>
      <c r="AO45" s="203">
        <f>IF(AND($E$8=8,$W$14=1,$E$17&gt;=1,$E$8&gt;=7,$R$23=TRUE),VLOOKUP($M$7,REAKSI!$B$3:$T$172,17),"")</f>
        <v>2</v>
      </c>
      <c r="AP45" s="203">
        <f>IF(AND($E$8=8,$W$14=1,$E$17&gt;=1,$E$8&gt;=7,$R$22=TRUE),VLOOKUP($M$7,REAKSI!$B$3:$T$172,13),"")</f>
        <v>2</v>
      </c>
      <c r="AT45" s="204" t="str">
        <f>IF(AND(E8=8,W14=1,E17&gt;=3,R23=TRUE,M5=1,D11=2,C12=TRUE,OR(AO44="H2",AO44="O2")),"L",IF(AND(E8=8,W14=1,E17&gt;=3,R23=TRUE,M5=1,D11=2,C12=TRUE,OR(AO44&lt;&gt;"H2",AO44&lt;&gt;"O2")),"g",IF(AND(E8=8,W14=1,E17&gt;=3,R23=TRUE,D11=3,C12=TRUE,AO44&lt;&gt;"H2",AO44&lt;&gt;"O2"),"g","")))</f>
        <v>g</v>
      </c>
      <c r="AW45" s="227" t="str">
        <f>IF(AND($AJ$6&lt;&gt;"optimum",$AW$48=1,$AJ$6&lt;&gt;"error",D11=2,C12=TRUE),"g) [H+] =",IF(AND($AJ$6&lt;&gt;"optimum",$AW$48=2,$AJ$6&lt;&gt;"error",C12=TRUE),"g) [OH-] =",IF(OR($AJ$6="error",$AJ$6="optimum",$AW$48=0,C12=TRUE),"g) Kw =")))</f>
        <v>g) Kw =</v>
      </c>
      <c r="AY45" s="239" t="str">
        <f>IF(AW45="","c) Kw =","")</f>
        <v/>
      </c>
      <c r="AZ45" s="181" t="s">
        <v>14</v>
      </c>
    </row>
    <row r="46" spans="7:53" x14ac:dyDescent="0.25">
      <c r="G46" s="193"/>
      <c r="I46" s="224"/>
      <c r="J46" s="225"/>
      <c r="AC46" s="33"/>
      <c r="AD46" s="26"/>
      <c r="AE46" s="26"/>
      <c r="AF46" s="26"/>
      <c r="AG46" s="26"/>
      <c r="AH46" s="31"/>
      <c r="AI46" s="31"/>
      <c r="AJ46" s="31"/>
      <c r="AK46" s="31"/>
      <c r="AO46" s="407" t="str">
        <f>AX42&amp;"  "&amp;AX43</f>
        <v>(a) W_ Zn(s)  (b) V_ Cl2(g) (c) t_maks, (d) Q(%), (e) r_di katoda, (f) r_anoda, (g) [H+], [OH-], Kw</v>
      </c>
      <c r="AP46" s="408"/>
      <c r="AQ46" s="237">
        <f>IFERROR(IF(AND(C18=TRUE,AD12=TRUE,W14=1),IF(AND(M7=1,M7&lt;&gt;3,OR(AO44="H2",AO44="O2")),(Q15/(((0.00065*Q13)^0.5)*96500*2/Q14))*100,IF(AND(M7=40,OR(AO44="H2",AO44="O2")),(Q15/(((0.0075*Q13)^0.5)*96500*2/Q14))*100,IF(AND(M7&lt;&gt;1,M7&lt;&gt;3,M7&lt;&gt;40,OR(AO44="H2",AO44="O2")),(AH12/AM45)*100,IF(AND(M7&lt;&gt;1,M7=3,M7&lt;&gt;40,OR(AO44="H2",AO44="O2")),(Q15/AH14)*100,IF(AND(M7&lt;&gt;3,OR(AO44&lt;&gt;"H2",AO44&lt;&gt;"O2")),(AH12/Q15)*100))))),""),"")</f>
        <v>0.33880829015544039</v>
      </c>
      <c r="AR46" s="205" t="str">
        <f>IF(AND($E$8=8,J5=1,$E$17&gt;=1),"Ar"&amp;" "&amp;AO44&amp;":","")</f>
        <v>Ar Zn:</v>
      </c>
      <c r="AS46" s="206" t="str">
        <f>IF(AND($E$8=8,J5=1,$E$17&gt;=1),"e_"&amp;" "&amp;AO44&amp;":","")</f>
        <v>e_ Zn:</v>
      </c>
      <c r="AT46" s="205" t="str">
        <f>IF(AND($E$8=8,J5=1,$E$17&gt;=1),"Ar"&amp;" "&amp;AP44&amp;":","")</f>
        <v>Ar Cl2:</v>
      </c>
      <c r="AY46" s="379"/>
    </row>
    <row r="47" spans="7:53" x14ac:dyDescent="0.25">
      <c r="AC47" s="33"/>
      <c r="AD47" s="26"/>
      <c r="AE47" s="26"/>
      <c r="AF47" s="26"/>
      <c r="AG47" s="26"/>
      <c r="AH47" s="31"/>
      <c r="AI47" s="31"/>
      <c r="AJ47" s="31"/>
      <c r="AK47" s="31"/>
      <c r="AM47" s="205" t="str">
        <f>IF(AND(E8=8,W14=1,E15=3,M5=1,D11=2,C12=TRUE),"s",IF(AND(E8=8,W14=1,E15=3,D11=3,C12=TRUE),"s",""))</f>
        <v>s</v>
      </c>
      <c r="AN47" s="205" t="str">
        <f>IF(AND(E8=8,W14=1,E15=3,M5=1,D11=2,C12=TRUE),"mol/s",IF(AND(E8=8,W14=1,E15=3,D11=3,C12=TRUE),"g/s",""))</f>
        <v>mol/s</v>
      </c>
      <c r="AR47" s="235">
        <f>IF(AND($E$8=8,J5=1,$E$17&gt;=1),AS44,"")</f>
        <v>65.39</v>
      </c>
      <c r="AS47" s="235">
        <f>IF(AND($E$8=8,J5=1,$E$17&gt;=1,Q12*Q13&gt;0),AO45,"")</f>
        <v>2</v>
      </c>
      <c r="AT47" s="235">
        <f>IF(AND($E$8=8,J5=1,$E$17&gt;=1),AT44,"")</f>
        <v>71</v>
      </c>
      <c r="AU47" s="235" t="str">
        <f>IF(AND($E$8=8,J5=1,$E$17&gt;=1),"e_"&amp;" "&amp;AP44&amp;":","")</f>
        <v>e_ Cl2:</v>
      </c>
      <c r="AV47" s="235">
        <f>IF(AND($E$8=8,J5=1,$E$17&gt;=1,Q12*Q13&gt;0),AP45,"")</f>
        <v>2</v>
      </c>
      <c r="AW47" s="205" t="str">
        <f>IF($E$8=5,"Kabel","")</f>
        <v/>
      </c>
      <c r="AY47" s="379"/>
    </row>
    <row r="48" spans="7:53" x14ac:dyDescent="0.25">
      <c r="AC48" s="33"/>
      <c r="AD48" s="26"/>
      <c r="AE48" s="26"/>
      <c r="AF48" s="26"/>
      <c r="AG48" s="26"/>
      <c r="AH48" s="31"/>
      <c r="AI48" s="31"/>
      <c r="AJ48" s="31"/>
      <c r="AK48" s="31"/>
      <c r="AN48" s="207"/>
      <c r="AP48" s="184" t="str">
        <f>IF(W14=1,IF($E$20=0,"Klik O (RUMUS)",IF($E$20=1,"Konsentrasi (mol)",IF($E$20=2,"Coulomb (C)",IF($E$20=3,"Faraday (F)",IF($E$20=4,"Daya Baterai",IF(OR($E$20=5,$E$20=8),"Massa zat (w)",IF(OR($E$20=6,$E$20=7),"Volume gas (V)",IF($E$20=10,"Waktu (t_maks)",IF($E$20=11,"Quantitas (Q)",IF($E$20=12,"Laju reaksi (r)",IF($E$20=13,"Laju Reaksi (r)",IF($E$20=14,"[H+], [OH-], Kw",IF($E$20=15,"pH larutan",IF($E$20=9,"Molaritas")))))))))))))),"")</f>
        <v>Massa zat (w)</v>
      </c>
      <c r="AQ48" s="205" t="str">
        <f>IF(AND(E8=8,W14=1,E15=3,M5=1,C12=TRUE),"%",IF(AND(E8=8,W14=1,E15=3,D11=3,C12=TRUE),"%",""))</f>
        <v>%</v>
      </c>
      <c r="AW48" s="232">
        <f>VLOOKUP(M7,REAKSI!B3:U172,20)</f>
        <v>0</v>
      </c>
      <c r="AX48" s="262">
        <f>IF(AY44&lt;0,0,AY44)</f>
        <v>7</v>
      </c>
      <c r="AY48" s="240" t="str">
        <f>IF(AND(E15=3,C12=TRUE,W14=1),"Klik Tombol J","")</f>
        <v>Klik Tombol J</v>
      </c>
    </row>
    <row r="49" spans="29:51" x14ac:dyDescent="0.25">
      <c r="AC49" s="33"/>
      <c r="AD49" s="26"/>
      <c r="AE49" s="26"/>
      <c r="AF49" s="26"/>
      <c r="AG49" s="26"/>
      <c r="AH49" s="31"/>
      <c r="AI49" s="31"/>
      <c r="AJ49" s="31"/>
      <c r="AK49" s="31"/>
      <c r="AP49" s="184" t="str">
        <f>IF($W$14=1,"LATIHAN","")</f>
        <v>LATIHAN</v>
      </c>
      <c r="AV49" s="186" t="str">
        <f>IF($E$8=6,"VIDEO","")</f>
        <v/>
      </c>
      <c r="AW49" s="208" t="str">
        <f>IF(OR($E$8=7,$E$8=8,$W$12=TRUE),"START","")</f>
        <v>START</v>
      </c>
      <c r="AX49" s="205" t="str">
        <f>IF(OR($E$8=7,$E$8=8,$W$13=TRUE),"STOP","")</f>
        <v>STOP</v>
      </c>
      <c r="AY49" s="241" t="str">
        <f>IF(AND(C12=TRUE,W14=1),"Klik di bawah ini","")</f>
        <v>Klik di bawah ini</v>
      </c>
    </row>
    <row r="50" spans="29:51" x14ac:dyDescent="0.25">
      <c r="AC50" s="33"/>
      <c r="AD50" s="26"/>
      <c r="AE50" s="26"/>
      <c r="AF50" s="26"/>
      <c r="AG50" s="26"/>
      <c r="AH50" s="31"/>
      <c r="AI50" s="31"/>
      <c r="AJ50" s="31"/>
      <c r="AK50" s="31"/>
      <c r="AL50" s="242" t="str">
        <f>IF(AND(E8=8,W14&lt;&gt;1),"Klik →","")</f>
        <v/>
      </c>
      <c r="AM50" s="243">
        <f>IFERROR(IF(AND(E8=8,W14=1,E15&gt;=1),(AJ26/AJ27)*Q12*1000,""),"")</f>
        <v>803.51437699680514</v>
      </c>
      <c r="AN50" s="244">
        <f>IF(AND(E8=8,W14=1,AD11=TRUE,C18=TRUE),($Q$12*1000/$AJ$27)*$AO$45*96500/$Q$14,"")</f>
        <v>237159.00712705828</v>
      </c>
      <c r="AO50" s="245" t="str">
        <f>IF(AND(E8=8,W14=1,E15=3,M5=1,D11=2,C12=TRUE),"mol/s",IF(AND(E8=8,W14=1,E15=3,D11=3,C12=TRUE),"mol/s",""))</f>
        <v>mol/s</v>
      </c>
      <c r="AP50" s="246">
        <f>IF(AND(E8=8,W14=1,AD14=TRUE,C18=TRUE),(Q14/(AP45*96500)),"")</f>
        <v>5.1813471502590674E-5</v>
      </c>
      <c r="AQ50" s="247">
        <f>IF(AND(E8=8,W14=1,AD12=TRUE,C18=TRUE,C12=TRUE),(Q15/AH14)*100,"")</f>
        <v>37.290155440414509</v>
      </c>
      <c r="AS50" s="243">
        <f>IF(AND(E8=8,W14=1,AD9=TRUE,C18=TRUE),(Q14*Q15*AS44)/(96500*AO45),"")</f>
        <v>24.384032642487046</v>
      </c>
      <c r="AT50" s="19">
        <f>IF(OR($R$20=TRUE,$R$22=TRUE,$R$23=TRUE,$Q$24=TRUE),1,0)</f>
        <v>1</v>
      </c>
      <c r="AU50" s="163">
        <f>IF(AND(E8=8,W14=1,AD13=TRUE,C18=TRUE),(AJ26/AO45)*(Q14/96500),"")</f>
        <v>3.3880829015544042E-3</v>
      </c>
      <c r="AV50" s="243">
        <f>IF(AND(E8=8,W14=1,AD10=TRUE,C18=TRUE),(Q14*Q15)/(96500*AP45)*22.4,"")</f>
        <v>8.3529948186528493</v>
      </c>
      <c r="AW50" s="89">
        <f>IF(D11=2,Q12*Q13*Q14*Q15,IF(D11=3,Q12*Q14*Q15))</f>
        <v>71970</v>
      </c>
      <c r="AX50" s="257">
        <f>IF(AND($R$20=TRUE,$R$22=TRUE,$R$23=TRUE,$Q$24=TRUE),1,0)</f>
        <v>1</v>
      </c>
      <c r="AY50" s="258">
        <f>(D9-1)*(J4-1)*(D11-1)*(D10-1)</f>
        <v>7</v>
      </c>
    </row>
    <row r="51" spans="29:51" x14ac:dyDescent="0.25">
      <c r="AC51" s="33"/>
      <c r="AD51" s="26"/>
      <c r="AE51" s="26"/>
      <c r="AF51" s="26"/>
      <c r="AG51" s="26"/>
      <c r="AH51" s="31"/>
      <c r="AI51" s="31"/>
      <c r="AJ51" s="31"/>
      <c r="AK51" s="31"/>
      <c r="AL51" s="293" t="s">
        <v>677</v>
      </c>
      <c r="AM51" s="243">
        <f>IF(AND($W$14=1,$E$8=8,$E$15&gt;=1,M5=1,D11=2,Q12*Q13&gt;0,M7&lt;&gt;3),Q13,IF(AND($W$14=1,$E$8=8,$E$15&gt;=1,M5=1,D11=2,Q12*Q13&gt;0,M7=3),Q12*1000/18,IF(AND($W$14=1,$E$8=8,D11=3,$E$15&gt;=1,Q12*Q13&gt;0),"","")))</f>
        <v>1</v>
      </c>
      <c r="AN51" s="244">
        <f>IF(AND(E8=8,E17&gt;=3,W14=1,R23=TRUE,AD11=TRUE,M5=1,M7&lt;&gt;1,M7&lt;&gt;2,M7&lt;&gt;40,M7=3,Q12*Q13&gt;0),((Q12*1000/18)*2*96500)/Q15,IF(AND(E8=8,E17&gt;=3,W14=1,R23=TRUE,AD11=TRUE,M5=1,M7&lt;&gt;1,M7&lt;&gt;2,M7&lt;&gt;40,M7&lt;&gt;3,Q12*Q13&gt;0),Q12*Q13*AO45*96500/Q14,IF(AND(E8=8,E17&gt;=3,W14=1,R23=TRUE,AD11=TRUE,M5=1,M7=2,M7&lt;&gt;1,M7&lt;&gt;7,M7&lt;&gt;40),2*Q12*Q13*AO45*96500/Q14,IF(AND(E8=8,E17&gt;=3,W14=1,R23=TRUE,AD11=TRUE,M5=1,M7=40),(((0.0075*Q13)^0.5)*96500*2)/Q14,IF(AND(E8=8,E17&gt;=3,W14=1,R23=TRUE,AD11=TRUE,M5=1,M7=1),(((0.00065*Q13)^0.5)*96500*2)/Q14,"")))))</f>
        <v>19300</v>
      </c>
      <c r="AO51" s="163" t="str">
        <f>IF(AND(E8=8,W14=1,E15=3,M5=1,D11=2,C12=TRUE),"mol/L","")</f>
        <v>mol/L</v>
      </c>
      <c r="AP51" s="246">
        <f>IF(AND(E8=8,W14=1,E17&gt;=3,R23=TRUE,AD14=TRUE,Q15&lt;&gt;0,M5=1,Q12*Q13&gt;0),Q14/(AP45*96500),"")</f>
        <v>5.1813471502590674E-5</v>
      </c>
      <c r="AQ51" s="247">
        <f>IF(AND(C18=TRUE,AD12=TRUE,W14=1,D11=2),IF(OR(AJ6="",AQ46&lt;=100),AQ46,IF(AJ6="error",100)),"")</f>
        <v>0.33880829015544039</v>
      </c>
      <c r="AS51" s="243">
        <f>IF($AJ$6="Error",AM44,IF(AND(E8=8,E17&gt;=3,W14=1,R23=TRUE,AD9=TRUE,M5=1,Q12*Q13&gt;0),IF(OR(AO44="H2",AO44="O2"),(Q14*Q15)/(96500*AO45)*22.4,(Q14*Q15*AS44)/(96500*AO45)),""))</f>
        <v>24.384032642487046</v>
      </c>
      <c r="AT51" s="19">
        <f>IF(OR($R$20=FALSE,$R$22=FALSE,$R$23=FALSE,$Q$24=FALSE),0,1)</f>
        <v>1</v>
      </c>
      <c r="AU51" s="163">
        <f>IF(AND(E8=8,E17&gt;=3,W14=1,R23=TRUE,AD13=TRUE,Q15&lt;&gt;0,M5=1,Q12*Q13&gt;0),Q14/(AO45*96500),"")</f>
        <v>5.1813471502590674E-5</v>
      </c>
      <c r="AV51" s="294">
        <f>IF(AJ6="Error",AM45,IF(AND(E8=8,W14=1,E17&gt;=3,R22=TRUE,AD10=TRUE,M5=1,Q12*Q13&gt;0,AP44="I2"),(Q14*Q15*AS44)/(96500*AP45),IF(AND(E8=8,W14=1,E17&gt;=3,R22=TRUE,AD10=TRUE,M5=1,Q12*Q13&gt;0),IF(OR(AP44="H2",AP44="O2",AP44="Br2",AP44="Cl2"),(Q14*Q15)/(96500*AP45)*22.4,(Q14*Q15)/(96500*AP45*Q12)),"")))</f>
        <v>8.3529948186528493</v>
      </c>
      <c r="AW51" s="89" t="s">
        <v>668</v>
      </c>
      <c r="AX51" s="295" t="s">
        <v>666</v>
      </c>
      <c r="AY51" s="258" t="s">
        <v>667</v>
      </c>
    </row>
    <row r="52" spans="29:51" x14ac:dyDescent="0.25">
      <c r="AC52" s="33"/>
      <c r="AD52" s="26"/>
      <c r="AE52" s="26"/>
      <c r="AF52" s="26"/>
      <c r="AG52" s="26"/>
      <c r="AH52" s="31"/>
      <c r="AI52" s="31"/>
      <c r="AJ52" s="31"/>
      <c r="AK52" s="31"/>
      <c r="AL52" s="296"/>
      <c r="AM52" s="297" t="s">
        <v>749</v>
      </c>
      <c r="AN52" s="297">
        <f>IF(AW48=0,0.0000001,"")</f>
        <v>9.9999999999999995E-8</v>
      </c>
      <c r="AO52" s="297">
        <f>IFERROR(IF($AW$48=0,(Q14*Q15)/(96500*2*Q12)),"")</f>
        <v>0.37290155440414507</v>
      </c>
      <c r="AP52" s="297">
        <f>IFERROR(-LOG(AN52),"")</f>
        <v>7</v>
      </c>
      <c r="AQ52" s="297">
        <f>IFERROR(AM4314+LOG(AO52),0)</f>
        <v>-0.42840580632028069</v>
      </c>
      <c r="AR52" s="297"/>
      <c r="AS52" s="298"/>
      <c r="AT52" s="297"/>
      <c r="AU52" s="297"/>
      <c r="AV52" s="298" t="s">
        <v>14</v>
      </c>
      <c r="AW52" s="297" t="s">
        <v>14</v>
      </c>
      <c r="AX52" s="299"/>
      <c r="AY52" s="300"/>
    </row>
    <row r="53" spans="29:51" x14ac:dyDescent="0.25">
      <c r="AC53" s="33"/>
      <c r="AD53" s="26"/>
      <c r="AE53" s="26"/>
      <c r="AF53" s="26"/>
      <c r="AG53" s="26"/>
      <c r="AH53" s="31"/>
      <c r="AI53" s="31"/>
      <c r="AJ53" s="31"/>
      <c r="AK53" s="31"/>
      <c r="AL53" s="296"/>
      <c r="AM53" s="297" t="s">
        <v>748</v>
      </c>
      <c r="AN53" s="298">
        <f>IFERROR(IF(AND($AW$48=1,OR(M7=1,M7=19,M7=119)),(Q13*0.0006)^0.5,IF(AND($AW$48=1,OR(M7=40,M7=81,M7=124)),(Q13*0.0075)^0.5,IF(AND($AW$48=1,OR(M7=2,M7=20,M7=122)),2*Q13,Q13))),"")</f>
        <v>1</v>
      </c>
      <c r="AO53" s="298">
        <f>IF(AND(AW48=1,OR(M7=1,M7=19,M7=119)),(Q13*0.0006)^0.5-(0.01*AH15*Q13*0.006),IF(AND(AW48=1,OR(M7=40,M7=81,M7=124)),(Q13*0.0075)^0.5-(0.01*AH15*Q13*0.0075),IF(AND(AW48=1,OR(M7=2,M7=20,M7=122)),2*Q13-(2*0.01*AH15*Q13),Q13-(0.01*AH15*Q13))))</f>
        <v>0.99661191709844554</v>
      </c>
      <c r="AP53" s="298">
        <f>-LOG(AN53)</f>
        <v>0</v>
      </c>
      <c r="AQ53" s="298" t="b">
        <f>IFERROR(IF(AND(AQ50&gt;=100,AW48=1),7,IF(AND(AQ50&lt;100,AW48=1),-LOG(AO53))),0)</f>
        <v>0</v>
      </c>
      <c r="AR53" s="307">
        <f>IF($AW$48=0,AP52,IF($AW$48=1,AP53,IF($AW$48=2,AP54)))</f>
        <v>7</v>
      </c>
      <c r="AS53" s="298"/>
      <c r="AT53" s="297"/>
      <c r="AU53" s="297"/>
      <c r="AV53" s="298"/>
      <c r="AW53" s="297"/>
      <c r="AX53" s="297"/>
      <c r="AY53" s="300" t="s">
        <v>14</v>
      </c>
    </row>
    <row r="54" spans="29:51" ht="15.75" thickBot="1" x14ac:dyDescent="0.3">
      <c r="AC54" s="373"/>
      <c r="AD54" s="46"/>
      <c r="AE54" s="46"/>
      <c r="AF54" s="46"/>
      <c r="AG54" s="46"/>
      <c r="AH54" s="380"/>
      <c r="AI54" s="380"/>
      <c r="AJ54" s="380"/>
      <c r="AK54" s="380"/>
      <c r="AL54" s="301"/>
      <c r="AM54" s="302" t="s">
        <v>98</v>
      </c>
      <c r="AN54" s="303">
        <f>IFERROR(IF(AND($AW$48=2,OR(M7=6,M7=24,M7=140,M7=54,M7=95,M7=141)),Q13,IF(AND($AW$48=2,OR(M7=55,M7=56,M7=57,M7=59,M7=96,M7=97,M7=98,M7=100,M7=142,M7=143,M7=144,M7=146)),2*Q13,IF(AND($AW$48=2,OR(M7=58,M7=99,M7=145)),3*Q13,Q13))),"")</f>
        <v>1</v>
      </c>
      <c r="AO54" s="302" t="b">
        <f>IF(AND(AW48=2,OR(M7=6,M7=24,M7=140,M7=54,M7=95,M7=141)),Q13-(0.01*AH15*Q13),IF(AND(AW48=2,OR(M7=55,M7=56,M7=57,M7=59,M7=96,M7=97,M7=98,M7=100,M7=142,M7=143,M7=144,M7=146)),2*Q13-Q13-(2*0.01*AH15*Q13),IF(AND(AW48=2,OR(M7=58,M7=99,M7=145)),3*Q13-(3*0.01*AH15*Q13,Q13))))</f>
        <v>0</v>
      </c>
      <c r="AP54" s="306">
        <f>14+LOG(AN54)</f>
        <v>14</v>
      </c>
      <c r="AQ54" s="306" t="b">
        <f>IF(AND(AQ50&gt;=100,AW48=2),7,IF(AND(AQ50&lt;100,AW48=2),14+LOG(AO54)))</f>
        <v>0</v>
      </c>
      <c r="AR54" s="381"/>
      <c r="AS54" s="304"/>
      <c r="AT54" s="302"/>
      <c r="AU54" s="302"/>
      <c r="AV54" s="302"/>
      <c r="AW54" s="302"/>
      <c r="AX54" s="302"/>
      <c r="AY54" s="305"/>
    </row>
    <row r="55" spans="29:51" x14ac:dyDescent="0.25">
      <c r="AN55" s="89"/>
    </row>
    <row r="56" spans="29:51" x14ac:dyDescent="0.25">
      <c r="AN56" s="89"/>
    </row>
  </sheetData>
  <sheetProtection selectLockedCells="1"/>
  <sortState xmlns:xlrd2="http://schemas.microsoft.com/office/spreadsheetml/2017/richdata2" ref="AE4:AF23">
    <sortCondition ref="AE4:AE23"/>
  </sortState>
  <mergeCells count="17">
    <mergeCell ref="AO46:AP46"/>
    <mergeCell ref="K13:L13"/>
    <mergeCell ref="E5:E7"/>
    <mergeCell ref="G8:L8"/>
    <mergeCell ref="E12:E14"/>
    <mergeCell ref="G9:L10"/>
    <mergeCell ref="M22:O22"/>
    <mergeCell ref="M24:O24"/>
    <mergeCell ref="M23:O23"/>
    <mergeCell ref="F23:G23"/>
    <mergeCell ref="F24:G24"/>
    <mergeCell ref="I18:J18"/>
    <mergeCell ref="E2:E4"/>
    <mergeCell ref="BA6:BA9"/>
    <mergeCell ref="AN21:AO21"/>
    <mergeCell ref="O3:W3"/>
    <mergeCell ref="G11:L11"/>
  </mergeCells>
  <conditionalFormatting sqref="C11">
    <cfRule type="expression" dxfId="42" priority="68">
      <formula>$C$11=FALSE</formula>
    </cfRule>
  </conditionalFormatting>
  <conditionalFormatting sqref="D10">
    <cfRule type="expression" dxfId="41" priority="9">
      <formula>$D$10=""</formula>
    </cfRule>
  </conditionalFormatting>
  <conditionalFormatting sqref="F24">
    <cfRule type="expression" dxfId="40" priority="88">
      <formula>$D$10="over voltage"</formula>
    </cfRule>
  </conditionalFormatting>
  <conditionalFormatting sqref="G8">
    <cfRule type="expression" dxfId="39" priority="84">
      <formula>$E$9=0</formula>
    </cfRule>
  </conditionalFormatting>
  <conditionalFormatting sqref="G16:I16 K16:L16">
    <cfRule type="expression" dxfId="38" priority="43">
      <formula>$E$8&lt;&gt;7</formula>
    </cfRule>
  </conditionalFormatting>
  <conditionalFormatting sqref="G9:L12">
    <cfRule type="expression" dxfId="37" priority="3">
      <formula>$E$8=6</formula>
    </cfRule>
    <cfRule type="expression" dxfId="36" priority="4">
      <formula>$E$8=5</formula>
    </cfRule>
    <cfRule type="expression" dxfId="35" priority="5">
      <formula>$E$8=4</formula>
    </cfRule>
    <cfRule type="expression" dxfId="34" priority="6">
      <formula>$E$8=3</formula>
    </cfRule>
    <cfRule type="expression" dxfId="33" priority="7">
      <formula>$E$8=2</formula>
    </cfRule>
    <cfRule type="expression" dxfId="32" priority="8">
      <formula>$E$8=1</formula>
    </cfRule>
    <cfRule type="expression" dxfId="31" priority="23">
      <formula>$E$8=0</formula>
    </cfRule>
  </conditionalFormatting>
  <conditionalFormatting sqref="G15:L16">
    <cfRule type="expression" dxfId="30" priority="42">
      <formula>$E$8&lt;&gt;7</formula>
    </cfRule>
  </conditionalFormatting>
  <conditionalFormatting sqref="J15">
    <cfRule type="expression" dxfId="29" priority="86">
      <formula>$E$8&lt;8</formula>
    </cfRule>
    <cfRule type="expression" dxfId="28" priority="87">
      <formula>$E$17=0</formula>
    </cfRule>
  </conditionalFormatting>
  <conditionalFormatting sqref="J24:K24">
    <cfRule type="expression" dxfId="27" priority="45">
      <formula>$E$17&lt;3</formula>
    </cfRule>
  </conditionalFormatting>
  <conditionalFormatting sqref="L24:M24">
    <cfRule type="expression" dxfId="26" priority="38">
      <formula>$E$15&lt;3</formula>
    </cfRule>
  </conditionalFormatting>
  <conditionalFormatting sqref="M17:M20">
    <cfRule type="expression" dxfId="25" priority="85">
      <formula>#REF!=0</formula>
    </cfRule>
  </conditionalFormatting>
  <conditionalFormatting sqref="M21">
    <cfRule type="expression" dxfId="24" priority="81">
      <formula>$E$21=0</formula>
    </cfRule>
  </conditionalFormatting>
  <conditionalFormatting sqref="P11:R15">
    <cfRule type="expression" dxfId="23" priority="17">
      <formula>$E$8&lt;8</formula>
    </cfRule>
  </conditionalFormatting>
  <conditionalFormatting sqref="P12:R15">
    <cfRule type="expression" dxfId="22" priority="39">
      <formula>$E$8&lt;7</formula>
    </cfRule>
  </conditionalFormatting>
  <conditionalFormatting sqref="Q12:Q15">
    <cfRule type="expression" dxfId="21" priority="16">
      <formula>$W$14&lt;&gt;1</formula>
    </cfRule>
    <cfRule type="expression" dxfId="20" priority="34">
      <formula>$W$14=2</formula>
    </cfRule>
    <cfRule type="expression" dxfId="19" priority="20">
      <formula>$E$8=8</formula>
    </cfRule>
    <cfRule type="expression" dxfId="18" priority="22">
      <formula>$E$8&lt;8</formula>
    </cfRule>
  </conditionalFormatting>
  <conditionalFormatting sqref="Q13">
    <cfRule type="expression" dxfId="17" priority="18">
      <formula>$D$11=3</formula>
    </cfRule>
  </conditionalFormatting>
  <conditionalFormatting sqref="R22:V22">
    <cfRule type="expression" dxfId="16" priority="26">
      <formula>$E$8=0</formula>
    </cfRule>
    <cfRule type="expression" dxfId="15" priority="25">
      <formula>$E$8&lt;7</formula>
    </cfRule>
  </conditionalFormatting>
  <conditionalFormatting sqref="AC14:AI30 AK14:AK30 AC31:AK54">
    <cfRule type="expression" dxfId="14" priority="2">
      <formula>$AB$3=0</formula>
    </cfRule>
  </conditionalFormatting>
  <conditionalFormatting sqref="AC2:AK13 AL2:AY15 AL16:AO21 AQ16:AY24 AJ17:AJ23 AN22:AO24 AF24:AF28 AG25:AH26 AN25:AY26 AJ26:AJ30 AN27:AO30 AQ27:AY31 AO31 AO32:AW35 AY32:AY35 AM36 AO36:AY38 AO39 AQ39:AY40 AL40:AL41 AN40:AO41 AQ41:AR42 AU41:AY42 AL42:AO42 AL44:AT44 AW44:AW45 AY44:AY45 AM45:AP45 AT45 AO46:AT46 AM47:AN47 AR47:AW47 AN48 AP48:AQ48 AW48:AY48 AP49 AV49:AY49 AL50:AY51">
    <cfRule type="expression" dxfId="13" priority="75">
      <formula>$AB$3=0</formula>
    </cfRule>
  </conditionalFormatting>
  <conditionalFormatting sqref="AC2:AY54">
    <cfRule type="expression" dxfId="12" priority="1">
      <formula>$AB$3=0</formula>
    </cfRule>
  </conditionalFormatting>
  <conditionalFormatting sqref="AL7">
    <cfRule type="expression" dxfId="11" priority="40">
      <formula>$AB$3=0</formula>
    </cfRule>
  </conditionalFormatting>
  <conditionalFormatting sqref="AL22:AL35">
    <cfRule type="expression" dxfId="10" priority="19">
      <formula>$AB$3=0</formula>
    </cfRule>
  </conditionalFormatting>
  <conditionalFormatting sqref="AL43:AY43">
    <cfRule type="expression" dxfId="9" priority="35">
      <formula>$AB$3=0</formula>
    </cfRule>
  </conditionalFormatting>
  <conditionalFormatting sqref="AN33:AN39">
    <cfRule type="expression" dxfId="8" priority="10">
      <formula>$AB$3=0</formula>
    </cfRule>
  </conditionalFormatting>
  <dataValidations count="1">
    <dataValidation type="whole" allowBlank="1" showInputMessage="1" showErrorMessage="1" error="Kuat arus antara 1 - 40 A" sqref="Q14" xr:uid="{00000000-0002-0000-0000-000000000000}">
      <formula1>1</formula1>
      <formula2>40</formula2>
    </dataValidation>
  </dataValidations>
  <pageMargins left="0.7" right="0.7" top="0.75" bottom="0.75" header="0.3" footer="0.3"/>
  <pageSetup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10</xdr:col>
                    <xdr:colOff>133350</xdr:colOff>
                    <xdr:row>1</xdr:row>
                    <xdr:rowOff>180975</xdr:rowOff>
                  </from>
                  <to>
                    <xdr:col>12</xdr:col>
                    <xdr:colOff>133350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10</xdr:col>
                    <xdr:colOff>133350</xdr:colOff>
                    <xdr:row>3</xdr:row>
                    <xdr:rowOff>200025</xdr:rowOff>
                  </from>
                  <to>
                    <xdr:col>12</xdr:col>
                    <xdr:colOff>133350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Line="0" autoPict="0">
                <anchor moveWithCells="1">
                  <from>
                    <xdr:col>10</xdr:col>
                    <xdr:colOff>133350</xdr:colOff>
                    <xdr:row>2</xdr:row>
                    <xdr:rowOff>219075</xdr:rowOff>
                  </from>
                  <to>
                    <xdr:col>12</xdr:col>
                    <xdr:colOff>133350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Drop Down 6">
              <controlPr defaultSize="0" autoLine="0" autoPict="0">
                <anchor moveWithCells="1">
                  <from>
                    <xdr:col>10</xdr:col>
                    <xdr:colOff>133350</xdr:colOff>
                    <xdr:row>4</xdr:row>
                    <xdr:rowOff>209550</xdr:rowOff>
                  </from>
                  <to>
                    <xdr:col>12</xdr:col>
                    <xdr:colOff>133350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" name="Check Box 116">
              <controlPr defaultSize="0" autoFill="0" autoLine="0" autoPict="0">
                <anchor moveWithCells="1">
                  <from>
                    <xdr:col>15</xdr:col>
                    <xdr:colOff>619125</xdr:colOff>
                    <xdr:row>19</xdr:row>
                    <xdr:rowOff>152400</xdr:rowOff>
                  </from>
                  <to>
                    <xdr:col>17</xdr:col>
                    <xdr:colOff>323850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" name="Check Box 119">
              <controlPr defaultSize="0" autoFill="0" autoLine="0" autoPict="0">
                <anchor moveWithCells="1">
                  <from>
                    <xdr:col>15</xdr:col>
                    <xdr:colOff>619125</xdr:colOff>
                    <xdr:row>18</xdr:row>
                    <xdr:rowOff>123825</xdr:rowOff>
                  </from>
                  <to>
                    <xdr:col>17</xdr:col>
                    <xdr:colOff>323850</xdr:colOff>
                    <xdr:row>19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" name="Check Box 120">
              <controlPr defaultSize="0" autoFill="0" autoLine="0" autoPict="0">
                <anchor moveWithCells="1">
                  <from>
                    <xdr:col>15</xdr:col>
                    <xdr:colOff>619125</xdr:colOff>
                    <xdr:row>20</xdr:row>
                    <xdr:rowOff>180975</xdr:rowOff>
                  </from>
                  <to>
                    <xdr:col>17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" name="Check Box 121">
              <controlPr defaultSize="0" autoFill="0" autoLine="0" autoPict="0">
                <anchor moveWithCells="1">
                  <from>
                    <xdr:col>15</xdr:col>
                    <xdr:colOff>628650</xdr:colOff>
                    <xdr:row>22</xdr:row>
                    <xdr:rowOff>66675</xdr:rowOff>
                  </from>
                  <to>
                    <xdr:col>17</xdr:col>
                    <xdr:colOff>333375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04" r:id="rId13" name="Spinner 2116">
              <controlPr defaultSize="0" autoPict="0">
                <anchor moveWithCells="1" sizeWithCells="1">
                  <from>
                    <xdr:col>27</xdr:col>
                    <xdr:colOff>19050</xdr:colOff>
                    <xdr:row>1</xdr:row>
                    <xdr:rowOff>133350</xdr:rowOff>
                  </from>
                  <to>
                    <xdr:col>28</xdr:col>
                    <xdr:colOff>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805" r:id="rId14" name="Check Box 3549">
              <controlPr defaultSize="0" autoFill="0" autoLine="0" autoPict="0">
                <anchor moveWithCells="1">
                  <from>
                    <xdr:col>2</xdr:col>
                    <xdr:colOff>9525</xdr:colOff>
                    <xdr:row>10</xdr:row>
                    <xdr:rowOff>19050</xdr:rowOff>
                  </from>
                  <to>
                    <xdr:col>2</xdr:col>
                    <xdr:colOff>1381125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5" r:id="rId15" name="Check Box 4967">
              <controlPr defaultSize="0" autoFill="0" autoLine="0" autoPict="0">
                <anchor moveWithCells="1">
                  <from>
                    <xdr:col>14</xdr:col>
                    <xdr:colOff>47625</xdr:colOff>
                    <xdr:row>16</xdr:row>
                    <xdr:rowOff>171450</xdr:rowOff>
                  </from>
                  <to>
                    <xdr:col>16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13" r:id="rId16" name="Drop Down 15333">
              <controlPr defaultSize="0" autoLine="0" autoPict="0">
                <anchor moveWithCells="1">
                  <from>
                    <xdr:col>2</xdr:col>
                    <xdr:colOff>9525</xdr:colOff>
                    <xdr:row>11</xdr:row>
                    <xdr:rowOff>0</xdr:rowOff>
                  </from>
                  <to>
                    <xdr:col>2</xdr:col>
                    <xdr:colOff>1390650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45" r:id="rId17" name="Option Button 22953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190500</xdr:rowOff>
                  </from>
                  <to>
                    <xdr:col>2</xdr:col>
                    <xdr:colOff>1381125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3" r:id="rId18" name="Option Button 2441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219075</xdr:rowOff>
                  </from>
                  <to>
                    <xdr:col>2</xdr:col>
                    <xdr:colOff>1381125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4" r:id="rId19" name="Option Button 2441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200025</xdr:rowOff>
                  </from>
                  <to>
                    <xdr:col>2</xdr:col>
                    <xdr:colOff>1381125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5" r:id="rId20" name="Option Button 2441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190500</xdr:rowOff>
                  </from>
                  <to>
                    <xdr:col>2</xdr:col>
                    <xdr:colOff>1381125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6" r:id="rId21" name="Option Button 2441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190500</xdr:rowOff>
                  </from>
                  <to>
                    <xdr:col>2</xdr:col>
                    <xdr:colOff>1381125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7" r:id="rId22" name="Option Button 2441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200025</xdr:rowOff>
                  </from>
                  <to>
                    <xdr:col>2</xdr:col>
                    <xdr:colOff>1381125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8" r:id="rId23" name="Option Button 24416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0</xdr:rowOff>
                  </from>
                  <to>
                    <xdr:col>2</xdr:col>
                    <xdr:colOff>1381125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9" r:id="rId24" name="Option Button 2441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228600</xdr:rowOff>
                  </from>
                  <to>
                    <xdr:col>2</xdr:col>
                    <xdr:colOff>1381125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699" r:id="rId25" name="Check Box 24771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95250</xdr:rowOff>
                  </from>
                  <to>
                    <xdr:col>2</xdr:col>
                    <xdr:colOff>1066800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0" r:id="rId26" name="Check Box 24772">
              <controlPr defaultSize="0" autoFill="0" autoLine="0" autoPict="0">
                <anchor moveWithCells="1">
                  <from>
                    <xdr:col>2</xdr:col>
                    <xdr:colOff>123825</xdr:colOff>
                    <xdr:row>15</xdr:row>
                    <xdr:rowOff>161925</xdr:rowOff>
                  </from>
                  <to>
                    <xdr:col>2</xdr:col>
                    <xdr:colOff>1066800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1" r:id="rId27" name="Check Box 24773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28575</xdr:rowOff>
                  </from>
                  <to>
                    <xdr:col>2</xdr:col>
                    <xdr:colOff>1066800</xdr:colOff>
                    <xdr:row>18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632" r:id="rId28" name="Option Button 27656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9525</xdr:rowOff>
                  </from>
                  <to>
                    <xdr:col>2</xdr:col>
                    <xdr:colOff>1381125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7" r:id="rId29" name="Check Box 28031">
              <controlPr defaultSize="0" autoFill="0" autoLine="0" autoPict="0">
                <anchor moveWithCells="1">
                  <from>
                    <xdr:col>21</xdr:col>
                    <xdr:colOff>476250</xdr:colOff>
                    <xdr:row>11</xdr:row>
                    <xdr:rowOff>66675</xdr:rowOff>
                  </from>
                  <to>
                    <xdr:col>22</xdr:col>
                    <xdr:colOff>590550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8" r:id="rId30" name="Check Box 28032">
              <controlPr defaultSize="0" autoFill="0" autoLine="0" autoPict="0">
                <anchor moveWithCells="1">
                  <from>
                    <xdr:col>21</xdr:col>
                    <xdr:colOff>476250</xdr:colOff>
                    <xdr:row>12</xdr:row>
                    <xdr:rowOff>123825</xdr:rowOff>
                  </from>
                  <to>
                    <xdr:col>22</xdr:col>
                    <xdr:colOff>590550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449" r:id="rId31" name="Spinner 34529">
              <controlPr defaultSize="0" autoPict="0">
                <anchor moveWithCells="1" sizeWithCells="1">
                  <from>
                    <xdr:col>24</xdr:col>
                    <xdr:colOff>0</xdr:colOff>
                    <xdr:row>21</xdr:row>
                    <xdr:rowOff>0</xdr:rowOff>
                  </from>
                  <to>
                    <xdr:col>24</xdr:col>
                    <xdr:colOff>247650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6" r:id="rId32" name="Check Box 49512">
              <controlPr defaultSize="0" autoFill="0" autoLine="0" autoPict="0">
                <anchor moveWithCells="1">
                  <from>
                    <xdr:col>6</xdr:col>
                    <xdr:colOff>66675</xdr:colOff>
                    <xdr:row>21</xdr:row>
                    <xdr:rowOff>123825</xdr:rowOff>
                  </from>
                  <to>
                    <xdr:col>6</xdr:col>
                    <xdr:colOff>371475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7" r:id="rId33" name="Check Box 49513">
              <controlPr defaultSize="0" autoFill="0" autoLine="0" autoPict="0">
                <anchor moveWithCells="1">
                  <from>
                    <xdr:col>9</xdr:col>
                    <xdr:colOff>466725</xdr:colOff>
                    <xdr:row>19</xdr:row>
                    <xdr:rowOff>57150</xdr:rowOff>
                  </from>
                  <to>
                    <xdr:col>9</xdr:col>
                    <xdr:colOff>800100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8" r:id="rId34" name="Check Box 49514">
              <controlPr defaultSize="0" autoFill="0" autoLine="0" autoPict="0">
                <anchor moveWithCells="1">
                  <from>
                    <xdr:col>9</xdr:col>
                    <xdr:colOff>466725</xdr:colOff>
                    <xdr:row>20</xdr:row>
                    <xdr:rowOff>85725</xdr:rowOff>
                  </from>
                  <to>
                    <xdr:col>9</xdr:col>
                    <xdr:colOff>790575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9" r:id="rId35" name="Check Box 49515">
              <controlPr defaultSize="0" autoFill="0" autoLine="0" autoPict="0">
                <anchor moveWithCells="1">
                  <from>
                    <xdr:col>6</xdr:col>
                    <xdr:colOff>66675</xdr:colOff>
                    <xdr:row>22</xdr:row>
                    <xdr:rowOff>133350</xdr:rowOff>
                  </from>
                  <to>
                    <xdr:col>6</xdr:col>
                    <xdr:colOff>371475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1" r:id="rId36" name="Check Box 49517">
              <controlPr defaultSize="0" autoFill="0" autoLine="0" autoPict="0">
                <anchor moveWithCells="1">
                  <from>
                    <xdr:col>9</xdr:col>
                    <xdr:colOff>466725</xdr:colOff>
                    <xdr:row>22</xdr:row>
                    <xdr:rowOff>133350</xdr:rowOff>
                  </from>
                  <to>
                    <xdr:col>9</xdr:col>
                    <xdr:colOff>790575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2" r:id="rId37" name="Check Box 49518">
              <controlPr defaultSize="0" autoFill="0" autoLine="0" autoPict="0">
                <anchor moveWithCells="1">
                  <from>
                    <xdr:col>6</xdr:col>
                    <xdr:colOff>66675</xdr:colOff>
                    <xdr:row>20</xdr:row>
                    <xdr:rowOff>104775</xdr:rowOff>
                  </from>
                  <to>
                    <xdr:col>6</xdr:col>
                    <xdr:colOff>371475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3" r:id="rId38" name="Check Box 49519">
              <controlPr defaultSize="0" autoFill="0" autoLine="0" autoPict="0">
                <anchor moveWithCells="1">
                  <from>
                    <xdr:col>9</xdr:col>
                    <xdr:colOff>466725</xdr:colOff>
                    <xdr:row>21</xdr:row>
                    <xdr:rowOff>104775</xdr:rowOff>
                  </from>
                  <to>
                    <xdr:col>9</xdr:col>
                    <xdr:colOff>790575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050" r:id="rId39" name="Check Box 49586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57150</xdr:rowOff>
                  </from>
                  <to>
                    <xdr:col>6</xdr:col>
                    <xdr:colOff>381000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3" r:id="rId40" name="Option Button 57259">
              <controlPr defaultSize="0" autoFill="0" autoLine="0" autoPict="0">
                <anchor moveWithCells="1">
                  <from>
                    <xdr:col>12</xdr:col>
                    <xdr:colOff>47625</xdr:colOff>
                    <xdr:row>13</xdr:row>
                    <xdr:rowOff>0</xdr:rowOff>
                  </from>
                  <to>
                    <xdr:col>12</xdr:col>
                    <xdr:colOff>390525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4" r:id="rId41" name="Option Button 57260">
              <controlPr defaultSize="0" autoFill="0" autoLine="0" autoPict="0">
                <anchor moveWithCells="1">
                  <from>
                    <xdr:col>12</xdr:col>
                    <xdr:colOff>47625</xdr:colOff>
                    <xdr:row>14</xdr:row>
                    <xdr:rowOff>19050</xdr:rowOff>
                  </from>
                  <to>
                    <xdr:col>12</xdr:col>
                    <xdr:colOff>390525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5" r:id="rId42" name="Option Button 57261">
              <controlPr defaultSize="0" autoFill="0" autoLine="0" autoPict="0">
                <anchor moveWithCells="1">
                  <from>
                    <xdr:col>12</xdr:col>
                    <xdr:colOff>47625</xdr:colOff>
                    <xdr:row>15</xdr:row>
                    <xdr:rowOff>28575</xdr:rowOff>
                  </from>
                  <to>
                    <xdr:col>12</xdr:col>
                    <xdr:colOff>390525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6" r:id="rId43" name="Option Button 57262">
              <controlPr defaultSize="0" autoFill="0" autoLine="0" autoPict="0">
                <anchor moveWithCells="1">
                  <from>
                    <xdr:col>12</xdr:col>
                    <xdr:colOff>47625</xdr:colOff>
                    <xdr:row>16</xdr:row>
                    <xdr:rowOff>47625</xdr:rowOff>
                  </from>
                  <to>
                    <xdr:col>12</xdr:col>
                    <xdr:colOff>390525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7" r:id="rId44" name="Option Button 57263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57150</xdr:rowOff>
                  </from>
                  <to>
                    <xdr:col>6</xdr:col>
                    <xdr:colOff>57150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8" r:id="rId45" name="Option Button 57264">
              <controlPr defaultSize="0" autoFill="0" autoLine="0" autoPict="0">
                <anchor moveWithCells="1">
                  <from>
                    <xdr:col>5</xdr:col>
                    <xdr:colOff>57150</xdr:colOff>
                    <xdr:row>20</xdr:row>
                    <xdr:rowOff>85725</xdr:rowOff>
                  </from>
                  <to>
                    <xdr:col>6</xdr:col>
                    <xdr:colOff>57150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9" r:id="rId46" name="Option Button 57265">
              <controlPr defaultSize="0" autoFill="0" autoLine="0" autoPict="0">
                <anchor moveWithCells="1">
                  <from>
                    <xdr:col>5</xdr:col>
                    <xdr:colOff>57150</xdr:colOff>
                    <xdr:row>21</xdr:row>
                    <xdr:rowOff>114300</xdr:rowOff>
                  </from>
                  <to>
                    <xdr:col>6</xdr:col>
                    <xdr:colOff>57150</xdr:colOff>
                    <xdr:row>22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70" r:id="rId47" name="Option Button 57266">
              <controlPr defaultSize="0" autoFill="0" autoLine="0" autoPict="0">
                <anchor moveWithCells="1">
                  <from>
                    <xdr:col>5</xdr:col>
                    <xdr:colOff>57150</xdr:colOff>
                    <xdr:row>22</xdr:row>
                    <xdr:rowOff>142875</xdr:rowOff>
                  </from>
                  <to>
                    <xdr:col>6</xdr:col>
                    <xdr:colOff>57150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889" r:id="rId48" name="Option Button 57465">
              <controlPr defaultSize="0" autoFill="0" autoLine="0" autoPict="0">
                <anchor moveWithCells="1">
                  <from>
                    <xdr:col>9</xdr:col>
                    <xdr:colOff>238125</xdr:colOff>
                    <xdr:row>19</xdr:row>
                    <xdr:rowOff>85725</xdr:rowOff>
                  </from>
                  <to>
                    <xdr:col>9</xdr:col>
                    <xdr:colOff>466725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890" r:id="rId49" name="Option Button 57466">
              <controlPr defaultSize="0" autoFill="0" autoLine="0" autoPict="0">
                <anchor moveWithCells="1">
                  <from>
                    <xdr:col>9</xdr:col>
                    <xdr:colOff>238125</xdr:colOff>
                    <xdr:row>20</xdr:row>
                    <xdr:rowOff>104775</xdr:rowOff>
                  </from>
                  <to>
                    <xdr:col>9</xdr:col>
                    <xdr:colOff>466725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891" r:id="rId50" name="Option Button 57467">
              <controlPr defaultSize="0" autoFill="0" autoLine="0" autoPict="0">
                <anchor moveWithCells="1">
                  <from>
                    <xdr:col>9</xdr:col>
                    <xdr:colOff>238125</xdr:colOff>
                    <xdr:row>21</xdr:row>
                    <xdr:rowOff>123825</xdr:rowOff>
                  </from>
                  <to>
                    <xdr:col>9</xdr:col>
                    <xdr:colOff>466725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892" r:id="rId51" name="Option Button 57468">
              <controlPr defaultSize="0" autoFill="0" autoLine="0" autoPict="0">
                <anchor moveWithCells="1">
                  <from>
                    <xdr:col>9</xdr:col>
                    <xdr:colOff>238125</xdr:colOff>
                    <xdr:row>22</xdr:row>
                    <xdr:rowOff>142875</xdr:rowOff>
                  </from>
                  <to>
                    <xdr:col>9</xdr:col>
                    <xdr:colOff>466725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443" r:id="rId52" name="Check Box 58019">
              <controlPr defaultSize="0" autoFill="0" autoLine="0" autoPict="0">
                <anchor moveWithCells="1">
                  <from>
                    <xdr:col>12</xdr:col>
                    <xdr:colOff>209550</xdr:colOff>
                    <xdr:row>13</xdr:row>
                    <xdr:rowOff>0</xdr:rowOff>
                  </from>
                  <to>
                    <xdr:col>13</xdr:col>
                    <xdr:colOff>19050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444" r:id="rId53" name="Check Box 58020">
              <controlPr defaultSize="0" autoFill="0" autoLine="0" autoPict="0">
                <anchor moveWithCells="1">
                  <from>
                    <xdr:col>12</xdr:col>
                    <xdr:colOff>209550</xdr:colOff>
                    <xdr:row>14</xdr:row>
                    <xdr:rowOff>9525</xdr:rowOff>
                  </from>
                  <to>
                    <xdr:col>13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445" r:id="rId54" name="Check Box 58021">
              <controlPr defaultSize="0" autoFill="0" autoLine="0" autoPict="0">
                <anchor moveWithCells="1">
                  <from>
                    <xdr:col>12</xdr:col>
                    <xdr:colOff>209550</xdr:colOff>
                    <xdr:row>15</xdr:row>
                    <xdr:rowOff>19050</xdr:rowOff>
                  </from>
                  <to>
                    <xdr:col>13</xdr:col>
                    <xdr:colOff>19050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446" r:id="rId55" name="Check Box 58022">
              <controlPr defaultSize="0" autoFill="0" autoLine="0" autoPict="0">
                <anchor moveWithCells="1">
                  <from>
                    <xdr:col>12</xdr:col>
                    <xdr:colOff>209550</xdr:colOff>
                    <xdr:row>16</xdr:row>
                    <xdr:rowOff>28575</xdr:rowOff>
                  </from>
                  <to>
                    <xdr:col>13</xdr:col>
                    <xdr:colOff>19050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0"/>
  <sheetViews>
    <sheetView topLeftCell="A49" workbookViewId="0">
      <selection activeCell="D64" sqref="D64"/>
    </sheetView>
  </sheetViews>
  <sheetFormatPr defaultRowHeight="15" x14ac:dyDescent="0.25"/>
  <cols>
    <col min="2" max="2" width="5.7109375" style="5" customWidth="1"/>
    <col min="3" max="4" width="9.140625" style="5"/>
    <col min="5" max="5" width="18.7109375" style="5" customWidth="1"/>
    <col min="6" max="6" width="9.140625" style="5"/>
  </cols>
  <sheetData>
    <row r="2" spans="2:6" x14ac:dyDescent="0.25">
      <c r="C2" s="5" t="s">
        <v>39</v>
      </c>
      <c r="D2" s="5" t="s">
        <v>691</v>
      </c>
      <c r="E2" s="5" t="s">
        <v>692</v>
      </c>
      <c r="F2" s="5" t="s">
        <v>693</v>
      </c>
    </row>
    <row r="3" spans="2:6" x14ac:dyDescent="0.25">
      <c r="B3" s="5">
        <v>1</v>
      </c>
      <c r="C3" s="160">
        <v>8</v>
      </c>
      <c r="D3" s="5" t="s">
        <v>708</v>
      </c>
      <c r="E3" s="5" t="s">
        <v>713</v>
      </c>
      <c r="F3" s="5" t="s">
        <v>714</v>
      </c>
    </row>
    <row r="4" spans="2:6" x14ac:dyDescent="0.25">
      <c r="B4" s="5">
        <v>2</v>
      </c>
      <c r="C4" s="160">
        <v>15</v>
      </c>
      <c r="D4" s="5" t="s">
        <v>688</v>
      </c>
      <c r="E4" s="5" t="s">
        <v>707</v>
      </c>
      <c r="F4" s="5" t="s">
        <v>690</v>
      </c>
    </row>
    <row r="5" spans="2:6" x14ac:dyDescent="0.25">
      <c r="B5" s="5">
        <v>3</v>
      </c>
      <c r="C5" s="160">
        <v>15</v>
      </c>
      <c r="D5" s="5" t="s">
        <v>708</v>
      </c>
      <c r="E5" s="5" t="s">
        <v>724</v>
      </c>
      <c r="F5" s="5" t="s">
        <v>725</v>
      </c>
    </row>
    <row r="6" spans="2:6" x14ac:dyDescent="0.25">
      <c r="B6" s="5">
        <v>4</v>
      </c>
      <c r="C6" s="160">
        <v>17</v>
      </c>
      <c r="D6" s="5" t="s">
        <v>688</v>
      </c>
      <c r="E6" s="5" t="s">
        <v>707</v>
      </c>
      <c r="F6" s="5" t="s">
        <v>690</v>
      </c>
    </row>
    <row r="7" spans="2:6" x14ac:dyDescent="0.25">
      <c r="B7" s="5">
        <v>5</v>
      </c>
      <c r="C7" s="5">
        <v>19</v>
      </c>
      <c r="D7" s="5" t="s">
        <v>688</v>
      </c>
      <c r="E7" s="271" t="s">
        <v>677</v>
      </c>
      <c r="F7" s="272" t="s">
        <v>706</v>
      </c>
    </row>
    <row r="8" spans="2:6" x14ac:dyDescent="0.25">
      <c r="B8" s="5">
        <v>6</v>
      </c>
      <c r="C8" s="5">
        <v>21</v>
      </c>
      <c r="D8" s="5" t="s">
        <v>688</v>
      </c>
      <c r="E8" s="271" t="s">
        <v>677</v>
      </c>
      <c r="F8" s="272" t="s">
        <v>706</v>
      </c>
    </row>
    <row r="9" spans="2:6" x14ac:dyDescent="0.25">
      <c r="B9" s="5">
        <v>7</v>
      </c>
      <c r="C9" s="5">
        <v>21</v>
      </c>
      <c r="D9" s="5" t="s">
        <v>735</v>
      </c>
      <c r="E9" s="271" t="s">
        <v>736</v>
      </c>
      <c r="F9" s="272" t="s">
        <v>737</v>
      </c>
    </row>
    <row r="10" spans="2:6" x14ac:dyDescent="0.25">
      <c r="B10" s="5">
        <v>8</v>
      </c>
      <c r="C10" s="5">
        <v>21</v>
      </c>
      <c r="D10" s="5" t="s">
        <v>747</v>
      </c>
      <c r="E10" s="271" t="s">
        <v>746</v>
      </c>
      <c r="F10" s="272" t="s">
        <v>703</v>
      </c>
    </row>
    <row r="11" spans="2:6" x14ac:dyDescent="0.25">
      <c r="B11" s="5">
        <v>9</v>
      </c>
      <c r="C11" s="5">
        <v>21</v>
      </c>
      <c r="D11" s="5" t="s">
        <v>744</v>
      </c>
      <c r="E11" s="271" t="s">
        <v>338</v>
      </c>
      <c r="F11" s="272" t="s">
        <v>334</v>
      </c>
    </row>
    <row r="12" spans="2:6" x14ac:dyDescent="0.25">
      <c r="B12" s="5">
        <v>10</v>
      </c>
      <c r="C12" s="160">
        <v>24</v>
      </c>
      <c r="D12" s="5" t="s">
        <v>688</v>
      </c>
      <c r="E12" s="5" t="s">
        <v>689</v>
      </c>
      <c r="F12" s="5" t="s">
        <v>690</v>
      </c>
    </row>
    <row r="13" spans="2:6" x14ac:dyDescent="0.25">
      <c r="B13" s="5">
        <v>11</v>
      </c>
      <c r="C13" s="5">
        <v>33</v>
      </c>
      <c r="D13" s="5" t="s">
        <v>688</v>
      </c>
      <c r="E13" s="5" t="s">
        <v>707</v>
      </c>
      <c r="F13" s="5" t="s">
        <v>690</v>
      </c>
    </row>
    <row r="14" spans="2:6" x14ac:dyDescent="0.25">
      <c r="B14" s="5">
        <v>12</v>
      </c>
      <c r="C14" s="5">
        <v>33</v>
      </c>
      <c r="D14" s="5" t="s">
        <v>708</v>
      </c>
      <c r="E14" s="5" t="s">
        <v>707</v>
      </c>
      <c r="F14" s="5" t="s">
        <v>690</v>
      </c>
    </row>
    <row r="15" spans="2:6" x14ac:dyDescent="0.25">
      <c r="B15" s="5">
        <v>13</v>
      </c>
      <c r="C15" s="5">
        <v>34</v>
      </c>
      <c r="D15" s="5" t="s">
        <v>688</v>
      </c>
      <c r="E15" s="5" t="s">
        <v>689</v>
      </c>
      <c r="F15" s="5" t="s">
        <v>690</v>
      </c>
    </row>
    <row r="16" spans="2:6" x14ac:dyDescent="0.25">
      <c r="B16" s="5">
        <v>14</v>
      </c>
      <c r="C16" s="5">
        <v>35</v>
      </c>
      <c r="D16" s="5" t="s">
        <v>688</v>
      </c>
      <c r="E16" s="5" t="s">
        <v>707</v>
      </c>
      <c r="F16" s="5" t="s">
        <v>690</v>
      </c>
    </row>
    <row r="17" spans="2:6" x14ac:dyDescent="0.25">
      <c r="B17" s="5">
        <v>15</v>
      </c>
      <c r="C17" s="160">
        <v>37</v>
      </c>
      <c r="D17" s="5" t="s">
        <v>710</v>
      </c>
      <c r="E17" s="5" t="s">
        <v>690</v>
      </c>
      <c r="F17" s="5" t="s">
        <v>689</v>
      </c>
    </row>
    <row r="18" spans="2:6" x14ac:dyDescent="0.25">
      <c r="B18" s="5">
        <v>16</v>
      </c>
      <c r="C18" s="5">
        <v>38</v>
      </c>
      <c r="D18" s="5" t="s">
        <v>688</v>
      </c>
      <c r="E18" s="5" t="s">
        <v>690</v>
      </c>
      <c r="F18" s="5" t="s">
        <v>689</v>
      </c>
    </row>
    <row r="19" spans="2:6" x14ac:dyDescent="0.25">
      <c r="B19" s="5">
        <v>17</v>
      </c>
      <c r="C19" s="160">
        <v>41</v>
      </c>
      <c r="D19" s="5" t="s">
        <v>688</v>
      </c>
      <c r="E19" s="5" t="s">
        <v>690</v>
      </c>
      <c r="F19" s="5" t="s">
        <v>689</v>
      </c>
    </row>
    <row r="20" spans="2:6" x14ac:dyDescent="0.25">
      <c r="B20" s="5">
        <v>18</v>
      </c>
      <c r="C20" s="160">
        <v>42</v>
      </c>
      <c r="D20" s="5" t="s">
        <v>688</v>
      </c>
      <c r="E20" s="5" t="s">
        <v>689</v>
      </c>
      <c r="F20" s="5" t="s">
        <v>690</v>
      </c>
    </row>
    <row r="21" spans="2:6" x14ac:dyDescent="0.25">
      <c r="B21" s="5">
        <v>19</v>
      </c>
      <c r="C21" s="5">
        <v>43</v>
      </c>
      <c r="D21" s="5" t="s">
        <v>688</v>
      </c>
      <c r="E21" s="5" t="s">
        <v>689</v>
      </c>
      <c r="F21" s="5" t="s">
        <v>690</v>
      </c>
    </row>
    <row r="22" spans="2:6" x14ac:dyDescent="0.25">
      <c r="B22" s="5">
        <v>20</v>
      </c>
      <c r="C22" s="160">
        <v>44</v>
      </c>
      <c r="D22" s="5" t="s">
        <v>688</v>
      </c>
      <c r="E22" s="5" t="s">
        <v>689</v>
      </c>
      <c r="F22" s="5" t="s">
        <v>690</v>
      </c>
    </row>
    <row r="23" spans="2:6" x14ac:dyDescent="0.25">
      <c r="B23" s="5">
        <v>21</v>
      </c>
      <c r="C23" s="274">
        <v>46</v>
      </c>
      <c r="D23" s="5" t="s">
        <v>710</v>
      </c>
      <c r="E23" s="5" t="s">
        <v>689</v>
      </c>
      <c r="F23" s="5" t="s">
        <v>719</v>
      </c>
    </row>
    <row r="24" spans="2:6" x14ac:dyDescent="0.25">
      <c r="B24" s="5">
        <v>22</v>
      </c>
      <c r="C24" s="274">
        <v>46</v>
      </c>
      <c r="D24" s="5" t="s">
        <v>695</v>
      </c>
      <c r="E24" s="5" t="s">
        <v>689</v>
      </c>
      <c r="F24" s="5" t="s">
        <v>719</v>
      </c>
    </row>
    <row r="25" spans="2:6" x14ac:dyDescent="0.25">
      <c r="B25" s="5">
        <v>23</v>
      </c>
      <c r="C25" s="160">
        <v>62</v>
      </c>
      <c r="D25" s="5" t="s">
        <v>708</v>
      </c>
      <c r="E25" s="5" t="s">
        <v>13</v>
      </c>
      <c r="F25" s="5" t="s">
        <v>194</v>
      </c>
    </row>
    <row r="26" spans="2:6" x14ac:dyDescent="0.25">
      <c r="B26" s="5">
        <v>24</v>
      </c>
      <c r="C26" s="160">
        <v>67</v>
      </c>
      <c r="D26" s="5" t="s">
        <v>708</v>
      </c>
      <c r="E26" s="5" t="s">
        <v>713</v>
      </c>
      <c r="F26" s="5" t="s">
        <v>716</v>
      </c>
    </row>
    <row r="27" spans="2:6" x14ac:dyDescent="0.25">
      <c r="B27" s="5">
        <v>25</v>
      </c>
      <c r="C27" s="5">
        <v>70</v>
      </c>
      <c r="D27" s="5" t="s">
        <v>694</v>
      </c>
      <c r="E27" s="5" t="s">
        <v>224</v>
      </c>
      <c r="F27" s="5" t="s">
        <v>407</v>
      </c>
    </row>
    <row r="28" spans="2:6" x14ac:dyDescent="0.25">
      <c r="B28" s="5">
        <v>26</v>
      </c>
      <c r="C28" s="160">
        <v>80</v>
      </c>
      <c r="D28" s="5" t="s">
        <v>688</v>
      </c>
      <c r="E28" s="5" t="s">
        <v>689</v>
      </c>
      <c r="F28" s="5" t="s">
        <v>690</v>
      </c>
    </row>
    <row r="29" spans="2:6" x14ac:dyDescent="0.25">
      <c r="B29" s="5">
        <v>27</v>
      </c>
      <c r="C29" s="160">
        <v>81</v>
      </c>
      <c r="D29" s="5" t="s">
        <v>718</v>
      </c>
      <c r="E29" s="5" t="s">
        <v>689</v>
      </c>
      <c r="F29" s="5" t="s">
        <v>719</v>
      </c>
    </row>
    <row r="30" spans="2:6" x14ac:dyDescent="0.25">
      <c r="B30" s="5">
        <v>28</v>
      </c>
      <c r="C30" s="160">
        <v>81</v>
      </c>
      <c r="D30" s="5" t="s">
        <v>718</v>
      </c>
      <c r="E30" s="5" t="s">
        <v>689</v>
      </c>
      <c r="F30" s="5" t="s">
        <v>719</v>
      </c>
    </row>
    <row r="31" spans="2:6" x14ac:dyDescent="0.25">
      <c r="B31" s="5">
        <v>29</v>
      </c>
      <c r="C31" s="160">
        <v>87</v>
      </c>
      <c r="D31" s="5" t="s">
        <v>708</v>
      </c>
      <c r="E31" s="5" t="s">
        <v>723</v>
      </c>
      <c r="F31" s="5" t="s">
        <v>178</v>
      </c>
    </row>
    <row r="32" spans="2:6" x14ac:dyDescent="0.25">
      <c r="B32" s="5">
        <v>30</v>
      </c>
      <c r="C32" s="5">
        <v>89</v>
      </c>
      <c r="D32" s="5" t="s">
        <v>695</v>
      </c>
      <c r="E32" s="5" t="s">
        <v>696</v>
      </c>
      <c r="F32" s="5" t="s">
        <v>697</v>
      </c>
    </row>
    <row r="33" spans="2:6" x14ac:dyDescent="0.25">
      <c r="B33" s="5">
        <v>31</v>
      </c>
      <c r="C33" s="5">
        <v>90</v>
      </c>
      <c r="D33" s="5" t="s">
        <v>695</v>
      </c>
      <c r="E33" s="5" t="s">
        <v>696</v>
      </c>
      <c r="F33" s="5" t="s">
        <v>698</v>
      </c>
    </row>
    <row r="34" spans="2:6" x14ac:dyDescent="0.25">
      <c r="B34" s="5">
        <v>32</v>
      </c>
      <c r="C34" s="5">
        <v>91</v>
      </c>
      <c r="D34" s="5" t="s">
        <v>695</v>
      </c>
      <c r="E34" s="5" t="s">
        <v>696</v>
      </c>
      <c r="F34" s="5" t="s">
        <v>697</v>
      </c>
    </row>
    <row r="35" spans="2:6" x14ac:dyDescent="0.25">
      <c r="B35" s="5">
        <v>33</v>
      </c>
      <c r="C35" s="5">
        <v>93</v>
      </c>
      <c r="D35" s="5" t="s">
        <v>695</v>
      </c>
      <c r="E35" s="5" t="s">
        <v>696</v>
      </c>
      <c r="F35" s="5" t="s">
        <v>698</v>
      </c>
    </row>
    <row r="36" spans="2:6" x14ac:dyDescent="0.25">
      <c r="B36" s="5">
        <v>34</v>
      </c>
      <c r="C36" s="160">
        <v>99</v>
      </c>
      <c r="D36" s="5" t="s">
        <v>688</v>
      </c>
      <c r="E36" s="5" t="s">
        <v>689</v>
      </c>
      <c r="F36" s="5" t="s">
        <v>690</v>
      </c>
    </row>
    <row r="37" spans="2:6" x14ac:dyDescent="0.25">
      <c r="B37" s="5">
        <v>35</v>
      </c>
      <c r="C37" s="275">
        <v>101</v>
      </c>
      <c r="D37" s="5" t="s">
        <v>730</v>
      </c>
      <c r="E37" s="5" t="s">
        <v>145</v>
      </c>
      <c r="F37" s="5" t="s">
        <v>192</v>
      </c>
    </row>
    <row r="38" spans="2:6" x14ac:dyDescent="0.25">
      <c r="B38" s="5">
        <v>36</v>
      </c>
      <c r="C38" s="5">
        <v>111</v>
      </c>
      <c r="D38" s="5" t="s">
        <v>695</v>
      </c>
      <c r="E38" s="5" t="s">
        <v>89</v>
      </c>
      <c r="F38" s="5" t="s">
        <v>90</v>
      </c>
    </row>
    <row r="39" spans="2:6" x14ac:dyDescent="0.25">
      <c r="B39" s="5">
        <v>37</v>
      </c>
      <c r="C39" s="5">
        <v>111</v>
      </c>
      <c r="D39" s="5" t="s">
        <v>727</v>
      </c>
      <c r="E39" s="5" t="s">
        <v>224</v>
      </c>
      <c r="F39" s="5" t="s">
        <v>407</v>
      </c>
    </row>
    <row r="40" spans="2:6" x14ac:dyDescent="0.25">
      <c r="B40" s="5">
        <v>38</v>
      </c>
      <c r="C40" s="5">
        <v>119</v>
      </c>
      <c r="D40" s="5" t="s">
        <v>688</v>
      </c>
      <c r="E40" s="271" t="s">
        <v>677</v>
      </c>
      <c r="F40" s="272" t="s">
        <v>706</v>
      </c>
    </row>
    <row r="41" spans="2:6" x14ac:dyDescent="0.25">
      <c r="B41" s="5">
        <v>39</v>
      </c>
      <c r="C41" s="160">
        <v>120</v>
      </c>
      <c r="D41" s="5" t="s">
        <v>688</v>
      </c>
      <c r="E41" s="5" t="s">
        <v>689</v>
      </c>
      <c r="F41" s="5" t="s">
        <v>690</v>
      </c>
    </row>
    <row r="42" spans="2:6" x14ac:dyDescent="0.25">
      <c r="B42" s="5">
        <v>40</v>
      </c>
      <c r="C42" s="275">
        <v>121</v>
      </c>
    </row>
    <row r="43" spans="2:6" x14ac:dyDescent="0.25">
      <c r="B43" s="5">
        <v>41</v>
      </c>
      <c r="C43" s="5">
        <v>123</v>
      </c>
      <c r="D43" s="5" t="s">
        <v>688</v>
      </c>
      <c r="E43" s="5" t="s">
        <v>689</v>
      </c>
      <c r="F43" s="5" t="s">
        <v>690</v>
      </c>
    </row>
    <row r="44" spans="2:6" x14ac:dyDescent="0.25">
      <c r="B44" s="5">
        <v>42</v>
      </c>
      <c r="C44" s="5">
        <v>124</v>
      </c>
      <c r="D44" s="5" t="s">
        <v>688</v>
      </c>
      <c r="E44" s="5" t="s">
        <v>689</v>
      </c>
      <c r="F44" s="5" t="s">
        <v>690</v>
      </c>
    </row>
    <row r="45" spans="2:6" x14ac:dyDescent="0.25">
      <c r="B45" s="5">
        <v>43</v>
      </c>
      <c r="C45" s="5">
        <v>124</v>
      </c>
      <c r="D45" s="5" t="s">
        <v>710</v>
      </c>
      <c r="E45" s="5" t="s">
        <v>689</v>
      </c>
      <c r="F45" s="5" t="s">
        <v>720</v>
      </c>
    </row>
    <row r="46" spans="2:6" x14ac:dyDescent="0.25">
      <c r="B46" s="5">
        <v>44</v>
      </c>
      <c r="C46" s="5">
        <v>124</v>
      </c>
      <c r="D46" s="5" t="s">
        <v>718</v>
      </c>
      <c r="E46" s="5" t="s">
        <v>689</v>
      </c>
      <c r="F46" s="5" t="s">
        <v>721</v>
      </c>
    </row>
    <row r="47" spans="2:6" x14ac:dyDescent="0.25">
      <c r="B47" s="5">
        <v>45</v>
      </c>
      <c r="C47" s="5">
        <v>131</v>
      </c>
      <c r="D47" s="5" t="s">
        <v>688</v>
      </c>
      <c r="E47" s="5" t="s">
        <v>689</v>
      </c>
      <c r="F47" s="5" t="s">
        <v>690</v>
      </c>
    </row>
    <row r="48" spans="2:6" x14ac:dyDescent="0.25">
      <c r="B48" s="5">
        <v>46</v>
      </c>
      <c r="C48" s="5">
        <v>140</v>
      </c>
      <c r="D48" s="5" t="s">
        <v>688</v>
      </c>
      <c r="E48" s="5" t="s">
        <v>689</v>
      </c>
      <c r="F48" s="5" t="s">
        <v>690</v>
      </c>
    </row>
    <row r="49" spans="2:6" x14ac:dyDescent="0.25">
      <c r="B49" s="5">
        <v>47</v>
      </c>
      <c r="C49" s="5">
        <v>141</v>
      </c>
      <c r="D49" s="5" t="s">
        <v>688</v>
      </c>
      <c r="E49" s="5" t="s">
        <v>689</v>
      </c>
      <c r="F49" s="5" t="s">
        <v>690</v>
      </c>
    </row>
    <row r="50" spans="2:6" x14ac:dyDescent="0.25">
      <c r="B50" s="5">
        <v>48</v>
      </c>
      <c r="C50" s="5">
        <v>145</v>
      </c>
      <c r="D50" s="5" t="s">
        <v>688</v>
      </c>
      <c r="E50" s="5" t="s">
        <v>689</v>
      </c>
      <c r="F50" s="5" t="s">
        <v>690</v>
      </c>
    </row>
    <row r="51" spans="2:6" x14ac:dyDescent="0.25">
      <c r="B51" s="5">
        <v>49</v>
      </c>
      <c r="C51" s="5">
        <v>157</v>
      </c>
      <c r="D51" s="5" t="s">
        <v>713</v>
      </c>
      <c r="E51" s="5" t="s">
        <v>68</v>
      </c>
      <c r="F51" s="5" t="s">
        <v>733</v>
      </c>
    </row>
    <row r="52" spans="2:6" x14ac:dyDescent="0.25">
      <c r="B52" s="5">
        <v>50</v>
      </c>
      <c r="C52" s="5">
        <v>159</v>
      </c>
      <c r="D52" s="5" t="s">
        <v>694</v>
      </c>
      <c r="E52" s="5" t="s">
        <v>224</v>
      </c>
      <c r="F52" s="5" t="s">
        <v>407</v>
      </c>
    </row>
    <row r="53" spans="2:6" x14ac:dyDescent="0.25">
      <c r="B53" s="5">
        <v>51</v>
      </c>
      <c r="C53" s="5">
        <v>160</v>
      </c>
    </row>
    <row r="54" spans="2:6" x14ac:dyDescent="0.25">
      <c r="B54" s="5">
        <v>52</v>
      </c>
      <c r="C54" s="5">
        <v>168</v>
      </c>
      <c r="D54" s="5" t="s">
        <v>688</v>
      </c>
      <c r="E54" s="271" t="s">
        <v>677</v>
      </c>
      <c r="F54" s="272" t="s">
        <v>706</v>
      </c>
    </row>
    <row r="55" spans="2:6" x14ac:dyDescent="0.25">
      <c r="B55" s="5">
        <v>53</v>
      </c>
      <c r="C55" s="5">
        <v>168</v>
      </c>
      <c r="D55" s="5" t="s">
        <v>735</v>
      </c>
      <c r="E55" s="271" t="s">
        <v>736</v>
      </c>
      <c r="F55" s="272" t="s">
        <v>737</v>
      </c>
    </row>
    <row r="56" spans="2:6" x14ac:dyDescent="0.25">
      <c r="B56" s="5">
        <v>54</v>
      </c>
      <c r="C56" s="5">
        <v>168</v>
      </c>
      <c r="D56" s="5" t="s">
        <v>695</v>
      </c>
      <c r="E56" s="271" t="s">
        <v>738</v>
      </c>
      <c r="F56" s="272" t="s">
        <v>739</v>
      </c>
    </row>
    <row r="57" spans="2:6" x14ac:dyDescent="0.25">
      <c r="B57" s="5">
        <v>55</v>
      </c>
      <c r="C57" s="5">
        <v>168</v>
      </c>
      <c r="D57" s="5" t="s">
        <v>744</v>
      </c>
      <c r="E57" s="271" t="s">
        <v>338</v>
      </c>
      <c r="F57" s="272" t="s">
        <v>334</v>
      </c>
    </row>
    <row r="58" spans="2:6" x14ac:dyDescent="0.25">
      <c r="B58" s="5">
        <v>56</v>
      </c>
      <c r="C58" s="5">
        <v>168</v>
      </c>
      <c r="D58" s="5" t="s">
        <v>747</v>
      </c>
      <c r="E58" s="271" t="s">
        <v>746</v>
      </c>
      <c r="F58" s="272" t="s">
        <v>703</v>
      </c>
    </row>
    <row r="59" spans="2:6" x14ac:dyDescent="0.25">
      <c r="B59" s="5">
        <v>57</v>
      </c>
      <c r="C59" s="5">
        <v>169</v>
      </c>
      <c r="D59" s="5" t="s">
        <v>705</v>
      </c>
      <c r="E59" s="5" t="s">
        <v>703</v>
      </c>
      <c r="F59" s="5" t="s">
        <v>704</v>
      </c>
    </row>
    <row r="60" spans="2:6" x14ac:dyDescent="0.25">
      <c r="B60" s="5">
        <v>58</v>
      </c>
      <c r="C60" s="5">
        <v>169</v>
      </c>
      <c r="D60" s="5" t="s">
        <v>718</v>
      </c>
      <c r="E60" s="5" t="s">
        <v>689</v>
      </c>
      <c r="F60" s="5" t="s">
        <v>690</v>
      </c>
    </row>
    <row r="61" spans="2:6" x14ac:dyDescent="0.25">
      <c r="B61" s="5">
        <v>59</v>
      </c>
      <c r="C61" s="5">
        <v>170</v>
      </c>
      <c r="D61" s="5" t="s">
        <v>702</v>
      </c>
      <c r="E61" s="5" t="s">
        <v>68</v>
      </c>
      <c r="F61" s="5" t="s">
        <v>3</v>
      </c>
    </row>
    <row r="62" spans="2:6" x14ac:dyDescent="0.25">
      <c r="B62" s="5">
        <v>60</v>
      </c>
      <c r="C62" s="5">
        <v>170</v>
      </c>
      <c r="D62" s="5" t="s">
        <v>705</v>
      </c>
      <c r="E62" s="5" t="s">
        <v>703</v>
      </c>
      <c r="F62" s="5" t="s">
        <v>704</v>
      </c>
    </row>
    <row r="63" spans="2:6" x14ac:dyDescent="0.25">
      <c r="B63" s="5">
        <v>61</v>
      </c>
      <c r="C63" s="5">
        <v>52</v>
      </c>
      <c r="D63" s="5" t="s">
        <v>36</v>
      </c>
      <c r="E63" s="5" t="s">
        <v>703</v>
      </c>
      <c r="F63" s="5" t="s">
        <v>46</v>
      </c>
    </row>
    <row r="64" spans="2:6" x14ac:dyDescent="0.25">
      <c r="B64" s="5">
        <v>62</v>
      </c>
      <c r="C64" s="5">
        <v>53</v>
      </c>
      <c r="D64" s="5" t="s">
        <v>36</v>
      </c>
      <c r="E64" s="5" t="s">
        <v>703</v>
      </c>
      <c r="F64" s="5" t="s">
        <v>46</v>
      </c>
    </row>
    <row r="65" spans="2:6" x14ac:dyDescent="0.25">
      <c r="B65" s="5">
        <v>63</v>
      </c>
      <c r="C65" s="5">
        <v>54</v>
      </c>
      <c r="D65" s="5" t="s">
        <v>36</v>
      </c>
      <c r="E65" s="5" t="s">
        <v>703</v>
      </c>
      <c r="F65" s="5" t="s">
        <v>46</v>
      </c>
    </row>
    <row r="66" spans="2:6" x14ac:dyDescent="0.25">
      <c r="B66" s="5">
        <v>64</v>
      </c>
      <c r="C66" s="5">
        <v>55</v>
      </c>
      <c r="D66" s="5" t="s">
        <v>36</v>
      </c>
      <c r="E66" s="5" t="s">
        <v>703</v>
      </c>
      <c r="F66" s="5" t="s">
        <v>46</v>
      </c>
    </row>
    <row r="67" spans="2:6" x14ac:dyDescent="0.25">
      <c r="B67" s="5">
        <v>65</v>
      </c>
      <c r="C67" s="5">
        <v>56</v>
      </c>
      <c r="D67" s="5" t="s">
        <v>36</v>
      </c>
      <c r="E67" s="5" t="s">
        <v>703</v>
      </c>
      <c r="F67" s="5" t="s">
        <v>46</v>
      </c>
    </row>
    <row r="68" spans="2:6" x14ac:dyDescent="0.25">
      <c r="B68" s="5">
        <v>66</v>
      </c>
      <c r="C68" s="5">
        <v>57</v>
      </c>
      <c r="D68" s="5" t="s">
        <v>36</v>
      </c>
      <c r="E68" s="5" t="s">
        <v>703</v>
      </c>
      <c r="F68" s="5" t="s">
        <v>46</v>
      </c>
    </row>
    <row r="69" spans="2:6" x14ac:dyDescent="0.25">
      <c r="B69" s="5">
        <v>67</v>
      </c>
      <c r="C69" s="5">
        <v>58</v>
      </c>
      <c r="D69" s="5" t="s">
        <v>36</v>
      </c>
      <c r="E69" s="5" t="s">
        <v>703</v>
      </c>
      <c r="F69" s="5" t="s">
        <v>46</v>
      </c>
    </row>
    <row r="70" spans="2:6" x14ac:dyDescent="0.25">
      <c r="B70" s="5">
        <v>68</v>
      </c>
      <c r="C70" s="5">
        <v>59</v>
      </c>
      <c r="D70" s="5" t="s">
        <v>36</v>
      </c>
      <c r="E70" s="5" t="s">
        <v>703</v>
      </c>
      <c r="F70" s="5" t="s">
        <v>46</v>
      </c>
    </row>
  </sheetData>
  <sortState xmlns:xlrd2="http://schemas.microsoft.com/office/spreadsheetml/2017/richdata2" ref="C32:F49">
    <sortCondition ref="C3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BF388"/>
  <sheetViews>
    <sheetView zoomScaleNormal="100" zoomScaleSheetLayoutView="100" workbookViewId="0">
      <pane xSplit="3" ySplit="1" topLeftCell="AT2" activePane="bottomRight" state="frozen"/>
      <selection pane="topRight" activeCell="D1" sqref="D1"/>
      <selection pane="bottomLeft" activeCell="A2" sqref="A2"/>
      <selection pane="bottomRight" activeCell="BF173" sqref="BF173"/>
    </sheetView>
  </sheetViews>
  <sheetFormatPr defaultColWidth="9.140625" defaultRowHeight="15" x14ac:dyDescent="0.25"/>
  <cols>
    <col min="2" max="2" width="7.85546875" style="4" customWidth="1"/>
    <col min="3" max="3" width="10.85546875" style="4" customWidth="1"/>
    <col min="4" max="4" width="6.7109375" style="4" customWidth="1"/>
    <col min="5" max="5" width="15.7109375" style="117" customWidth="1"/>
    <col min="6" max="6" width="7.85546875" style="6" customWidth="1"/>
    <col min="7" max="7" width="2.7109375" style="2" customWidth="1"/>
    <col min="8" max="9" width="42.85546875" style="6" customWidth="1"/>
    <col min="10" max="10" width="29.85546875" style="6" bestFit="1" customWidth="1"/>
    <col min="11" max="11" width="62.7109375" style="64" customWidth="1"/>
    <col min="12" max="12" width="42.85546875" customWidth="1"/>
    <col min="13" max="13" width="9.5703125" style="5" customWidth="1"/>
    <col min="14" max="14" width="5" style="5" customWidth="1"/>
    <col min="15" max="15" width="6" style="5" customWidth="1"/>
    <col min="16" max="16" width="9.5703125" style="5" customWidth="1"/>
    <col min="17" max="17" width="9" style="5" customWidth="1"/>
    <col min="18" max="18" width="6.7109375" style="5" customWidth="1"/>
    <col min="19" max="19" width="7.28515625" style="5" customWidth="1"/>
    <col min="20" max="21" width="9.5703125" style="5" customWidth="1"/>
    <col min="22" max="22" width="3.7109375" style="5" customWidth="1"/>
    <col min="23" max="23" width="17.7109375" customWidth="1"/>
    <col min="24" max="24" width="18.85546875" customWidth="1"/>
    <col min="25" max="27" width="17.7109375" customWidth="1"/>
    <col min="28" max="28" width="5.7109375" customWidth="1"/>
    <col min="29" max="32" width="5.7109375" style="12" customWidth="1"/>
    <col min="33" max="33" width="5.7109375" style="110" customWidth="1"/>
    <col min="34" max="34" width="15.7109375" customWidth="1"/>
    <col min="35" max="35" width="3" customWidth="1"/>
    <col min="36" max="36" width="15.7109375" customWidth="1"/>
    <col min="37" max="39" width="3.7109375" customWidth="1"/>
    <col min="40" max="41" width="15.7109375" customWidth="1"/>
    <col min="43" max="43" width="12.7109375" customWidth="1"/>
    <col min="44" max="44" width="23.85546875" style="2" customWidth="1"/>
    <col min="45" max="45" width="23.85546875" customWidth="1"/>
    <col min="46" max="46" width="20" style="2" customWidth="1"/>
    <col min="47" max="47" width="62.7109375" style="6" customWidth="1"/>
    <col min="48" max="48" width="62.7109375" customWidth="1"/>
    <col min="49" max="49" width="8.140625" customWidth="1"/>
    <col min="50" max="50" width="9.140625" style="5"/>
    <col min="51" max="51" width="3.7109375" style="5" customWidth="1"/>
    <col min="52" max="52" width="5.42578125" style="5" customWidth="1"/>
    <col min="53" max="53" width="7.42578125" style="5" customWidth="1"/>
    <col min="54" max="54" width="6" style="5" customWidth="1"/>
    <col min="55" max="56" width="8.28515625" customWidth="1"/>
    <col min="57" max="57" width="11" bestFit="1" customWidth="1"/>
  </cols>
  <sheetData>
    <row r="1" spans="1:58" s="5" customFormat="1" x14ac:dyDescent="0.25">
      <c r="A1" s="8"/>
      <c r="B1" s="72">
        <v>1</v>
      </c>
      <c r="C1" s="72">
        <v>2</v>
      </c>
      <c r="D1" s="72">
        <v>3</v>
      </c>
      <c r="E1" s="116">
        <v>4</v>
      </c>
      <c r="F1" s="72">
        <v>5</v>
      </c>
      <c r="G1" s="72">
        <v>6</v>
      </c>
      <c r="H1" s="72">
        <v>7</v>
      </c>
      <c r="I1" s="72">
        <v>8</v>
      </c>
      <c r="J1" s="72">
        <v>9</v>
      </c>
      <c r="K1" s="87">
        <v>10</v>
      </c>
      <c r="L1" s="72">
        <v>11</v>
      </c>
      <c r="M1" s="72">
        <v>12</v>
      </c>
      <c r="N1" s="72">
        <v>13</v>
      </c>
      <c r="O1" s="72">
        <v>14</v>
      </c>
      <c r="P1" s="72">
        <v>15</v>
      </c>
      <c r="Q1" s="72">
        <v>16</v>
      </c>
      <c r="R1" s="72">
        <v>17</v>
      </c>
      <c r="S1" s="72">
        <v>18</v>
      </c>
      <c r="T1" s="72">
        <v>19</v>
      </c>
      <c r="U1" s="72">
        <v>20</v>
      </c>
      <c r="V1" s="72">
        <v>21</v>
      </c>
      <c r="W1" s="72">
        <v>22</v>
      </c>
      <c r="X1" s="72">
        <v>23</v>
      </c>
      <c r="Y1" s="72">
        <v>24</v>
      </c>
      <c r="Z1" s="72">
        <v>25</v>
      </c>
      <c r="AA1" s="72">
        <v>26</v>
      </c>
      <c r="AB1" s="72">
        <v>27</v>
      </c>
      <c r="AC1" s="87">
        <v>28</v>
      </c>
      <c r="AD1" s="87">
        <v>29</v>
      </c>
      <c r="AE1" s="87">
        <v>30</v>
      </c>
      <c r="AF1" s="87">
        <v>31</v>
      </c>
      <c r="AG1" s="72">
        <v>32</v>
      </c>
      <c r="AH1" s="72">
        <v>33</v>
      </c>
      <c r="AI1" s="72">
        <v>34</v>
      </c>
      <c r="AJ1" s="72">
        <v>35</v>
      </c>
      <c r="AK1" s="72">
        <v>36</v>
      </c>
      <c r="AL1" s="72">
        <v>37</v>
      </c>
      <c r="AM1" s="72">
        <v>38</v>
      </c>
      <c r="AN1" s="72">
        <v>39</v>
      </c>
      <c r="AO1" s="72">
        <v>40</v>
      </c>
      <c r="AP1" s="72">
        <v>41</v>
      </c>
      <c r="AQ1" s="72">
        <v>42</v>
      </c>
      <c r="AR1" s="72">
        <v>43</v>
      </c>
      <c r="AS1" s="72">
        <v>44</v>
      </c>
      <c r="AT1" s="72">
        <v>45</v>
      </c>
      <c r="AU1" s="220">
        <v>46</v>
      </c>
      <c r="AV1" s="72">
        <v>47</v>
      </c>
      <c r="AW1" s="88" t="s">
        <v>599</v>
      </c>
    </row>
    <row r="2" spans="1:58" s="99" customFormat="1" ht="18.95" customHeight="1" x14ac:dyDescent="0.25">
      <c r="A2" s="98"/>
      <c r="B2" s="88">
        <v>0</v>
      </c>
      <c r="C2" s="4"/>
      <c r="D2" s="4"/>
      <c r="E2" s="119"/>
      <c r="F2" s="190"/>
      <c r="G2" s="2"/>
      <c r="H2" s="71"/>
      <c r="I2" s="71"/>
      <c r="J2" s="71"/>
      <c r="K2" s="221"/>
      <c r="L2" s="2"/>
      <c r="M2" s="4"/>
      <c r="N2" s="4"/>
      <c r="O2" s="4"/>
      <c r="P2" s="4"/>
      <c r="Q2" s="92"/>
      <c r="R2" s="4"/>
      <c r="S2" s="4"/>
      <c r="T2" s="4"/>
      <c r="U2" s="4"/>
      <c r="V2" s="4"/>
      <c r="W2" s="2"/>
      <c r="X2" s="2"/>
      <c r="Y2" s="2"/>
      <c r="Z2" s="2"/>
      <c r="AA2" s="2"/>
      <c r="AB2" s="2"/>
      <c r="AC2" s="273"/>
      <c r="AD2" s="273"/>
      <c r="AE2" s="273"/>
      <c r="AF2" s="273"/>
      <c r="AG2" s="109"/>
      <c r="AH2" s="106"/>
      <c r="AI2" s="106"/>
      <c r="AJ2" s="114"/>
      <c r="AK2" s="111"/>
      <c r="AL2"/>
      <c r="AM2"/>
      <c r="AN2" s="2"/>
      <c r="AO2"/>
      <c r="AP2" s="2"/>
      <c r="AQ2"/>
      <c r="AR2" s="2"/>
      <c r="AS2"/>
      <c r="AT2" s="2"/>
      <c r="AU2" s="71" t="s">
        <v>14</v>
      </c>
      <c r="AV2" s="86"/>
      <c r="AW2" s="86"/>
      <c r="AX2" s="308"/>
      <c r="AY2" s="308" t="s">
        <v>755</v>
      </c>
      <c r="AZ2" s="308" t="s">
        <v>750</v>
      </c>
      <c r="BA2" s="308" t="s">
        <v>757</v>
      </c>
      <c r="BB2" s="308" t="s">
        <v>751</v>
      </c>
      <c r="BC2" s="311" t="s">
        <v>754</v>
      </c>
      <c r="BD2" s="311" t="s">
        <v>756</v>
      </c>
      <c r="BE2" s="308" t="s">
        <v>752</v>
      </c>
      <c r="BF2" s="308" t="s">
        <v>753</v>
      </c>
    </row>
    <row r="3" spans="1:58" ht="18.95" customHeight="1" x14ac:dyDescent="0.35">
      <c r="A3" s="10"/>
      <c r="B3" s="160">
        <v>1</v>
      </c>
      <c r="C3" s="270" t="s">
        <v>174</v>
      </c>
      <c r="E3" s="256" t="s">
        <v>600</v>
      </c>
      <c r="F3" s="71" t="s">
        <v>338</v>
      </c>
      <c r="H3" s="71" t="s">
        <v>594</v>
      </c>
      <c r="I3" s="71" t="s">
        <v>432</v>
      </c>
      <c r="J3" s="71" t="s">
        <v>439</v>
      </c>
      <c r="K3" s="221" t="s">
        <v>530</v>
      </c>
      <c r="L3" s="2"/>
      <c r="M3" s="4" t="s">
        <v>232</v>
      </c>
      <c r="N3" s="4">
        <v>4</v>
      </c>
      <c r="O3" s="4">
        <v>32</v>
      </c>
      <c r="P3" s="4"/>
      <c r="Q3" s="92" t="s">
        <v>236</v>
      </c>
      <c r="R3" s="4">
        <v>2</v>
      </c>
      <c r="S3" s="4">
        <v>2</v>
      </c>
      <c r="T3" s="4" t="s">
        <v>210</v>
      </c>
      <c r="U3" s="4">
        <f t="shared" ref="U3" si="0">IF(P3&amp;T3="[H+] =",1,IF(P3&amp;T3="[OH-] =",2,0))</f>
        <v>1</v>
      </c>
      <c r="V3" s="4">
        <v>1</v>
      </c>
      <c r="W3" s="2" t="s">
        <v>72</v>
      </c>
      <c r="X3" s="2" t="s">
        <v>112</v>
      </c>
      <c r="Y3" s="16"/>
      <c r="Z3" s="2" t="s">
        <v>73</v>
      </c>
      <c r="AA3" s="2" t="s">
        <v>74</v>
      </c>
      <c r="AB3" s="2"/>
      <c r="AC3" s="273" t="s">
        <v>242</v>
      </c>
      <c r="AD3" s="273" t="s">
        <v>243</v>
      </c>
      <c r="AE3" s="273" t="s">
        <v>240</v>
      </c>
      <c r="AF3" s="273" t="s">
        <v>241</v>
      </c>
      <c r="AG3" s="109"/>
      <c r="AH3" s="106">
        <f t="shared" ref="AH3" si="1">U3</f>
        <v>1</v>
      </c>
      <c r="AI3" s="106"/>
      <c r="AJ3" s="114"/>
      <c r="AK3" s="111"/>
      <c r="AN3" s="2"/>
      <c r="AP3" s="2"/>
      <c r="AU3" s="71" t="s">
        <v>414</v>
      </c>
      <c r="AV3" s="2"/>
      <c r="AW3" s="2"/>
      <c r="AX3" s="5">
        <v>1</v>
      </c>
      <c r="AY3" s="5">
        <v>1</v>
      </c>
      <c r="AZ3" s="309">
        <f>Elektrolisis!$Q$12</f>
        <v>1</v>
      </c>
      <c r="BA3" s="314">
        <f>IF(AND(C3&lt;&gt;"HF",C3&lt;&gt;"H3PO4",AY3&gt;0),AY3*Elektrolisis!$Q$13,IF(AND(C3="HF",AY3&gt;0),(Elektrolisis!$Q$13*0.0006)^0.5,IF(AND(C3="H3PO4",AY3&gt;0),(Elektrolisis!$Q$13*0.00075)^0.5,"")))</f>
        <v>2.4494897427831779E-2</v>
      </c>
      <c r="BB3" s="5">
        <v>1</v>
      </c>
      <c r="BC3" s="310" t="str">
        <f>IF(AX3=Elektrolisis!$M$7,IF(BB3=1,-LOG(BA3),IF(BB3=2,14+LOG(BA3),7)),"")</f>
        <v/>
      </c>
      <c r="BD3" s="313" t="str">
        <f>IF(AX3=Elektrolisis!$M$7,(Elektrolisis!$Q$14*Elektrolisis!$Q$15)/(96500*REAKSI!R3*REAKSI!AZ3),"")</f>
        <v/>
      </c>
      <c r="BE3" s="312" t="str">
        <f>IF(AX3=Elektrolisis!$M$7,IF(BA3&gt;BD3,BA3-BD3,IF(BA3&lt;=BD3,0.0000001)),"")</f>
        <v/>
      </c>
      <c r="BF3" s="310" t="str">
        <f>IF(AX3=Elektrolisis!$M$7,IF(BB3=1,-LOG(BE3),IF(BB3=2,14+LOG(BE3),7)),"")</f>
        <v/>
      </c>
    </row>
    <row r="4" spans="1:58" ht="18.95" customHeight="1" x14ac:dyDescent="0.35">
      <c r="A4" s="10"/>
      <c r="B4" s="160">
        <v>2</v>
      </c>
      <c r="C4" s="270" t="s">
        <v>6</v>
      </c>
      <c r="E4" s="256" t="s">
        <v>601</v>
      </c>
      <c r="F4" s="190" t="s">
        <v>338</v>
      </c>
      <c r="H4" s="71" t="s">
        <v>22</v>
      </c>
      <c r="I4" s="71" t="s">
        <v>432</v>
      </c>
      <c r="J4" s="71" t="s">
        <v>439</v>
      </c>
      <c r="K4" s="221" t="s">
        <v>530</v>
      </c>
      <c r="L4" s="2"/>
      <c r="M4" s="4" t="s">
        <v>232</v>
      </c>
      <c r="N4" s="4">
        <v>4</v>
      </c>
      <c r="O4" s="4">
        <v>32</v>
      </c>
      <c r="P4" s="4"/>
      <c r="Q4" s="92" t="s">
        <v>236</v>
      </c>
      <c r="R4" s="4">
        <v>2</v>
      </c>
      <c r="S4" s="4">
        <v>2</v>
      </c>
      <c r="T4" s="4" t="s">
        <v>210</v>
      </c>
      <c r="U4" s="4">
        <f t="shared" ref="U4:U67" si="2">IF(P4&amp;T4="[H+] =",1,IF(P4&amp;T4="[OH-] =",2,0))</f>
        <v>1</v>
      </c>
      <c r="V4" s="4">
        <v>2</v>
      </c>
      <c r="W4" s="2" t="s">
        <v>72</v>
      </c>
      <c r="X4" s="2" t="s">
        <v>419</v>
      </c>
      <c r="Y4" s="2"/>
      <c r="Z4" s="2" t="s">
        <v>73</v>
      </c>
      <c r="AA4" s="2" t="s">
        <v>74</v>
      </c>
      <c r="AB4" s="2"/>
      <c r="AC4" s="273" t="s">
        <v>242</v>
      </c>
      <c r="AD4" s="273" t="s">
        <v>243</v>
      </c>
      <c r="AE4" s="273" t="s">
        <v>240</v>
      </c>
      <c r="AF4" s="273" t="s">
        <v>241</v>
      </c>
      <c r="AG4" s="109"/>
      <c r="AH4" s="106">
        <f t="shared" ref="AH4:AH67" si="3">U4</f>
        <v>1</v>
      </c>
      <c r="AI4" s="106"/>
      <c r="AJ4" s="114"/>
      <c r="AK4" s="111"/>
      <c r="AN4" s="2"/>
      <c r="AO4" s="2"/>
      <c r="AP4" s="2"/>
      <c r="AU4" s="71" t="s">
        <v>415</v>
      </c>
      <c r="AV4" s="2"/>
      <c r="AW4" s="2"/>
      <c r="AX4" s="5">
        <v>2</v>
      </c>
      <c r="AY4" s="5">
        <v>2</v>
      </c>
      <c r="AZ4" s="309">
        <f>Elektrolisis!$Q$12</f>
        <v>1</v>
      </c>
      <c r="BA4" s="314">
        <f>IF(AND(C4&lt;&gt;"HF",C4&lt;&gt;"H3PO4",AY4&gt;0),AY4*Elektrolisis!$Q$13,IF(AND(C4="HF",AY4&gt;0),(Elektrolisis!$Q$13*0.0006)^0.5,IF(AND(C4="H3PO4",AY4&gt;0),(Elektrolisis!$Q$13*0.00075)^0.5,"")))</f>
        <v>2</v>
      </c>
      <c r="BB4" s="5">
        <v>1</v>
      </c>
      <c r="BC4" s="310" t="str">
        <f>IF(AX4=Elektrolisis!$M$7,IF(BB4=1,-LOG(BA4),IF(BB4=2,14+LOG(BA4),7)),"")</f>
        <v/>
      </c>
      <c r="BD4" s="313" t="str">
        <f>IF(AX4=Elektrolisis!$M$7,(Elektrolisis!$Q$14*Elektrolisis!$Q$15)/(96500*REAKSI!R4*REAKSI!AZ4),"")</f>
        <v/>
      </c>
      <c r="BE4" s="312" t="str">
        <f>IF(AX4=Elektrolisis!$M$7,IF(BA4&gt;BD4,BA4-BD4,IF(BA4&lt;=BD4,0.0000001)),"")</f>
        <v/>
      </c>
      <c r="BF4" s="310" t="str">
        <f>IF(AX4=Elektrolisis!$M$7,IF(BB4=1,-LOG(BE4),IF(BB4=2,14+LOG(BE4),7)),"")</f>
        <v/>
      </c>
    </row>
    <row r="5" spans="1:58" ht="18.95" customHeight="1" x14ac:dyDescent="0.35">
      <c r="A5" s="10"/>
      <c r="B5" s="160">
        <v>3</v>
      </c>
      <c r="C5" s="270" t="s">
        <v>10</v>
      </c>
      <c r="E5" s="256" t="s">
        <v>602</v>
      </c>
      <c r="F5" s="190" t="s">
        <v>333</v>
      </c>
      <c r="H5" s="71" t="s">
        <v>745</v>
      </c>
      <c r="I5" s="71" t="s">
        <v>432</v>
      </c>
      <c r="J5" s="71" t="s">
        <v>337</v>
      </c>
      <c r="K5" s="221" t="s">
        <v>530</v>
      </c>
      <c r="L5" s="2"/>
      <c r="M5" s="4" t="s">
        <v>232</v>
      </c>
      <c r="N5" s="4">
        <v>4</v>
      </c>
      <c r="O5" s="4">
        <v>32</v>
      </c>
      <c r="P5" s="4"/>
      <c r="Q5" s="92" t="s">
        <v>236</v>
      </c>
      <c r="R5" s="4">
        <v>2</v>
      </c>
      <c r="S5" s="4">
        <v>2</v>
      </c>
      <c r="T5" s="4"/>
      <c r="U5" s="4">
        <f t="shared" si="2"/>
        <v>0</v>
      </c>
      <c r="V5" s="4">
        <v>3</v>
      </c>
      <c r="W5" s="2" t="s">
        <v>72</v>
      </c>
      <c r="X5" s="2"/>
      <c r="Y5" s="2"/>
      <c r="Z5" s="2" t="s">
        <v>73</v>
      </c>
      <c r="AA5" s="2"/>
      <c r="AB5" s="2"/>
      <c r="AC5" s="273" t="s">
        <v>242</v>
      </c>
      <c r="AD5" s="273" t="s">
        <v>243</v>
      </c>
      <c r="AE5" s="273" t="s">
        <v>242</v>
      </c>
      <c r="AF5" s="273" t="s">
        <v>241</v>
      </c>
      <c r="AG5" s="109"/>
      <c r="AH5" s="106">
        <f t="shared" si="3"/>
        <v>0</v>
      </c>
      <c r="AI5" s="106"/>
      <c r="AJ5" s="114"/>
      <c r="AK5" s="111"/>
      <c r="AN5" s="2"/>
      <c r="AP5" s="2"/>
      <c r="AU5" s="71" t="s">
        <v>412</v>
      </c>
      <c r="AV5" s="2"/>
      <c r="AW5" s="2"/>
      <c r="AX5" s="5">
        <v>3</v>
      </c>
      <c r="AY5" s="5">
        <v>0</v>
      </c>
      <c r="AZ5" s="309">
        <f>Elektrolisis!$Q$12</f>
        <v>1</v>
      </c>
      <c r="BA5" s="314" t="str">
        <f>IF(AND(C5&lt;&gt;"HF",C5&lt;&gt;"H3PO4",AY5&gt;0),AY5*Elektrolisis!$Q$13,IF(AND(C5="HF",AY5&gt;0),(Elektrolisis!$Q$13*0.0006)^0.5,IF(AND(C5="H3PO4",AY5&gt;0),(Elektrolisis!$Q$13*0.00075)^0.5,"")))</f>
        <v/>
      </c>
      <c r="BB5" s="5">
        <v>0</v>
      </c>
      <c r="BC5" s="310" t="str">
        <f>IF(AX5=Elektrolisis!$M$7,IF(BB5=1,-LOG(BA5),IF(BB5=2,14+LOG(BA5),7)),"")</f>
        <v/>
      </c>
      <c r="BD5" s="313" t="str">
        <f>IF(AX5=Elektrolisis!$M$7,(Elektrolisis!$Q$14*Elektrolisis!$Q$15)/(96500*REAKSI!R5*REAKSI!AZ5),"")</f>
        <v/>
      </c>
      <c r="BE5" s="312" t="str">
        <f>IF(AX5=Elektrolisis!$M$7,IF(BA5&gt;BD5,BA5-BD5,IF(BA5&lt;=BD5,0.0000001)),"")</f>
        <v/>
      </c>
      <c r="BF5" s="310" t="str">
        <f>IF(AX5=Elektrolisis!$M$7,IF(BB5=1,-LOG(BE5),IF(BB5=2,14+LOG(BE5),7)),"")</f>
        <v/>
      </c>
    </row>
    <row r="6" spans="1:58" ht="18.95" customHeight="1" x14ac:dyDescent="0.35">
      <c r="A6" s="10"/>
      <c r="B6" s="160">
        <v>4</v>
      </c>
      <c r="C6" s="270" t="s">
        <v>100</v>
      </c>
      <c r="E6" s="256" t="s">
        <v>603</v>
      </c>
      <c r="F6" s="190" t="s">
        <v>334</v>
      </c>
      <c r="H6" s="71" t="s">
        <v>99</v>
      </c>
      <c r="I6" s="71" t="s">
        <v>678</v>
      </c>
      <c r="J6" s="71" t="s">
        <v>337</v>
      </c>
      <c r="K6" s="221" t="s">
        <v>679</v>
      </c>
      <c r="L6" s="2"/>
      <c r="M6" s="4" t="s">
        <v>680</v>
      </c>
      <c r="N6" s="4">
        <v>2</v>
      </c>
      <c r="O6" s="4">
        <v>253.8</v>
      </c>
      <c r="P6" s="4"/>
      <c r="Q6" s="92" t="s">
        <v>236</v>
      </c>
      <c r="R6" s="4">
        <v>2</v>
      </c>
      <c r="S6" s="4">
        <v>2</v>
      </c>
      <c r="T6" s="4" t="s">
        <v>211</v>
      </c>
      <c r="U6" s="4">
        <f t="shared" si="2"/>
        <v>2</v>
      </c>
      <c r="V6" s="4">
        <v>4</v>
      </c>
      <c r="W6" s="2" t="s">
        <v>72</v>
      </c>
      <c r="X6" s="2" t="s">
        <v>101</v>
      </c>
      <c r="Y6" s="2"/>
      <c r="Z6" s="2" t="s">
        <v>73</v>
      </c>
      <c r="AA6" s="2" t="s">
        <v>103</v>
      </c>
      <c r="AB6" s="2"/>
      <c r="AC6" s="273" t="s">
        <v>244</v>
      </c>
      <c r="AD6" s="273" t="s">
        <v>251</v>
      </c>
      <c r="AE6" s="273" t="s">
        <v>242</v>
      </c>
      <c r="AF6" s="273" t="s">
        <v>241</v>
      </c>
      <c r="AG6" s="109"/>
      <c r="AH6" s="106">
        <f t="shared" si="3"/>
        <v>2</v>
      </c>
      <c r="AI6" s="106"/>
      <c r="AJ6" s="114"/>
      <c r="AK6" s="111"/>
      <c r="AN6" s="2"/>
      <c r="AP6" s="2"/>
      <c r="AU6" s="71" t="s">
        <v>681</v>
      </c>
      <c r="AV6" s="2"/>
      <c r="AW6" s="2"/>
      <c r="AX6" s="5">
        <v>4</v>
      </c>
      <c r="AY6" s="5">
        <v>0</v>
      </c>
      <c r="AZ6" s="309">
        <f>Elektrolisis!$Q$12</f>
        <v>1</v>
      </c>
      <c r="BA6" s="314" t="str">
        <f>IF(AND(C6&lt;&gt;"HF",C6&lt;&gt;"H3PO4",AY6&gt;0),AY6*Elektrolisis!$Q$13,IF(AND(C6="HF",AY6&gt;0),(Elektrolisis!$Q$13*0.0006)^0.5,IF(AND(C6="H3PO4",AY6&gt;0),(Elektrolisis!$Q$13*0.00075)^0.5,"")))</f>
        <v/>
      </c>
      <c r="BB6" s="5">
        <v>0</v>
      </c>
      <c r="BC6" s="310" t="str">
        <f>IF(AX6=Elektrolisis!$M$7,IF(BB6=1,-LOG(BA6),IF(BB6=2,14+LOG(BA6),7)),"")</f>
        <v/>
      </c>
      <c r="BD6" s="313" t="str">
        <f>IF(AX6=Elektrolisis!$M$7,(Elektrolisis!$Q$14*Elektrolisis!$Q$15)/(96500*REAKSI!R6*REAKSI!AZ6),"")</f>
        <v/>
      </c>
      <c r="BE6" s="312" t="str">
        <f>IF(AX6=Elektrolisis!$M$7,IF(BA6&gt;BD6,BA6-BD6,IF(BA6&lt;=BD6,0.0000001)),"")</f>
        <v/>
      </c>
      <c r="BF6" s="310" t="str">
        <f>IF(AX6=Elektrolisis!$M$7,IF(BB6=1,-LOG(BE6),IF(BB6=2,14+LOG(BE6),7)),"")</f>
        <v/>
      </c>
    </row>
    <row r="7" spans="1:58" ht="18.95" customHeight="1" x14ac:dyDescent="0.35">
      <c r="A7" s="10"/>
      <c r="B7" s="160">
        <v>5</v>
      </c>
      <c r="C7" s="270" t="s">
        <v>16</v>
      </c>
      <c r="E7" s="256" t="s">
        <v>604</v>
      </c>
      <c r="F7" s="190" t="s">
        <v>333</v>
      </c>
      <c r="H7" s="71" t="s">
        <v>24</v>
      </c>
      <c r="I7" s="71" t="s">
        <v>432</v>
      </c>
      <c r="J7" s="71" t="s">
        <v>337</v>
      </c>
      <c r="K7" s="221" t="s">
        <v>530</v>
      </c>
      <c r="L7" s="2"/>
      <c r="M7" s="4" t="s">
        <v>232</v>
      </c>
      <c r="N7" s="4">
        <v>4</v>
      </c>
      <c r="O7" s="4">
        <v>32</v>
      </c>
      <c r="P7" s="4"/>
      <c r="Q7" s="92" t="s">
        <v>236</v>
      </c>
      <c r="R7" s="4">
        <v>2</v>
      </c>
      <c r="S7" s="4">
        <v>2</v>
      </c>
      <c r="T7" s="4"/>
      <c r="U7" s="4">
        <f t="shared" si="2"/>
        <v>0</v>
      </c>
      <c r="V7" s="4">
        <v>5</v>
      </c>
      <c r="W7" s="2" t="s">
        <v>72</v>
      </c>
      <c r="X7" s="2" t="s">
        <v>419</v>
      </c>
      <c r="Y7" s="2"/>
      <c r="Z7" s="2" t="s">
        <v>73</v>
      </c>
      <c r="AA7" s="2" t="s">
        <v>75</v>
      </c>
      <c r="AB7" s="2"/>
      <c r="AC7" s="273" t="s">
        <v>242</v>
      </c>
      <c r="AD7" s="273" t="s">
        <v>243</v>
      </c>
      <c r="AE7" s="273" t="s">
        <v>242</v>
      </c>
      <c r="AF7" s="273" t="s">
        <v>241</v>
      </c>
      <c r="AG7" s="109"/>
      <c r="AH7" s="106">
        <f t="shared" si="3"/>
        <v>0</v>
      </c>
      <c r="AI7" s="106"/>
      <c r="AJ7" s="114"/>
      <c r="AK7" s="111"/>
      <c r="AN7" s="2"/>
      <c r="AP7" s="2"/>
      <c r="AU7" s="71" t="s">
        <v>416</v>
      </c>
      <c r="AV7" s="2"/>
      <c r="AW7" s="2"/>
      <c r="AX7" s="5">
        <v>5</v>
      </c>
      <c r="AY7" s="5">
        <v>0</v>
      </c>
      <c r="AZ7" s="309">
        <f>Elektrolisis!$Q$12</f>
        <v>1</v>
      </c>
      <c r="BA7" s="314" t="str">
        <f>IF(AND(C7&lt;&gt;"HF",C7&lt;&gt;"H3PO4",AY7&gt;0),AY7*Elektrolisis!$Q$13,IF(AND(C7="HF",AY7&gt;0),(Elektrolisis!$Q$13*0.0006)^0.5,IF(AND(C7="H3PO4",AY7&gt;0),(Elektrolisis!$Q$13*0.00075)^0.5,"")))</f>
        <v/>
      </c>
      <c r="BB7" s="5">
        <v>0</v>
      </c>
      <c r="BC7" s="310" t="str">
        <f>IF(AX7=Elektrolisis!$M$7,IF(BB7=1,-LOG(BA7),IF(BB7=2,14+LOG(BA7),7)),"")</f>
        <v/>
      </c>
      <c r="BD7" s="313" t="str">
        <f>IF(AX7=Elektrolisis!$M$7,(Elektrolisis!$Q$14*Elektrolisis!$Q$15)/(96500*REAKSI!R7*REAKSI!AZ7),"")</f>
        <v/>
      </c>
      <c r="BE7" s="312" t="str">
        <f>IF(AX7=Elektrolisis!$M$7,IF(BA7&gt;BD7,BA7-BD7,IF(BA7&lt;=BD7,0.0000001)),"")</f>
        <v/>
      </c>
      <c r="BF7" s="310" t="str">
        <f>IF(AX7=Elektrolisis!$M$7,IF(BB7=1,-LOG(BE7),IF(BB7=2,14+LOG(BE7),7)),"")</f>
        <v/>
      </c>
    </row>
    <row r="8" spans="1:58" ht="18.95" customHeight="1" x14ac:dyDescent="0.35">
      <c r="A8" s="10"/>
      <c r="B8" s="160">
        <v>6</v>
      </c>
      <c r="C8" s="270" t="s">
        <v>7</v>
      </c>
      <c r="E8" s="256" t="s">
        <v>250</v>
      </c>
      <c r="F8" s="190" t="s">
        <v>334</v>
      </c>
      <c r="H8" s="71" t="s">
        <v>25</v>
      </c>
      <c r="I8" s="71" t="s">
        <v>336</v>
      </c>
      <c r="J8" s="71" t="s">
        <v>337</v>
      </c>
      <c r="K8" s="221" t="s">
        <v>530</v>
      </c>
      <c r="L8" s="2"/>
      <c r="M8" s="4" t="s">
        <v>232</v>
      </c>
      <c r="N8" s="4">
        <v>4</v>
      </c>
      <c r="O8" s="4">
        <v>32</v>
      </c>
      <c r="P8" s="4"/>
      <c r="Q8" s="92" t="s">
        <v>236</v>
      </c>
      <c r="R8" s="4">
        <v>2</v>
      </c>
      <c r="S8" s="4">
        <v>2</v>
      </c>
      <c r="T8" s="4" t="s">
        <v>211</v>
      </c>
      <c r="U8" s="4">
        <f t="shared" si="2"/>
        <v>2</v>
      </c>
      <c r="V8" s="4">
        <v>6</v>
      </c>
      <c r="W8" s="2" t="s">
        <v>72</v>
      </c>
      <c r="X8" s="2" t="s">
        <v>76</v>
      </c>
      <c r="Y8" s="2"/>
      <c r="Z8" s="2" t="s">
        <v>73</v>
      </c>
      <c r="AA8" s="2" t="s">
        <v>75</v>
      </c>
      <c r="AB8" s="2"/>
      <c r="AC8" s="273" t="s">
        <v>249</v>
      </c>
      <c r="AD8" s="273" t="s">
        <v>243</v>
      </c>
      <c r="AE8" s="273" t="s">
        <v>242</v>
      </c>
      <c r="AF8" s="273" t="s">
        <v>241</v>
      </c>
      <c r="AG8" s="109"/>
      <c r="AH8" s="106">
        <f t="shared" si="3"/>
        <v>2</v>
      </c>
      <c r="AI8" s="106"/>
      <c r="AJ8" s="114"/>
      <c r="AK8" s="111"/>
      <c r="AN8" s="2"/>
      <c r="AP8" s="2"/>
      <c r="AU8" s="71" t="s">
        <v>417</v>
      </c>
      <c r="AV8" s="2"/>
      <c r="AW8" s="2"/>
      <c r="AX8" s="5">
        <v>6</v>
      </c>
      <c r="AY8" s="5">
        <v>1</v>
      </c>
      <c r="AZ8" s="309">
        <f>Elektrolisis!$Q$12</f>
        <v>1</v>
      </c>
      <c r="BA8" s="314">
        <f>IF(AND(C8&lt;&gt;"HF",C8&lt;&gt;"H3PO4",AY8&gt;0),AY8*Elektrolisis!$Q$13,IF(AND(C8="HF",AY8&gt;0),(Elektrolisis!$Q$13*0.0006)^0.5,IF(AND(C8="H3PO4",AY8&gt;0),(Elektrolisis!$Q$13*0.00075)^0.5,"")))</f>
        <v>1</v>
      </c>
      <c r="BB8" s="5">
        <v>2</v>
      </c>
      <c r="BC8" s="310" t="str">
        <f>IF(AX8=Elektrolisis!$M$7,IF(BB8=1,-LOG(BA8),IF(BB8=2,14+LOG(BA8),7)),"")</f>
        <v/>
      </c>
      <c r="BD8" s="313" t="str">
        <f>IF(AX8=Elektrolisis!$M$7,(Elektrolisis!$Q$14*Elektrolisis!$Q$15)/(96500*REAKSI!R8*REAKSI!AZ8),"")</f>
        <v/>
      </c>
      <c r="BE8" s="312" t="str">
        <f>IF(AX8=Elektrolisis!$M$7,IF(BA8&gt;BD8,BA8-BD8,IF(BA8&lt;=BD8,0.0000001)),"")</f>
        <v/>
      </c>
      <c r="BF8" s="310" t="str">
        <f>IF(AX8=Elektrolisis!$M$7,IF(BB8=1,-LOG(BE8),IF(BB8=2,14+LOG(BE8),7)),"")</f>
        <v/>
      </c>
    </row>
    <row r="9" spans="1:58" ht="18.95" customHeight="1" x14ac:dyDescent="0.35">
      <c r="A9" s="10"/>
      <c r="B9" s="160">
        <v>7</v>
      </c>
      <c r="C9" s="270" t="s">
        <v>13</v>
      </c>
      <c r="E9" s="256" t="s">
        <v>605</v>
      </c>
      <c r="F9" s="191" t="s">
        <v>333</v>
      </c>
      <c r="H9" s="71" t="s">
        <v>26</v>
      </c>
      <c r="I9" s="71" t="s">
        <v>436</v>
      </c>
      <c r="J9" s="71" t="s">
        <v>440</v>
      </c>
      <c r="K9" s="221" t="s">
        <v>426</v>
      </c>
      <c r="L9" s="2"/>
      <c r="M9" s="4" t="s">
        <v>231</v>
      </c>
      <c r="N9" s="4">
        <v>2</v>
      </c>
      <c r="O9" s="4">
        <v>32</v>
      </c>
      <c r="P9" s="4"/>
      <c r="Q9" s="92" t="s">
        <v>197</v>
      </c>
      <c r="R9" s="4">
        <v>2</v>
      </c>
      <c r="S9" s="4">
        <v>63.55</v>
      </c>
      <c r="T9" s="4"/>
      <c r="U9" s="4">
        <f>IF(P9&amp;T9="[H+] =",1,IF(P9&amp;T9="[OH-] =",2,0))</f>
        <v>0</v>
      </c>
      <c r="V9" s="4">
        <v>7</v>
      </c>
      <c r="W9" s="2" t="s">
        <v>72</v>
      </c>
      <c r="X9" s="2" t="s">
        <v>77</v>
      </c>
      <c r="Y9" s="2"/>
      <c r="Z9" s="2" t="s">
        <v>73</v>
      </c>
      <c r="AA9" s="2" t="s">
        <v>78</v>
      </c>
      <c r="AB9" s="2"/>
      <c r="AC9" s="273" t="s">
        <v>238</v>
      </c>
      <c r="AD9" s="273" t="s">
        <v>239</v>
      </c>
      <c r="AE9" s="273" t="s">
        <v>245</v>
      </c>
      <c r="AF9" s="273" t="s">
        <v>3</v>
      </c>
      <c r="AG9" s="109"/>
      <c r="AH9" s="106">
        <f t="shared" si="3"/>
        <v>0</v>
      </c>
      <c r="AI9" s="106"/>
      <c r="AJ9" s="114"/>
      <c r="AK9" s="111"/>
      <c r="AN9" s="2"/>
      <c r="AP9" s="2"/>
      <c r="AU9" s="71" t="s">
        <v>418</v>
      </c>
      <c r="AV9" s="2"/>
      <c r="AW9" s="2"/>
      <c r="AX9" s="5">
        <v>7</v>
      </c>
      <c r="AY9" s="5">
        <v>0</v>
      </c>
      <c r="AZ9" s="309">
        <f>Elektrolisis!$Q$12</f>
        <v>1</v>
      </c>
      <c r="BA9" s="314" t="str">
        <f>IF(AND(C9&lt;&gt;"HF",C9&lt;&gt;"H3PO4",AY9&gt;0),AY9*Elektrolisis!$Q$13,IF(AND(C9="HF",AY9&gt;0),(Elektrolisis!$Q$13*0.0006)^0.5,IF(AND(C9="H3PO4",AY9&gt;0),(Elektrolisis!$Q$13*0.00075)^0.5,"")))</f>
        <v/>
      </c>
      <c r="BB9" s="5">
        <v>0</v>
      </c>
      <c r="BC9" s="310" t="str">
        <f>IF(AX9=Elektrolisis!$M$7,IF(BB9=1,-LOG(BA9),IF(BB9=2,14+LOG(BA9),7)),"")</f>
        <v/>
      </c>
      <c r="BD9" s="313" t="str">
        <f>IF(AX9=Elektrolisis!$M$7,(Elektrolisis!$Q$14*Elektrolisis!$Q$15)/(96500*REAKSI!R9*REAKSI!AZ9),"")</f>
        <v/>
      </c>
      <c r="BE9" s="312" t="str">
        <f>IF(AX9=Elektrolisis!$M$7,IF(BA9&gt;BD9,BA9-BD9,IF(BA9&lt;=BD9,0.0000001)),"")</f>
        <v/>
      </c>
      <c r="BF9" s="310" t="str">
        <f>IF(AX9=Elektrolisis!$M$7,IF(BB9=1,-LOG(BE9),IF(BB9=2,14+LOG(BE9),7)),"")</f>
        <v/>
      </c>
    </row>
    <row r="10" spans="1:58" ht="18.95" customHeight="1" x14ac:dyDescent="0.35">
      <c r="A10" s="10"/>
      <c r="B10" s="160">
        <v>8</v>
      </c>
      <c r="C10" s="270" t="s">
        <v>9</v>
      </c>
      <c r="E10" s="256" t="s">
        <v>606</v>
      </c>
      <c r="F10" s="190" t="s">
        <v>338</v>
      </c>
      <c r="H10" s="71" t="s">
        <v>27</v>
      </c>
      <c r="I10" s="71" t="s">
        <v>432</v>
      </c>
      <c r="J10" s="71" t="s">
        <v>440</v>
      </c>
      <c r="K10" s="221" t="s">
        <v>427</v>
      </c>
      <c r="L10" s="2"/>
      <c r="M10" s="4" t="s">
        <v>232</v>
      </c>
      <c r="N10" s="4">
        <v>4</v>
      </c>
      <c r="O10" s="4">
        <v>32</v>
      </c>
      <c r="P10" s="4" t="s">
        <v>210</v>
      </c>
      <c r="Q10" s="92" t="s">
        <v>197</v>
      </c>
      <c r="R10" s="4">
        <v>2</v>
      </c>
      <c r="S10" s="4">
        <v>63.55</v>
      </c>
      <c r="T10" s="4" t="s">
        <v>14</v>
      </c>
      <c r="U10" s="4">
        <f>IF(P10&amp;T10="[H+] =",1,IF(P10&amp;T10="[OH-] =",2,0))</f>
        <v>0</v>
      </c>
      <c r="V10" s="4">
        <v>8</v>
      </c>
      <c r="W10" s="2" t="s">
        <v>72</v>
      </c>
      <c r="X10" s="2" t="s">
        <v>419</v>
      </c>
      <c r="Y10" s="2"/>
      <c r="Z10" s="2" t="s">
        <v>73</v>
      </c>
      <c r="AA10" s="2" t="s">
        <v>78</v>
      </c>
      <c r="AB10" s="2"/>
      <c r="AC10" s="273" t="s">
        <v>242</v>
      </c>
      <c r="AD10" s="273" t="s">
        <v>243</v>
      </c>
      <c r="AE10" s="273" t="s">
        <v>245</v>
      </c>
      <c r="AF10" s="273" t="s">
        <v>3</v>
      </c>
      <c r="AG10" s="109"/>
      <c r="AH10" s="106">
        <f t="shared" si="3"/>
        <v>0</v>
      </c>
      <c r="AI10" s="106"/>
      <c r="AJ10" s="114"/>
      <c r="AK10" s="111"/>
      <c r="AN10" s="2"/>
      <c r="AP10" s="2"/>
      <c r="AU10" s="71" t="s">
        <v>715</v>
      </c>
      <c r="AV10" s="2"/>
      <c r="AW10" s="2"/>
      <c r="AX10" s="5">
        <v>8</v>
      </c>
      <c r="AY10" s="5">
        <v>0</v>
      </c>
      <c r="AZ10" s="309">
        <f>Elektrolisis!$Q$12</f>
        <v>1</v>
      </c>
      <c r="BA10" s="314" t="str">
        <f>IF(AND(C10&lt;&gt;"HF",C10&lt;&gt;"H3PO4",AY10&gt;0),AY10*Elektrolisis!$Q$13,IF(AND(C10="HF",AY10&gt;0),(Elektrolisis!$Q$13*0.0006)^0.5,IF(AND(C10="H3PO4",AY10&gt;0),(Elektrolisis!$Q$13*0.00075)^0.5,"")))</f>
        <v/>
      </c>
      <c r="BB10" s="5">
        <v>0</v>
      </c>
      <c r="BC10" s="310" t="str">
        <f>IF(AX10=Elektrolisis!$M$7,IF(BB10=1,-LOG(BA10),IF(BB10=2,14+LOG(BA10),7)),"")</f>
        <v/>
      </c>
      <c r="BD10" s="313" t="str">
        <f>IF(AX10=Elektrolisis!$M$7,(Elektrolisis!$Q$14*Elektrolisis!$Q$15)/(96500*REAKSI!R10*REAKSI!AZ10),"")</f>
        <v/>
      </c>
      <c r="BE10" s="312" t="str">
        <f>IF(AX10=Elektrolisis!$M$7,IF(BA10&gt;BD10,BA10-BD10,IF(BA10&lt;=BD10,0.0000001)),"")</f>
        <v/>
      </c>
      <c r="BF10" s="310" t="str">
        <f>IF(AX10=Elektrolisis!$M$7,IF(BB10=1,-LOG(BE10),IF(BB10=2,14+LOG(BE10),7)),"")</f>
        <v/>
      </c>
    </row>
    <row r="11" spans="1:58" ht="18.95" customHeight="1" x14ac:dyDescent="0.35">
      <c r="A11" s="10"/>
      <c r="B11" s="160">
        <v>9</v>
      </c>
      <c r="C11" s="270" t="s">
        <v>15</v>
      </c>
      <c r="E11" s="256" t="s">
        <v>607</v>
      </c>
      <c r="F11" s="190" t="s">
        <v>334</v>
      </c>
      <c r="H11" s="71" t="s">
        <v>28</v>
      </c>
      <c r="I11" s="71" t="s">
        <v>336</v>
      </c>
      <c r="J11" s="71" t="s">
        <v>440</v>
      </c>
      <c r="K11" s="221" t="s">
        <v>471</v>
      </c>
      <c r="L11" s="2"/>
      <c r="M11" s="4" t="s">
        <v>232</v>
      </c>
      <c r="N11" s="4">
        <v>4</v>
      </c>
      <c r="O11" s="4">
        <v>32</v>
      </c>
      <c r="P11" s="4"/>
      <c r="Q11" s="92" t="s">
        <v>197</v>
      </c>
      <c r="R11" s="4">
        <v>2</v>
      </c>
      <c r="S11" s="4">
        <v>63.55</v>
      </c>
      <c r="T11" s="4" t="s">
        <v>211</v>
      </c>
      <c r="U11" s="4">
        <f t="shared" si="2"/>
        <v>2</v>
      </c>
      <c r="V11" s="4">
        <v>9</v>
      </c>
      <c r="W11" s="2" t="s">
        <v>72</v>
      </c>
      <c r="X11" s="2" t="s">
        <v>76</v>
      </c>
      <c r="Y11" s="2"/>
      <c r="Z11" s="2" t="s">
        <v>73</v>
      </c>
      <c r="AA11" s="2" t="s">
        <v>78</v>
      </c>
      <c r="AB11" s="2"/>
      <c r="AC11" s="273" t="s">
        <v>249</v>
      </c>
      <c r="AD11" s="273" t="s">
        <v>243</v>
      </c>
      <c r="AE11" s="273" t="s">
        <v>245</v>
      </c>
      <c r="AF11" s="273" t="s">
        <v>3</v>
      </c>
      <c r="AG11" s="109"/>
      <c r="AH11" s="106">
        <f t="shared" si="3"/>
        <v>2</v>
      </c>
      <c r="AI11" s="106"/>
      <c r="AJ11" s="114"/>
      <c r="AK11" s="111"/>
      <c r="AN11" s="2"/>
      <c r="AP11" s="2"/>
      <c r="AU11" s="71" t="s">
        <v>430</v>
      </c>
      <c r="AV11" s="2"/>
      <c r="AW11" s="2"/>
      <c r="AX11" s="5">
        <v>9</v>
      </c>
      <c r="AY11" s="5">
        <v>2</v>
      </c>
      <c r="AZ11" s="309">
        <f>Elektrolisis!$Q$12</f>
        <v>1</v>
      </c>
      <c r="BA11" s="314">
        <f>IF(AND(C11&lt;&gt;"HF",C11&lt;&gt;"H3PO4",AY11&gt;0),AY11*Elektrolisis!$Q$13,IF(AND(C11="HF",AY11&gt;0),(Elektrolisis!$Q$13*0.0006)^0.5,IF(AND(C11="H3PO4",AY11&gt;0),(Elektrolisis!$Q$13*0.00075)^0.5,"")))</f>
        <v>2</v>
      </c>
      <c r="BB11" s="5">
        <v>2</v>
      </c>
      <c r="BC11" s="310" t="str">
        <f>IF(AX11=Elektrolisis!$M$7,IF(BB11=1,-LOG(BA11),IF(BB11=2,14+LOG(BA11),7)),"")</f>
        <v/>
      </c>
      <c r="BD11" s="313" t="str">
        <f>IF(AX11=Elektrolisis!$M$7,(Elektrolisis!$Q$14*Elektrolisis!$Q$15)/(96500*REAKSI!R11*REAKSI!AZ11),"")</f>
        <v/>
      </c>
      <c r="BE11" s="312" t="str">
        <f>IF(AX11=Elektrolisis!$M$7,IF(BA11&gt;BD11,BA11-BD11,IF(BA11&lt;=BD11,0.0000001)),"")</f>
        <v/>
      </c>
      <c r="BF11" s="310" t="str">
        <f>IF(AX11=Elektrolisis!$M$7,IF(BB11=1,-LOG(BE11),IF(BB11=2,14+LOG(BE11),7)),"")</f>
        <v/>
      </c>
    </row>
    <row r="12" spans="1:58" ht="18.95" customHeight="1" x14ac:dyDescent="0.35">
      <c r="A12" s="10"/>
      <c r="B12" s="160">
        <v>10</v>
      </c>
      <c r="C12" s="270" t="s">
        <v>8</v>
      </c>
      <c r="E12" s="256" t="s">
        <v>60</v>
      </c>
      <c r="F12" s="71"/>
      <c r="H12" s="71" t="s">
        <v>23</v>
      </c>
      <c r="I12" s="71" t="s">
        <v>436</v>
      </c>
      <c r="J12" s="71" t="s">
        <v>441</v>
      </c>
      <c r="K12" s="221" t="s">
        <v>462</v>
      </c>
      <c r="L12" s="2"/>
      <c r="M12" s="4" t="s">
        <v>231</v>
      </c>
      <c r="N12" s="4">
        <v>2</v>
      </c>
      <c r="O12" s="4">
        <v>71</v>
      </c>
      <c r="P12" s="4"/>
      <c r="Q12" s="92" t="s">
        <v>198</v>
      </c>
      <c r="R12" s="4">
        <v>1</v>
      </c>
      <c r="S12" s="4">
        <v>22.99</v>
      </c>
      <c r="T12" s="4"/>
      <c r="U12" s="160">
        <f t="shared" si="2"/>
        <v>0</v>
      </c>
      <c r="V12" s="4">
        <v>10</v>
      </c>
      <c r="W12" s="2"/>
      <c r="X12" s="2"/>
      <c r="Y12" s="2"/>
      <c r="Z12" s="2"/>
      <c r="AA12" s="2"/>
      <c r="AB12" s="2"/>
      <c r="AC12" s="273" t="s">
        <v>238</v>
      </c>
      <c r="AD12" s="273" t="s">
        <v>239</v>
      </c>
      <c r="AE12" s="273" t="s">
        <v>246</v>
      </c>
      <c r="AF12" s="273" t="s">
        <v>47</v>
      </c>
      <c r="AG12" s="109"/>
      <c r="AH12" s="106">
        <f t="shared" si="3"/>
        <v>0</v>
      </c>
      <c r="AI12" s="106"/>
      <c r="AJ12" s="114"/>
      <c r="AK12" s="111"/>
      <c r="AN12" s="2"/>
      <c r="AP12" s="2"/>
      <c r="AU12" s="71" t="s">
        <v>399</v>
      </c>
      <c r="AV12" s="2"/>
      <c r="AW12" s="2">
        <v>58.43</v>
      </c>
      <c r="AX12" s="5">
        <v>10</v>
      </c>
      <c r="AY12" s="5">
        <v>0</v>
      </c>
      <c r="AZ12" s="309">
        <f>Elektrolisis!$Q$12</f>
        <v>1</v>
      </c>
      <c r="BA12" s="314" t="str">
        <f>IF(AND(C12&lt;&gt;"HF",C12&lt;&gt;"H3PO4",AY12&gt;0),AY12*Elektrolisis!$Q$13,IF(AND(C12="HF",AY12&gt;0),(Elektrolisis!$Q$13*0.0006)^0.5,IF(AND(C12="H3PO4",AY12&gt;0),(Elektrolisis!$Q$13*0.00075)^0.5,"")))</f>
        <v/>
      </c>
      <c r="BB12" s="5">
        <v>0</v>
      </c>
      <c r="BC12" s="310" t="str">
        <f>IF(AX12=Elektrolisis!$M$7,IF(BB12=1,-LOG(BA12),IF(BB12=2,14+LOG(BA12),7)),"")</f>
        <v/>
      </c>
      <c r="BD12" s="313" t="str">
        <f>IF(AX12=Elektrolisis!$M$7,(Elektrolisis!$Q$14*Elektrolisis!$Q$15)/(96500*REAKSI!R12*REAKSI!AZ12),"")</f>
        <v/>
      </c>
      <c r="BE12" s="312" t="str">
        <f>IF(AX12=Elektrolisis!$M$7,IF(BA12&gt;BD12,BA12-BD12,IF(BA12&lt;=BD12,0.0000001)),"")</f>
        <v/>
      </c>
      <c r="BF12" s="310" t="str">
        <f>IF(AX12=Elektrolisis!$M$7,IF(BB12=1,-LOG(BE12),IF(BB12=2,14+LOG(BE12),7)),"")</f>
        <v/>
      </c>
    </row>
    <row r="13" spans="1:58" ht="18.95" customHeight="1" x14ac:dyDescent="0.35">
      <c r="A13" s="10"/>
      <c r="B13" s="160">
        <v>11</v>
      </c>
      <c r="C13" s="270" t="s">
        <v>169</v>
      </c>
      <c r="E13" s="256" t="s">
        <v>608</v>
      </c>
      <c r="F13" s="71"/>
      <c r="H13" s="71" t="s">
        <v>29</v>
      </c>
      <c r="I13" s="71" t="s">
        <v>436</v>
      </c>
      <c r="J13" s="71" t="s">
        <v>442</v>
      </c>
      <c r="K13" s="221" t="s">
        <v>463</v>
      </c>
      <c r="L13" s="2"/>
      <c r="M13" s="4" t="s">
        <v>231</v>
      </c>
      <c r="N13" s="4">
        <v>2</v>
      </c>
      <c r="O13" s="4">
        <v>71</v>
      </c>
      <c r="P13" s="4"/>
      <c r="Q13" s="92" t="s">
        <v>199</v>
      </c>
      <c r="R13" s="4">
        <v>2</v>
      </c>
      <c r="S13" s="4">
        <v>24.31</v>
      </c>
      <c r="T13" s="4"/>
      <c r="U13" s="160">
        <f t="shared" si="2"/>
        <v>0</v>
      </c>
      <c r="V13" s="4">
        <v>11</v>
      </c>
      <c r="W13" s="2"/>
      <c r="X13" s="2"/>
      <c r="Y13" s="2"/>
      <c r="Z13" s="2"/>
      <c r="AA13" s="2"/>
      <c r="AB13" s="2"/>
      <c r="AC13" s="273" t="s">
        <v>238</v>
      </c>
      <c r="AD13" s="273" t="s">
        <v>239</v>
      </c>
      <c r="AE13" s="273" t="s">
        <v>247</v>
      </c>
      <c r="AF13" s="273" t="s">
        <v>48</v>
      </c>
      <c r="AG13" s="109"/>
      <c r="AH13" s="106">
        <f t="shared" si="3"/>
        <v>0</v>
      </c>
      <c r="AI13" s="106"/>
      <c r="AJ13" s="114"/>
      <c r="AK13" s="111"/>
      <c r="AN13" s="2"/>
      <c r="AP13" s="2"/>
      <c r="AU13" s="71" t="s">
        <v>400</v>
      </c>
      <c r="AV13" s="2"/>
      <c r="AW13" s="2">
        <v>95.2</v>
      </c>
      <c r="AX13" s="5">
        <v>11</v>
      </c>
      <c r="AY13" s="5">
        <v>0</v>
      </c>
      <c r="AZ13" s="309">
        <f>Elektrolisis!$Q$12</f>
        <v>1</v>
      </c>
      <c r="BA13" s="314" t="str">
        <f>IF(AND(C13&lt;&gt;"HF",C13&lt;&gt;"H3PO4",AY13&gt;0),AY13*Elektrolisis!$Q$13,IF(AND(C13="HF",AY13&gt;0),(Elektrolisis!$Q$13*0.0006)^0.5,IF(AND(C13="H3PO4",AY13&gt;0),(Elektrolisis!$Q$13*0.00075)^0.5,"")))</f>
        <v/>
      </c>
      <c r="BB13" s="5">
        <v>0</v>
      </c>
      <c r="BC13" s="310" t="str">
        <f>IF(AX13=Elektrolisis!$M$7,IF(BB13=1,-LOG(BA13),IF(BB13=2,14+LOG(BA13),7)),"")</f>
        <v/>
      </c>
      <c r="BD13" s="313" t="str">
        <f>IF(AX13=Elektrolisis!$M$7,(Elektrolisis!$Q$14*Elektrolisis!$Q$15)/(96500*REAKSI!R13*REAKSI!AZ13),"")</f>
        <v/>
      </c>
      <c r="BE13" s="312" t="str">
        <f>IF(AX13=Elektrolisis!$M$7,IF(BA13&gt;BD13,BA13-BD13,IF(BA13&lt;=BD13,0.0000001)),"")</f>
        <v/>
      </c>
      <c r="BF13" s="310" t="str">
        <f>IF(AX13=Elektrolisis!$M$7,IF(BB13=1,-LOG(BE13),IF(BB13=2,14+LOG(BE13),7)),"")</f>
        <v/>
      </c>
    </row>
    <row r="14" spans="1:58" ht="18.95" customHeight="1" x14ac:dyDescent="0.35">
      <c r="A14" s="10"/>
      <c r="B14" s="160">
        <v>12</v>
      </c>
      <c r="C14" s="270" t="s">
        <v>17</v>
      </c>
      <c r="E14" s="256" t="s">
        <v>609</v>
      </c>
      <c r="F14" s="71"/>
      <c r="H14" s="71" t="s">
        <v>30</v>
      </c>
      <c r="I14" s="71" t="s">
        <v>436</v>
      </c>
      <c r="J14" s="71" t="s">
        <v>443</v>
      </c>
      <c r="K14" s="221" t="s">
        <v>472</v>
      </c>
      <c r="L14" s="2"/>
      <c r="M14" s="4" t="s">
        <v>231</v>
      </c>
      <c r="N14" s="4">
        <v>2</v>
      </c>
      <c r="O14" s="4">
        <v>71</v>
      </c>
      <c r="P14" s="4"/>
      <c r="Q14" s="92" t="s">
        <v>200</v>
      </c>
      <c r="R14" s="4">
        <v>3</v>
      </c>
      <c r="S14" s="4">
        <v>52</v>
      </c>
      <c r="T14" s="4"/>
      <c r="U14" s="160">
        <f t="shared" si="2"/>
        <v>0</v>
      </c>
      <c r="V14" s="4">
        <v>12</v>
      </c>
      <c r="W14" s="2"/>
      <c r="X14" s="2"/>
      <c r="Y14" s="2"/>
      <c r="Z14" s="2"/>
      <c r="AA14" s="2"/>
      <c r="AB14" s="2"/>
      <c r="AC14" s="273" t="s">
        <v>238</v>
      </c>
      <c r="AD14" s="273" t="s">
        <v>239</v>
      </c>
      <c r="AE14" s="273" t="s">
        <v>248</v>
      </c>
      <c r="AF14" s="273" t="s">
        <v>49</v>
      </c>
      <c r="AG14" s="109"/>
      <c r="AH14" s="106">
        <f t="shared" si="3"/>
        <v>0</v>
      </c>
      <c r="AI14" s="106"/>
      <c r="AJ14" s="114"/>
      <c r="AK14" s="111"/>
      <c r="AN14" s="2"/>
      <c r="AP14" s="2"/>
      <c r="AU14" s="71" t="s">
        <v>401</v>
      </c>
      <c r="AV14" s="2"/>
      <c r="AW14" s="2">
        <v>158.34</v>
      </c>
      <c r="AX14" s="5">
        <v>12</v>
      </c>
      <c r="AY14" s="5">
        <v>0</v>
      </c>
      <c r="AZ14" s="309">
        <f>Elektrolisis!$Q$12</f>
        <v>1</v>
      </c>
      <c r="BA14" s="314" t="str">
        <f>IF(AND(C14&lt;&gt;"HF",C14&lt;&gt;"H3PO4",AY14&gt;0),AY14*Elektrolisis!$Q$13,IF(AND(C14="HF",AY14&gt;0),(Elektrolisis!$Q$13*0.0006)^0.5,IF(AND(C14="H3PO4",AY14&gt;0),(Elektrolisis!$Q$13*0.00075)^0.5,"")))</f>
        <v/>
      </c>
      <c r="BB14" s="5">
        <v>0</v>
      </c>
      <c r="BC14" s="310" t="str">
        <f>IF(AX14=Elektrolisis!$M$7,IF(BB14=1,-LOG(BA14),IF(BB14=2,14+LOG(BA14),7)),"")</f>
        <v/>
      </c>
      <c r="BD14" s="313" t="str">
        <f>IF(AX14=Elektrolisis!$M$7,(Elektrolisis!$Q$14*Elektrolisis!$Q$15)/(96500*REAKSI!R14*REAKSI!AZ14),"")</f>
        <v/>
      </c>
      <c r="BE14" s="312" t="str">
        <f>IF(AX14=Elektrolisis!$M$7,IF(BA14&gt;BD14,BA14-BD14,IF(BA14&lt;=BD14,0.0000001)),"")</f>
        <v/>
      </c>
      <c r="BF14" s="310" t="str">
        <f>IF(AX14=Elektrolisis!$M$7,IF(BB14=1,-LOG(BE14),IF(BB14=2,14+LOG(BE14),7)),"")</f>
        <v/>
      </c>
    </row>
    <row r="15" spans="1:58" ht="18.95" customHeight="1" x14ac:dyDescent="0.35">
      <c r="A15" s="10"/>
      <c r="B15" s="160">
        <v>13</v>
      </c>
      <c r="C15" s="270" t="s">
        <v>18</v>
      </c>
      <c r="E15" s="256" t="s">
        <v>610</v>
      </c>
      <c r="F15" s="71"/>
      <c r="H15" s="71" t="s">
        <v>31</v>
      </c>
      <c r="I15" s="71" t="s">
        <v>436</v>
      </c>
      <c r="J15" s="71" t="s">
        <v>444</v>
      </c>
      <c r="K15" s="221" t="s">
        <v>473</v>
      </c>
      <c r="L15" s="2"/>
      <c r="M15" s="4" t="s">
        <v>231</v>
      </c>
      <c r="N15" s="4">
        <v>2</v>
      </c>
      <c r="O15" s="4">
        <v>71</v>
      </c>
      <c r="P15" s="4"/>
      <c r="Q15" s="92" t="s">
        <v>201</v>
      </c>
      <c r="R15" s="4">
        <v>2</v>
      </c>
      <c r="S15" s="4">
        <v>65.39</v>
      </c>
      <c r="T15" s="4"/>
      <c r="U15" s="160">
        <f t="shared" si="2"/>
        <v>0</v>
      </c>
      <c r="V15" s="4">
        <v>13</v>
      </c>
      <c r="W15" s="2"/>
      <c r="X15" s="2"/>
      <c r="Y15" s="2"/>
      <c r="Z15" s="2"/>
      <c r="AA15" s="2"/>
      <c r="AB15" s="2"/>
      <c r="AC15" s="273" t="s">
        <v>238</v>
      </c>
      <c r="AD15" s="273" t="s">
        <v>239</v>
      </c>
      <c r="AE15" s="273" t="s">
        <v>253</v>
      </c>
      <c r="AF15" s="273" t="s">
        <v>50</v>
      </c>
      <c r="AG15" s="109"/>
      <c r="AH15" s="106">
        <f t="shared" si="3"/>
        <v>0</v>
      </c>
      <c r="AI15" s="106"/>
      <c r="AJ15" s="114"/>
      <c r="AK15" s="111"/>
      <c r="AN15" s="2"/>
      <c r="AP15" s="2"/>
      <c r="AU15" s="71" t="s">
        <v>402</v>
      </c>
      <c r="AV15" s="2"/>
      <c r="AW15" s="2">
        <v>136.29</v>
      </c>
      <c r="AX15" s="5">
        <v>13</v>
      </c>
      <c r="AY15" s="5">
        <v>0</v>
      </c>
      <c r="AZ15" s="309">
        <f>Elektrolisis!$Q$12</f>
        <v>1</v>
      </c>
      <c r="BA15" s="314" t="str">
        <f>IF(AND(C15&lt;&gt;"HF",C15&lt;&gt;"H3PO4",AY15&gt;0),AY15*Elektrolisis!$Q$13,IF(AND(C15="HF",AY15&gt;0),(Elektrolisis!$Q$13*0.0006)^0.5,IF(AND(C15="H3PO4",AY15&gt;0),(Elektrolisis!$Q$13*0.00075)^0.5,"")))</f>
        <v/>
      </c>
      <c r="BB15" s="5">
        <v>0</v>
      </c>
      <c r="BC15" s="310" t="str">
        <f>IF(AX15=Elektrolisis!$M$7,IF(BB15=1,-LOG(BA15),IF(BB15=2,14+LOG(BA15),7)),"")</f>
        <v/>
      </c>
      <c r="BD15" s="313" t="str">
        <f>IF(AX15=Elektrolisis!$M$7,(Elektrolisis!$Q$14*Elektrolisis!$Q$15)/(96500*REAKSI!R15*REAKSI!AZ15),"")</f>
        <v/>
      </c>
      <c r="BE15" s="312" t="str">
        <f>IF(AX15=Elektrolisis!$M$7,IF(BA15&gt;BD15,BA15-BD15,IF(BA15&lt;=BD15,0.0000001)),"")</f>
        <v/>
      </c>
      <c r="BF15" s="310" t="str">
        <f>IF(AX15=Elektrolisis!$M$7,IF(BB15=1,-LOG(BE15),IF(BB15=2,14+LOG(BE15),7)),"")</f>
        <v/>
      </c>
    </row>
    <row r="16" spans="1:58" ht="18.95" customHeight="1" x14ac:dyDescent="0.35">
      <c r="A16" s="10"/>
      <c r="B16" s="160">
        <v>14</v>
      </c>
      <c r="C16" s="270" t="s">
        <v>19</v>
      </c>
      <c r="E16" s="256" t="s">
        <v>611</v>
      </c>
      <c r="F16" s="71"/>
      <c r="H16" s="71" t="s">
        <v>32</v>
      </c>
      <c r="I16" s="71" t="s">
        <v>437</v>
      </c>
      <c r="J16" s="71" t="s">
        <v>442</v>
      </c>
      <c r="K16" s="221" t="s">
        <v>474</v>
      </c>
      <c r="L16" s="2"/>
      <c r="M16" s="4" t="s">
        <v>232</v>
      </c>
      <c r="N16" s="4">
        <v>4</v>
      </c>
      <c r="O16" s="4">
        <v>32</v>
      </c>
      <c r="P16" s="4"/>
      <c r="Q16" s="92" t="s">
        <v>199</v>
      </c>
      <c r="R16" s="4">
        <v>2</v>
      </c>
      <c r="S16" s="4">
        <v>24.31</v>
      </c>
      <c r="T16" s="4"/>
      <c r="U16" s="160">
        <f t="shared" si="2"/>
        <v>0</v>
      </c>
      <c r="V16" s="4">
        <v>14</v>
      </c>
      <c r="W16" s="2"/>
      <c r="X16" s="2"/>
      <c r="Y16" s="2"/>
      <c r="Z16" s="2"/>
      <c r="AA16" s="2"/>
      <c r="AB16" s="2"/>
      <c r="AC16" s="273" t="s">
        <v>252</v>
      </c>
      <c r="AD16" s="273" t="s">
        <v>243</v>
      </c>
      <c r="AE16" s="273" t="s">
        <v>247</v>
      </c>
      <c r="AF16" s="273" t="s">
        <v>48</v>
      </c>
      <c r="AG16" s="109"/>
      <c r="AH16" s="106">
        <f t="shared" si="3"/>
        <v>0</v>
      </c>
      <c r="AI16" s="106"/>
      <c r="AJ16" s="114"/>
      <c r="AK16" s="111"/>
      <c r="AN16" s="2"/>
      <c r="AP16" s="2"/>
      <c r="AU16" s="71" t="s">
        <v>403</v>
      </c>
      <c r="AV16" s="2"/>
      <c r="AW16" s="2">
        <v>40.29</v>
      </c>
      <c r="AX16" s="5">
        <v>14</v>
      </c>
      <c r="AY16" s="5">
        <v>0</v>
      </c>
      <c r="AZ16" s="309">
        <f>Elektrolisis!$Q$12</f>
        <v>1</v>
      </c>
      <c r="BA16" s="314" t="str">
        <f>IF(AND(C16&lt;&gt;"HF",C16&lt;&gt;"H3PO4",AY16&gt;0),AY16*Elektrolisis!$Q$13,IF(AND(C16="HF",AY16&gt;0),(Elektrolisis!$Q$13*0.0006)^0.5,IF(AND(C16="H3PO4",AY16&gt;0),(Elektrolisis!$Q$13*0.00075)^0.5,"")))</f>
        <v/>
      </c>
      <c r="BB16" s="5">
        <v>0</v>
      </c>
      <c r="BC16" s="310" t="str">
        <f>IF(AX16=Elektrolisis!$M$7,IF(BB16=1,-LOG(BA16),IF(BB16=2,14+LOG(BA16),7)),"")</f>
        <v/>
      </c>
      <c r="BD16" s="313" t="str">
        <f>IF(AX16=Elektrolisis!$M$7,(Elektrolisis!$Q$14*Elektrolisis!$Q$15)/(96500*REAKSI!R16*REAKSI!AZ16),"")</f>
        <v/>
      </c>
      <c r="BE16" s="312" t="str">
        <f>IF(AX16=Elektrolisis!$M$7,IF(BA16&gt;BD16,BA16-BD16,IF(BA16&lt;=BD16,0.0000001)),"")</f>
        <v/>
      </c>
      <c r="BF16" s="310" t="str">
        <f>IF(AX16=Elektrolisis!$M$7,IF(BB16=1,-LOG(BE16),IF(BB16=2,14+LOG(BE16),7)),"")</f>
        <v/>
      </c>
    </row>
    <row r="17" spans="1:58" ht="18.95" customHeight="1" x14ac:dyDescent="0.35">
      <c r="A17" s="10"/>
      <c r="B17" s="160">
        <v>15</v>
      </c>
      <c r="C17" s="270" t="s">
        <v>63</v>
      </c>
      <c r="E17" s="256" t="s">
        <v>612</v>
      </c>
      <c r="F17" s="71"/>
      <c r="H17" s="71" t="s">
        <v>64</v>
      </c>
      <c r="I17" s="71" t="s">
        <v>437</v>
      </c>
      <c r="J17" s="71" t="s">
        <v>446</v>
      </c>
      <c r="K17" s="221" t="s">
        <v>475</v>
      </c>
      <c r="L17" s="2"/>
      <c r="M17" s="4" t="s">
        <v>232</v>
      </c>
      <c r="N17" s="4">
        <v>4</v>
      </c>
      <c r="O17" s="4">
        <v>32</v>
      </c>
      <c r="P17" s="4"/>
      <c r="Q17" s="92" t="s">
        <v>202</v>
      </c>
      <c r="R17" s="4">
        <v>1</v>
      </c>
      <c r="S17" s="4">
        <v>107.9</v>
      </c>
      <c r="T17" s="4"/>
      <c r="U17" s="160">
        <f t="shared" si="2"/>
        <v>0</v>
      </c>
      <c r="V17" s="4">
        <v>15</v>
      </c>
      <c r="W17" s="2"/>
      <c r="X17" s="2"/>
      <c r="Y17" s="2"/>
      <c r="Z17" s="2"/>
      <c r="AA17" s="2"/>
      <c r="AB17" s="2"/>
      <c r="AC17" s="273" t="s">
        <v>252</v>
      </c>
      <c r="AD17" s="273" t="s">
        <v>243</v>
      </c>
      <c r="AE17" s="273" t="s">
        <v>255</v>
      </c>
      <c r="AF17" s="273" t="s">
        <v>68</v>
      </c>
      <c r="AG17" s="109"/>
      <c r="AH17" s="106">
        <f t="shared" si="3"/>
        <v>0</v>
      </c>
      <c r="AI17" s="106"/>
      <c r="AJ17" s="114"/>
      <c r="AK17" s="111"/>
      <c r="AN17" s="2"/>
      <c r="AP17" s="2"/>
      <c r="AU17" s="71" t="s">
        <v>709</v>
      </c>
      <c r="AV17" s="2"/>
      <c r="AW17" s="2">
        <v>231.71</v>
      </c>
      <c r="AX17" s="5">
        <v>15</v>
      </c>
      <c r="AY17" s="5">
        <v>0</v>
      </c>
      <c r="AZ17" s="309">
        <f>Elektrolisis!$Q$12</f>
        <v>1</v>
      </c>
      <c r="BA17" s="314" t="str">
        <f>IF(AND(C17&lt;&gt;"HF",C17&lt;&gt;"H3PO4",AY17&gt;0),AY17*Elektrolisis!$Q$13,IF(AND(C17="HF",AY17&gt;0),(Elektrolisis!$Q$13*0.0006)^0.5,IF(AND(C17="H3PO4",AY17&gt;0),(Elektrolisis!$Q$13*0.00075)^0.5,"")))</f>
        <v/>
      </c>
      <c r="BB17" s="5">
        <v>0</v>
      </c>
      <c r="BC17" s="310" t="str">
        <f>IF(AX17=Elektrolisis!$M$7,IF(BB17=1,-LOG(BA17),IF(BB17=2,14+LOG(BA17),7)),"")</f>
        <v/>
      </c>
      <c r="BD17" s="313" t="str">
        <f>IF(AX17=Elektrolisis!$M$7,(Elektrolisis!$Q$14*Elektrolisis!$Q$15)/(96500*REAKSI!R17*REAKSI!AZ17),"")</f>
        <v/>
      </c>
      <c r="BE17" s="312" t="str">
        <f>IF(AX17=Elektrolisis!$M$7,IF(BA17&gt;BD17,BA17-BD17,IF(BA17&lt;=BD17,0.0000001)),"")</f>
        <v/>
      </c>
      <c r="BF17" s="310" t="str">
        <f>IF(AX17=Elektrolisis!$M$7,IF(BB17=1,-LOG(BE17),IF(BB17=2,14+LOG(BE17),7)),"")</f>
        <v/>
      </c>
    </row>
    <row r="18" spans="1:58" ht="18.95" customHeight="1" x14ac:dyDescent="0.35">
      <c r="A18" s="10"/>
      <c r="B18" s="160">
        <v>16</v>
      </c>
      <c r="C18" s="270" t="s">
        <v>12</v>
      </c>
      <c r="E18" s="256" t="s">
        <v>613</v>
      </c>
      <c r="F18" s="71"/>
      <c r="H18" s="71" t="s">
        <v>33</v>
      </c>
      <c r="I18" s="71" t="s">
        <v>437</v>
      </c>
      <c r="J18" s="71" t="s">
        <v>447</v>
      </c>
      <c r="K18" s="221" t="s">
        <v>476</v>
      </c>
      <c r="L18" s="2"/>
      <c r="M18" s="4" t="s">
        <v>232</v>
      </c>
      <c r="N18" s="4">
        <v>4</v>
      </c>
      <c r="O18" s="4">
        <v>32</v>
      </c>
      <c r="P18" s="4"/>
      <c r="Q18" s="92" t="s">
        <v>203</v>
      </c>
      <c r="R18" s="4">
        <v>2</v>
      </c>
      <c r="S18" s="4">
        <v>112.4</v>
      </c>
      <c r="T18" s="4"/>
      <c r="U18" s="160">
        <f t="shared" si="2"/>
        <v>0</v>
      </c>
      <c r="V18" s="4">
        <v>16</v>
      </c>
      <c r="W18" s="2"/>
      <c r="X18" s="2"/>
      <c r="Y18" s="2"/>
      <c r="Z18" s="2"/>
      <c r="AA18" s="2"/>
      <c r="AB18" s="2"/>
      <c r="AC18" s="273" t="s">
        <v>252</v>
      </c>
      <c r="AD18" s="273" t="s">
        <v>243</v>
      </c>
      <c r="AE18" s="273" t="s">
        <v>254</v>
      </c>
      <c r="AF18" s="273" t="s">
        <v>51</v>
      </c>
      <c r="AG18" s="109"/>
      <c r="AH18" s="106">
        <f t="shared" si="3"/>
        <v>0</v>
      </c>
      <c r="AI18" s="106"/>
      <c r="AJ18" s="114"/>
      <c r="AK18" s="111"/>
      <c r="AN18" s="2"/>
      <c r="AP18" s="2"/>
      <c r="AU18" s="71" t="s">
        <v>406</v>
      </c>
      <c r="AV18" s="2"/>
      <c r="AW18" s="2">
        <v>128.38999999999999</v>
      </c>
      <c r="AX18" s="5">
        <v>16</v>
      </c>
      <c r="AY18" s="5">
        <v>0</v>
      </c>
      <c r="AZ18" s="309">
        <f>Elektrolisis!$Q$12</f>
        <v>1</v>
      </c>
      <c r="BA18" s="314" t="str">
        <f>IF(AND(C18&lt;&gt;"HF",C18&lt;&gt;"H3PO4",AY18&gt;0),AY18*Elektrolisis!$Q$13,IF(AND(C18="HF",AY18&gt;0),(Elektrolisis!$Q$13*0.0006)^0.5,IF(AND(C18="H3PO4",AY18&gt;0),(Elektrolisis!$Q$13*0.00075)^0.5,"")))</f>
        <v/>
      </c>
      <c r="BB18" s="5">
        <v>0</v>
      </c>
      <c r="BC18" s="310" t="str">
        <f>IF(AX18=Elektrolisis!$M$7,IF(BB18=1,-LOG(BA18),IF(BB18=2,14+LOG(BA18),7)),"")</f>
        <v/>
      </c>
      <c r="BD18" s="313" t="str">
        <f>IF(AX18=Elektrolisis!$M$7,(Elektrolisis!$Q$14*Elektrolisis!$Q$15)/(96500*REAKSI!R18*REAKSI!AZ18),"")</f>
        <v/>
      </c>
      <c r="BE18" s="312" t="str">
        <f>IF(AX18=Elektrolisis!$M$7,IF(BA18&gt;BD18,BA18-BD18,IF(BA18&lt;=BD18,0.0000001)),"")</f>
        <v/>
      </c>
      <c r="BF18" s="310" t="str">
        <f>IF(AX18=Elektrolisis!$M$7,IF(BB18=1,-LOG(BE18),IF(BB18=2,14+LOG(BE18),7)),"")</f>
        <v/>
      </c>
    </row>
    <row r="19" spans="1:58" ht="18.95" customHeight="1" x14ac:dyDescent="0.35">
      <c r="A19" s="10"/>
      <c r="B19" s="160">
        <v>17</v>
      </c>
      <c r="C19" s="270" t="s">
        <v>52</v>
      </c>
      <c r="E19" s="256" t="s">
        <v>614</v>
      </c>
      <c r="F19" s="71"/>
      <c r="H19" s="71" t="s">
        <v>53</v>
      </c>
      <c r="I19" s="71" t="s">
        <v>437</v>
      </c>
      <c r="J19" s="71" t="s">
        <v>448</v>
      </c>
      <c r="K19" s="221" t="s">
        <v>477</v>
      </c>
      <c r="L19" s="2"/>
      <c r="M19" s="4" t="s">
        <v>232</v>
      </c>
      <c r="N19" s="4">
        <v>4</v>
      </c>
      <c r="O19" s="4">
        <v>32</v>
      </c>
      <c r="P19" s="4"/>
      <c r="Q19" s="92" t="s">
        <v>204</v>
      </c>
      <c r="R19" s="4">
        <v>3</v>
      </c>
      <c r="S19" s="4">
        <v>26.98</v>
      </c>
      <c r="T19" s="4"/>
      <c r="U19" s="160">
        <f t="shared" si="2"/>
        <v>0</v>
      </c>
      <c r="V19" s="4">
        <v>17</v>
      </c>
      <c r="W19" s="2"/>
      <c r="X19" s="2"/>
      <c r="Y19" s="2"/>
      <c r="Z19" s="2"/>
      <c r="AA19" s="2"/>
      <c r="AB19" s="2"/>
      <c r="AC19" s="273" t="s">
        <v>252</v>
      </c>
      <c r="AD19" s="273" t="s">
        <v>243</v>
      </c>
      <c r="AE19" s="273" t="s">
        <v>256</v>
      </c>
      <c r="AF19" s="273" t="s">
        <v>54</v>
      </c>
      <c r="AG19" s="109"/>
      <c r="AH19" s="106">
        <f t="shared" si="3"/>
        <v>0</v>
      </c>
      <c r="AI19" s="106"/>
      <c r="AJ19" s="114"/>
      <c r="AK19" s="111"/>
      <c r="AN19" s="2"/>
      <c r="AP19" s="2"/>
      <c r="AU19" s="71" t="s">
        <v>405</v>
      </c>
      <c r="AV19" s="2"/>
      <c r="AW19" s="2">
        <v>101.93</v>
      </c>
      <c r="AX19" s="5">
        <v>17</v>
      </c>
      <c r="AY19" s="5">
        <v>0</v>
      </c>
      <c r="AZ19" s="309">
        <f>Elektrolisis!$Q$12</f>
        <v>1</v>
      </c>
      <c r="BA19" s="314" t="str">
        <f>IF(AND(C19&lt;&gt;"HF",C19&lt;&gt;"H3PO4",AY19&gt;0),AY19*Elektrolisis!$Q$13,IF(AND(C19="HF",AY19&gt;0),(Elektrolisis!$Q$13*0.0006)^0.5,IF(AND(C19="H3PO4",AY19&gt;0),(Elektrolisis!$Q$13*0.00075)^0.5,"")))</f>
        <v/>
      </c>
      <c r="BB19" s="5">
        <v>0</v>
      </c>
      <c r="BC19" s="310" t="str">
        <f>IF(AX19=Elektrolisis!$M$7,IF(BB19=1,-LOG(BA19),IF(BB19=2,14+LOG(BA19),7)),"")</f>
        <v/>
      </c>
      <c r="BD19" s="313" t="str">
        <f>IF(AX19=Elektrolisis!$M$7,(Elektrolisis!$Q$14*Elektrolisis!$Q$15)/(96500*REAKSI!R19*REAKSI!AZ19),"")</f>
        <v/>
      </c>
      <c r="BE19" s="312" t="str">
        <f>IF(AX19=Elektrolisis!$M$7,IF(BA19&gt;BD19,BA19-BD19,IF(BA19&lt;=BD19,0.0000001)),"")</f>
        <v/>
      </c>
      <c r="BF19" s="310" t="str">
        <f>IF(AX19=Elektrolisis!$M$7,IF(BB19=1,-LOG(BE19),IF(BB19=2,14+LOG(BE19),7)),"")</f>
        <v/>
      </c>
    </row>
    <row r="20" spans="1:58" ht="18.95" customHeight="1" x14ac:dyDescent="0.35">
      <c r="A20" s="10"/>
      <c r="B20" s="160">
        <v>18</v>
      </c>
      <c r="C20" s="270" t="s">
        <v>11</v>
      </c>
      <c r="E20" s="256" t="s">
        <v>615</v>
      </c>
      <c r="F20" s="71"/>
      <c r="H20" s="71" t="s">
        <v>34</v>
      </c>
      <c r="I20" s="71" t="s">
        <v>437</v>
      </c>
      <c r="J20" s="71" t="s">
        <v>444</v>
      </c>
      <c r="K20" s="221" t="s">
        <v>478</v>
      </c>
      <c r="L20" s="2"/>
      <c r="M20" s="4" t="s">
        <v>232</v>
      </c>
      <c r="N20" s="4">
        <v>4</v>
      </c>
      <c r="O20" s="4">
        <v>32</v>
      </c>
      <c r="P20" s="4"/>
      <c r="Q20" s="92" t="s">
        <v>201</v>
      </c>
      <c r="R20" s="4">
        <v>2</v>
      </c>
      <c r="S20" s="4">
        <v>65.39</v>
      </c>
      <c r="T20" s="4"/>
      <c r="U20" s="160">
        <f t="shared" si="2"/>
        <v>0</v>
      </c>
      <c r="V20" s="4">
        <v>18</v>
      </c>
      <c r="W20" s="2"/>
      <c r="X20" s="2"/>
      <c r="Y20" s="2"/>
      <c r="Z20" s="2"/>
      <c r="AA20" s="2"/>
      <c r="AB20" s="2"/>
      <c r="AC20" s="273" t="s">
        <v>252</v>
      </c>
      <c r="AD20" s="273" t="s">
        <v>243</v>
      </c>
      <c r="AE20" s="273" t="s">
        <v>253</v>
      </c>
      <c r="AF20" s="273" t="s">
        <v>50</v>
      </c>
      <c r="AG20" s="109"/>
      <c r="AH20" s="106">
        <f t="shared" si="3"/>
        <v>0</v>
      </c>
      <c r="AI20" s="106"/>
      <c r="AJ20" s="114"/>
      <c r="AK20" s="111"/>
      <c r="AN20" s="2"/>
      <c r="AP20" s="2"/>
      <c r="AU20" s="71" t="s">
        <v>404</v>
      </c>
      <c r="AV20" s="2"/>
      <c r="AW20" s="2">
        <v>81.38</v>
      </c>
      <c r="AX20" s="5">
        <v>18</v>
      </c>
      <c r="AY20" s="5">
        <v>0</v>
      </c>
      <c r="AZ20" s="309">
        <f>Elektrolisis!$Q$12</f>
        <v>1</v>
      </c>
      <c r="BA20" s="314" t="str">
        <f>IF(AND(C20&lt;&gt;"HF",C20&lt;&gt;"H3PO4",AY20&gt;0),AY20*Elektrolisis!$Q$13,IF(AND(C20="HF",AY20&gt;0),(Elektrolisis!$Q$13*0.0006)^0.5,IF(AND(C20="H3PO4",AY20&gt;0),(Elektrolisis!$Q$13*0.00075)^0.5,"")))</f>
        <v/>
      </c>
      <c r="BB20" s="5">
        <v>0</v>
      </c>
      <c r="BC20" s="310" t="str">
        <f>IF(AX20=Elektrolisis!$M$7,IF(BB20=1,-LOG(BA20),IF(BB20=2,14+LOG(BA20),7)),"")</f>
        <v/>
      </c>
      <c r="BD20" s="313" t="str">
        <f>IF(AX20=Elektrolisis!$M$7,(Elektrolisis!$Q$14*Elektrolisis!$Q$15)/(96500*REAKSI!R20*REAKSI!AZ20),"")</f>
        <v/>
      </c>
      <c r="BE20" s="312" t="str">
        <f>IF(AX20=Elektrolisis!$M$7,IF(BA20&gt;BD20,BA20-BD20,IF(BA20&lt;=BD20,0.0000001)),"")</f>
        <v/>
      </c>
      <c r="BF20" s="310" t="str">
        <f>IF(AX20=Elektrolisis!$M$7,IF(BB20=1,-LOG(BE20),IF(BB20=2,14+LOG(BE20),7)),"")</f>
        <v/>
      </c>
    </row>
    <row r="21" spans="1:58" ht="18.95" customHeight="1" x14ac:dyDescent="0.35">
      <c r="A21" s="10"/>
      <c r="B21" s="4">
        <v>19</v>
      </c>
      <c r="C21" s="267" t="s">
        <v>174</v>
      </c>
      <c r="E21" s="256" t="s">
        <v>682</v>
      </c>
      <c r="F21" s="71"/>
      <c r="H21" s="71" t="s">
        <v>594</v>
      </c>
      <c r="I21" s="71" t="s">
        <v>433</v>
      </c>
      <c r="J21" s="71" t="s">
        <v>449</v>
      </c>
      <c r="K21" s="221" t="s">
        <v>479</v>
      </c>
      <c r="L21" s="2"/>
      <c r="M21" s="4" t="s">
        <v>233</v>
      </c>
      <c r="N21" s="4">
        <v>2</v>
      </c>
      <c r="O21" s="4">
        <v>63.55</v>
      </c>
      <c r="P21" s="4"/>
      <c r="Q21" s="92" t="s">
        <v>236</v>
      </c>
      <c r="R21" s="4">
        <v>2</v>
      </c>
      <c r="S21" s="4">
        <v>2</v>
      </c>
      <c r="T21" s="4" t="s">
        <v>210</v>
      </c>
      <c r="U21" s="4">
        <f t="shared" si="2"/>
        <v>1</v>
      </c>
      <c r="V21" s="4">
        <v>19</v>
      </c>
      <c r="W21" s="2" t="s">
        <v>72</v>
      </c>
      <c r="X21" s="2" t="s">
        <v>112</v>
      </c>
      <c r="Y21" s="2" t="s">
        <v>79</v>
      </c>
      <c r="Z21" s="2" t="s">
        <v>73</v>
      </c>
      <c r="AA21" s="2" t="s">
        <v>74</v>
      </c>
      <c r="AB21" s="2"/>
      <c r="AC21" s="273" t="s">
        <v>3</v>
      </c>
      <c r="AD21" s="273" t="s">
        <v>245</v>
      </c>
      <c r="AE21" s="273" t="s">
        <v>240</v>
      </c>
      <c r="AF21" s="273" t="s">
        <v>241</v>
      </c>
      <c r="AG21" s="109"/>
      <c r="AH21" s="106">
        <f t="shared" si="3"/>
        <v>1</v>
      </c>
      <c r="AI21" s="106"/>
      <c r="AJ21" s="114"/>
      <c r="AK21" s="111"/>
      <c r="AN21" s="2"/>
      <c r="AP21" s="2"/>
      <c r="AU21" s="71" t="s">
        <v>683</v>
      </c>
      <c r="AV21" s="2"/>
      <c r="AW21" s="2"/>
      <c r="AX21" s="5">
        <v>19</v>
      </c>
      <c r="AY21" s="5">
        <v>1</v>
      </c>
      <c r="AZ21" s="309">
        <f>Elektrolisis!$Q$12</f>
        <v>1</v>
      </c>
      <c r="BA21" s="314">
        <f>IF(AND(C21&lt;&gt;"HF",C21&lt;&gt;"H3PO4",AY21&gt;0),AY21*Elektrolisis!$Q$13,IF(AND(C21="HF",AY21&gt;0),(Elektrolisis!$Q$13*0.0006)^0.5,IF(AND(C21="H3PO4",AY21&gt;0),(Elektrolisis!$Q$13*0.00075)^0.5,"")))</f>
        <v>2.4494897427831779E-2</v>
      </c>
      <c r="BB21" s="5">
        <v>1</v>
      </c>
      <c r="BC21" s="310" t="str">
        <f>IF(AX21=Elektrolisis!$M$7,IF(BB21=1,-LOG(BA21),IF(BB21=2,14+LOG(BA21),7)),"")</f>
        <v/>
      </c>
      <c r="BD21" s="313" t="str">
        <f>IF(AX21=Elektrolisis!$M$7,(Elektrolisis!$Q$14*Elektrolisis!$Q$15)/(96500*REAKSI!R21*REAKSI!AZ21),"")</f>
        <v/>
      </c>
      <c r="BE21" s="312" t="str">
        <f>IF(AX21=Elektrolisis!$M$7,IF(BA21&gt;BD21,BA21-BD21,IF(BA21&lt;=BD21,0.0000001)),"")</f>
        <v/>
      </c>
      <c r="BF21" s="310" t="str">
        <f>IF(AX21=Elektrolisis!$M$7,IF(BB21=1,-LOG(BE21),IF(BB21=2,14+LOG(BE21),7)),"")</f>
        <v/>
      </c>
    </row>
    <row r="22" spans="1:58" ht="18.95" customHeight="1" x14ac:dyDescent="0.35">
      <c r="A22" s="10"/>
      <c r="B22" s="4">
        <v>20</v>
      </c>
      <c r="C22" s="267" t="s">
        <v>6</v>
      </c>
      <c r="E22" s="256" t="s">
        <v>601</v>
      </c>
      <c r="F22" s="71"/>
      <c r="H22" s="71" t="s">
        <v>22</v>
      </c>
      <c r="I22" s="71" t="s">
        <v>433</v>
      </c>
      <c r="J22" s="71" t="s">
        <v>449</v>
      </c>
      <c r="K22" s="221" t="s">
        <v>479</v>
      </c>
      <c r="L22" s="2"/>
      <c r="M22" s="4" t="s">
        <v>233</v>
      </c>
      <c r="N22" s="4">
        <v>2</v>
      </c>
      <c r="O22" s="4">
        <v>63.55</v>
      </c>
      <c r="P22" s="4"/>
      <c r="Q22" s="92" t="s">
        <v>236</v>
      </c>
      <c r="R22" s="4">
        <v>2</v>
      </c>
      <c r="S22" s="4">
        <v>2</v>
      </c>
      <c r="T22" s="4" t="s">
        <v>210</v>
      </c>
      <c r="U22" s="4">
        <f t="shared" si="2"/>
        <v>1</v>
      </c>
      <c r="V22" s="4">
        <v>20</v>
      </c>
      <c r="W22" s="2" t="s">
        <v>72</v>
      </c>
      <c r="X22" s="2" t="s">
        <v>419</v>
      </c>
      <c r="Y22" s="2" t="s">
        <v>79</v>
      </c>
      <c r="Z22" s="2" t="s">
        <v>73</v>
      </c>
      <c r="AA22" s="2" t="s">
        <v>74</v>
      </c>
      <c r="AB22" s="2"/>
      <c r="AC22" s="273" t="s">
        <v>3</v>
      </c>
      <c r="AD22" s="273" t="s">
        <v>245</v>
      </c>
      <c r="AE22" s="273" t="s">
        <v>240</v>
      </c>
      <c r="AF22" s="273" t="s">
        <v>241</v>
      </c>
      <c r="AG22" s="109"/>
      <c r="AH22" s="106">
        <f t="shared" si="3"/>
        <v>1</v>
      </c>
      <c r="AI22" s="106"/>
      <c r="AJ22" s="114"/>
      <c r="AK22" s="111"/>
      <c r="AN22" s="2"/>
      <c r="AP22" s="2"/>
      <c r="AU22" s="71" t="s">
        <v>593</v>
      </c>
      <c r="AV22" s="2"/>
      <c r="AW22" s="2"/>
      <c r="AX22" s="5">
        <v>20</v>
      </c>
      <c r="AY22" s="5">
        <v>2</v>
      </c>
      <c r="AZ22" s="309">
        <f>Elektrolisis!$Q$12</f>
        <v>1</v>
      </c>
      <c r="BA22" s="314">
        <f>IF(AND(C22&lt;&gt;"HF",C22&lt;&gt;"H3PO4",AY22&gt;0),AY22*Elektrolisis!$Q$13,IF(AND(C22="HF",AY22&gt;0),(Elektrolisis!$Q$13*0.0006)^0.5,IF(AND(C22="H3PO4",AY22&gt;0),(Elektrolisis!$Q$13*0.00075)^0.5,"")))</f>
        <v>2</v>
      </c>
      <c r="BB22" s="5">
        <v>1</v>
      </c>
      <c r="BC22" s="310" t="str">
        <f>IF(AX22=Elektrolisis!$M$7,IF(BB22=1,-LOG(BA22),IF(BB22=2,14+LOG(BA22),7)),"")</f>
        <v/>
      </c>
      <c r="BD22" s="313" t="str">
        <f>IF(AX22=Elektrolisis!$M$7,(Elektrolisis!$Q$14*Elektrolisis!$Q$15)/(96500*REAKSI!R22*REAKSI!AZ22),"")</f>
        <v/>
      </c>
      <c r="BE22" s="312" t="str">
        <f>IF(AX22=Elektrolisis!$M$7,IF(BA22&gt;BD22,BA22-BD22,IF(BA22&lt;=BD22,0.0000001)),"")</f>
        <v/>
      </c>
      <c r="BF22" s="310" t="str">
        <f>IF(AX22=Elektrolisis!$M$7,IF(BB22=1,-LOG(BE22),IF(BB22=2,14+LOG(BE22),7)),"")</f>
        <v/>
      </c>
    </row>
    <row r="23" spans="1:58" ht="18.95" customHeight="1" x14ac:dyDescent="0.35">
      <c r="A23" s="10"/>
      <c r="B23" s="4">
        <v>21</v>
      </c>
      <c r="C23" s="267" t="s">
        <v>10</v>
      </c>
      <c r="E23" s="256" t="s">
        <v>602</v>
      </c>
      <c r="F23" s="71" t="s">
        <v>104</v>
      </c>
      <c r="H23" s="71" t="s">
        <v>745</v>
      </c>
      <c r="I23" s="71" t="s">
        <v>433</v>
      </c>
      <c r="J23" s="71" t="s">
        <v>337</v>
      </c>
      <c r="K23" s="221" t="s">
        <v>741</v>
      </c>
      <c r="L23" s="2"/>
      <c r="M23" s="4" t="s">
        <v>233</v>
      </c>
      <c r="N23" s="4">
        <v>2</v>
      </c>
      <c r="O23" s="4">
        <v>63.55</v>
      </c>
      <c r="P23" s="4"/>
      <c r="Q23" s="92" t="s">
        <v>232</v>
      </c>
      <c r="R23" s="4">
        <v>4</v>
      </c>
      <c r="S23" s="4">
        <v>32</v>
      </c>
      <c r="T23" s="4" t="s">
        <v>210</v>
      </c>
      <c r="U23" s="4">
        <f t="shared" si="2"/>
        <v>1</v>
      </c>
      <c r="V23" s="4">
        <v>21</v>
      </c>
      <c r="W23" s="2" t="s">
        <v>72</v>
      </c>
      <c r="X23" s="2"/>
      <c r="Y23" s="2" t="s">
        <v>79</v>
      </c>
      <c r="Z23" s="2" t="s">
        <v>73</v>
      </c>
      <c r="AA23" s="2"/>
      <c r="AB23" s="2"/>
      <c r="AC23" s="273" t="s">
        <v>3</v>
      </c>
      <c r="AD23" s="273" t="s">
        <v>245</v>
      </c>
      <c r="AE23" s="273" t="s">
        <v>242</v>
      </c>
      <c r="AF23" s="273" t="s">
        <v>243</v>
      </c>
      <c r="AG23" s="109"/>
      <c r="AH23" s="106">
        <f t="shared" si="3"/>
        <v>1</v>
      </c>
      <c r="AI23" s="106"/>
      <c r="AJ23" s="114"/>
      <c r="AK23" s="111"/>
      <c r="AN23" s="2"/>
      <c r="AP23" s="2"/>
      <c r="AU23" s="221" t="s">
        <v>741</v>
      </c>
      <c r="AV23" s="2"/>
      <c r="AW23" s="2"/>
      <c r="AX23" s="5">
        <v>21</v>
      </c>
      <c r="AY23" s="5">
        <v>0</v>
      </c>
      <c r="AZ23" s="309">
        <f>Elektrolisis!$Q$12</f>
        <v>1</v>
      </c>
      <c r="BA23" s="314" t="str">
        <f>IF(AND(C23&lt;&gt;"HF",C23&lt;&gt;"H3PO4",AY23&gt;0),AY23*Elektrolisis!$Q$13,IF(AND(C23="HF",AY23&gt;0),(Elektrolisis!$Q$13*0.0006)^0.5,IF(AND(C23="H3PO4",AY23&gt;0),(Elektrolisis!$Q$13*0.00075)^0.5,"")))</f>
        <v/>
      </c>
      <c r="BB23" s="5">
        <v>0</v>
      </c>
      <c r="BC23" s="310" t="str">
        <f>IF(AX23=Elektrolisis!$M$7,IF(BB23=1,-LOG(BA23),IF(BB23=2,14+LOG(BA23),7)),"")</f>
        <v/>
      </c>
      <c r="BD23" s="313" t="str">
        <f>IF(AX23=Elektrolisis!$M$7,(Elektrolisis!$Q$14*Elektrolisis!$Q$15)/(96500*REAKSI!R23*REAKSI!AZ23),"")</f>
        <v/>
      </c>
      <c r="BE23" s="312" t="str">
        <f>IF(AX23=Elektrolisis!$M$7,IF(BA23&gt;BD23,BA23-BD23,IF(BA23&lt;=BD23,0.0000001)),"")</f>
        <v/>
      </c>
      <c r="BF23" s="310" t="str">
        <f>IF(AX23=Elektrolisis!$M$7,IF(BB23=1,-LOG(BE23),IF(BB23=2,14+LOG(BE23),7)),"")</f>
        <v/>
      </c>
    </row>
    <row r="24" spans="1:58" ht="18.95" customHeight="1" x14ac:dyDescent="0.35">
      <c r="A24" s="10"/>
      <c r="B24" s="4">
        <v>22</v>
      </c>
      <c r="C24" s="267" t="s">
        <v>100</v>
      </c>
      <c r="E24" s="256" t="s">
        <v>603</v>
      </c>
      <c r="F24" s="71" t="s">
        <v>104</v>
      </c>
      <c r="H24" s="71" t="s">
        <v>99</v>
      </c>
      <c r="I24" s="71" t="s">
        <v>433</v>
      </c>
      <c r="J24" s="71" t="s">
        <v>337</v>
      </c>
      <c r="K24" s="221" t="s">
        <v>480</v>
      </c>
      <c r="L24" s="2"/>
      <c r="M24" s="4" t="s">
        <v>233</v>
      </c>
      <c r="N24" s="4">
        <v>2</v>
      </c>
      <c r="O24" s="4">
        <v>63.55</v>
      </c>
      <c r="P24" s="4"/>
      <c r="Q24" s="92" t="s">
        <v>236</v>
      </c>
      <c r="R24" s="4">
        <v>2</v>
      </c>
      <c r="S24" s="4">
        <v>2</v>
      </c>
      <c r="T24" s="4"/>
      <c r="U24" s="4">
        <f t="shared" si="2"/>
        <v>0</v>
      </c>
      <c r="V24" s="4">
        <v>22</v>
      </c>
      <c r="W24" s="2" t="s">
        <v>72</v>
      </c>
      <c r="X24" s="2" t="s">
        <v>101</v>
      </c>
      <c r="Y24" s="2" t="s">
        <v>79</v>
      </c>
      <c r="Z24" s="2" t="s">
        <v>73</v>
      </c>
      <c r="AA24" s="2" t="s">
        <v>103</v>
      </c>
      <c r="AB24" s="2"/>
      <c r="AC24" s="273" t="s">
        <v>3</v>
      </c>
      <c r="AD24" s="273" t="s">
        <v>245</v>
      </c>
      <c r="AE24" s="273" t="s">
        <v>242</v>
      </c>
      <c r="AF24" s="273" t="s">
        <v>241</v>
      </c>
      <c r="AG24" s="109"/>
      <c r="AH24" s="106">
        <f t="shared" si="3"/>
        <v>0</v>
      </c>
      <c r="AI24" s="106"/>
      <c r="AJ24" s="114"/>
      <c r="AK24" s="111"/>
      <c r="AN24" s="2"/>
      <c r="AP24" s="2"/>
      <c r="AU24" s="4" t="s">
        <v>597</v>
      </c>
      <c r="AV24" s="2"/>
      <c r="AW24" s="2"/>
      <c r="AX24" s="5">
        <v>22</v>
      </c>
      <c r="AY24" s="5">
        <v>0</v>
      </c>
      <c r="AZ24" s="309">
        <f>Elektrolisis!$Q$12</f>
        <v>1</v>
      </c>
      <c r="BA24" s="314" t="str">
        <f>IF(AND(C24&lt;&gt;"HF",C24&lt;&gt;"H3PO4",AY24&gt;0),AY24*Elektrolisis!$Q$13,IF(AND(C24="HF",AY24&gt;0),(Elektrolisis!$Q$13*0.0006)^0.5,IF(AND(C24="H3PO4",AY24&gt;0),(Elektrolisis!$Q$13*0.00075)^0.5,"")))</f>
        <v/>
      </c>
      <c r="BB24" s="5">
        <v>0</v>
      </c>
      <c r="BC24" s="310" t="str">
        <f>IF(AX24=Elektrolisis!$M$7,IF(BB24=1,-LOG(BA24),IF(BB24=2,14+LOG(BA24),7)),"")</f>
        <v/>
      </c>
      <c r="BD24" s="313" t="str">
        <f>IF(AX24=Elektrolisis!$M$7,(Elektrolisis!$Q$14*Elektrolisis!$Q$15)/(96500*REAKSI!R24*REAKSI!AZ24),"")</f>
        <v/>
      </c>
      <c r="BE24" s="312" t="str">
        <f>IF(AX24=Elektrolisis!$M$7,IF(BA24&gt;BD24,BA24-BD24,IF(BA24&lt;=BD24,0.0000001)),"")</f>
        <v/>
      </c>
      <c r="BF24" s="310" t="str">
        <f>IF(AX24=Elektrolisis!$M$7,IF(BB24=1,-LOG(BE24),IF(BB24=2,14+LOG(BE24),7)),"")</f>
        <v/>
      </c>
    </row>
    <row r="25" spans="1:58" ht="18.95" customHeight="1" x14ac:dyDescent="0.35">
      <c r="A25" s="10"/>
      <c r="B25" s="4">
        <v>23</v>
      </c>
      <c r="C25" s="267" t="s">
        <v>16</v>
      </c>
      <c r="E25" s="256" t="s">
        <v>604</v>
      </c>
      <c r="F25" s="71" t="s">
        <v>104</v>
      </c>
      <c r="H25" s="71" t="s">
        <v>24</v>
      </c>
      <c r="I25" s="71" t="s">
        <v>433</v>
      </c>
      <c r="J25" s="71" t="s">
        <v>337</v>
      </c>
      <c r="K25" s="221" t="s">
        <v>480</v>
      </c>
      <c r="L25" s="2"/>
      <c r="M25" s="4" t="s">
        <v>233</v>
      </c>
      <c r="N25" s="4">
        <v>2</v>
      </c>
      <c r="O25" s="4">
        <v>63.55</v>
      </c>
      <c r="P25" s="4"/>
      <c r="Q25" s="92" t="s">
        <v>236</v>
      </c>
      <c r="R25" s="4">
        <v>2</v>
      </c>
      <c r="S25" s="4">
        <v>2</v>
      </c>
      <c r="T25" s="4" t="s">
        <v>211</v>
      </c>
      <c r="U25" s="4">
        <f t="shared" si="2"/>
        <v>2</v>
      </c>
      <c r="V25" s="4">
        <v>23</v>
      </c>
      <c r="W25" s="2" t="s">
        <v>72</v>
      </c>
      <c r="X25" s="2" t="s">
        <v>419</v>
      </c>
      <c r="Y25" s="2" t="s">
        <v>79</v>
      </c>
      <c r="Z25" s="2" t="s">
        <v>73</v>
      </c>
      <c r="AA25" s="2" t="s">
        <v>75</v>
      </c>
      <c r="AB25" s="2"/>
      <c r="AC25" s="273" t="s">
        <v>3</v>
      </c>
      <c r="AD25" s="273" t="s">
        <v>245</v>
      </c>
      <c r="AE25" s="273" t="s">
        <v>242</v>
      </c>
      <c r="AF25" s="273" t="s">
        <v>241</v>
      </c>
      <c r="AG25" s="109"/>
      <c r="AH25" s="106">
        <f t="shared" si="3"/>
        <v>2</v>
      </c>
      <c r="AI25" s="106"/>
      <c r="AJ25" s="114"/>
      <c r="AK25" s="111"/>
      <c r="AN25" s="2"/>
      <c r="AP25" s="2"/>
      <c r="AU25" s="229" t="s">
        <v>343</v>
      </c>
      <c r="AV25" s="2"/>
      <c r="AW25" s="2"/>
      <c r="AX25" s="5">
        <v>23</v>
      </c>
      <c r="AY25" s="5">
        <v>0</v>
      </c>
      <c r="AZ25" s="309">
        <f>Elektrolisis!$Q$12</f>
        <v>1</v>
      </c>
      <c r="BA25" s="314" t="str">
        <f>IF(AND(C25&lt;&gt;"HF",C25&lt;&gt;"H3PO4",AY25&gt;0),AY25*Elektrolisis!$Q$13,IF(AND(C25="HF",AY25&gt;0),(Elektrolisis!$Q$13*0.0006)^0.5,IF(AND(C25="H3PO4",AY25&gt;0),(Elektrolisis!$Q$13*0.00075)^0.5,"")))</f>
        <v/>
      </c>
      <c r="BB25" s="5">
        <v>0</v>
      </c>
      <c r="BC25" s="310" t="str">
        <f>IF(AX25=Elektrolisis!$M$7,IF(BB25=1,-LOG(BA25),IF(BB25=2,14+LOG(BA25),7)),"")</f>
        <v/>
      </c>
      <c r="BD25" s="313" t="str">
        <f>IF(AX25=Elektrolisis!$M$7,(Elektrolisis!$Q$14*Elektrolisis!$Q$15)/(96500*REAKSI!R25*REAKSI!AZ25),"")</f>
        <v/>
      </c>
      <c r="BE25" s="312" t="str">
        <f>IF(AX25=Elektrolisis!$M$7,IF(BA25&gt;BD25,BA25-BD25,IF(BA25&lt;=BD25,0.0000001)),"")</f>
        <v/>
      </c>
      <c r="BF25" s="310" t="str">
        <f>IF(AX25=Elektrolisis!$M$7,IF(BB25=1,-LOG(BE25),IF(BB25=2,14+LOG(BE25),7)),"")</f>
        <v/>
      </c>
    </row>
    <row r="26" spans="1:58" ht="18.95" customHeight="1" x14ac:dyDescent="0.35">
      <c r="A26" s="10"/>
      <c r="B26" s="4">
        <v>24</v>
      </c>
      <c r="C26" s="267" t="s">
        <v>7</v>
      </c>
      <c r="E26" s="256" t="s">
        <v>250</v>
      </c>
      <c r="F26" s="71" t="s">
        <v>104</v>
      </c>
      <c r="H26" s="71" t="s">
        <v>25</v>
      </c>
      <c r="I26" s="71" t="s">
        <v>433</v>
      </c>
      <c r="J26" s="71" t="s">
        <v>337</v>
      </c>
      <c r="K26" s="221" t="s">
        <v>480</v>
      </c>
      <c r="L26" s="2"/>
      <c r="M26" s="4" t="s">
        <v>233</v>
      </c>
      <c r="N26" s="4">
        <v>2</v>
      </c>
      <c r="O26" s="4">
        <v>63.55</v>
      </c>
      <c r="P26" s="4"/>
      <c r="Q26" s="92" t="s">
        <v>236</v>
      </c>
      <c r="R26" s="4">
        <v>2</v>
      </c>
      <c r="S26" s="4">
        <v>2</v>
      </c>
      <c r="T26" s="4" t="s">
        <v>211</v>
      </c>
      <c r="U26" s="4">
        <f t="shared" si="2"/>
        <v>2</v>
      </c>
      <c r="V26" s="4">
        <v>24</v>
      </c>
      <c r="W26" s="2" t="s">
        <v>72</v>
      </c>
      <c r="X26" s="2" t="s">
        <v>76</v>
      </c>
      <c r="Y26" s="2" t="s">
        <v>79</v>
      </c>
      <c r="Z26" s="2" t="s">
        <v>73</v>
      </c>
      <c r="AA26" s="2" t="s">
        <v>75</v>
      </c>
      <c r="AB26" s="2"/>
      <c r="AC26" s="273" t="s">
        <v>3</v>
      </c>
      <c r="AD26" s="273" t="s">
        <v>245</v>
      </c>
      <c r="AE26" s="273" t="s">
        <v>242</v>
      </c>
      <c r="AF26" s="273" t="s">
        <v>241</v>
      </c>
      <c r="AG26" s="109"/>
      <c r="AH26" s="106">
        <f t="shared" si="3"/>
        <v>2</v>
      </c>
      <c r="AI26" s="106"/>
      <c r="AJ26" s="114"/>
      <c r="AK26" s="111"/>
      <c r="AN26" s="2"/>
      <c r="AP26" s="2"/>
      <c r="AU26" s="4" t="s">
        <v>349</v>
      </c>
      <c r="AV26" s="2"/>
      <c r="AW26" s="2"/>
      <c r="AX26" s="5">
        <v>24</v>
      </c>
      <c r="AY26" s="5">
        <v>1</v>
      </c>
      <c r="AZ26" s="309">
        <f>Elektrolisis!$Q$12</f>
        <v>1</v>
      </c>
      <c r="BA26" s="314">
        <f>IF(AND(C26&lt;&gt;"HF",C26&lt;&gt;"H3PO4",AY26&gt;0),AY26*Elektrolisis!$Q$13,IF(AND(C26="HF",AY26&gt;0),(Elektrolisis!$Q$13*0.0006)^0.5,IF(AND(C26="H3PO4",AY26&gt;0),(Elektrolisis!$Q$13*0.00075)^0.5,"")))</f>
        <v>1</v>
      </c>
      <c r="BB26" s="5">
        <v>2</v>
      </c>
      <c r="BC26" s="310" t="str">
        <f>IF(AX26=Elektrolisis!$M$7,IF(BB26=1,-LOG(BA26),IF(BB26=2,14+LOG(BA26),7)),"")</f>
        <v/>
      </c>
      <c r="BD26" s="313" t="str">
        <f>IF(AX26=Elektrolisis!$M$7,(Elektrolisis!$Q$14*Elektrolisis!$Q$15)/(96500*REAKSI!R26*REAKSI!AZ26),"")</f>
        <v/>
      </c>
      <c r="BE26" s="312" t="str">
        <f>IF(AX26=Elektrolisis!$M$7,IF(BA26&gt;BD26,BA26-BD26,IF(BA26&lt;=BD26,0.0000001)),"")</f>
        <v/>
      </c>
      <c r="BF26" s="310" t="str">
        <f>IF(AX26=Elektrolisis!$M$7,IF(BB26=1,-LOG(BE26),IF(BB26=2,14+LOG(BE26),7)),"")</f>
        <v/>
      </c>
    </row>
    <row r="27" spans="1:58" ht="18.95" customHeight="1" x14ac:dyDescent="0.35">
      <c r="A27" s="10"/>
      <c r="B27" s="4">
        <v>25</v>
      </c>
      <c r="C27" s="267" t="s">
        <v>13</v>
      </c>
      <c r="E27" s="256" t="s">
        <v>605</v>
      </c>
      <c r="F27" s="71"/>
      <c r="H27" s="71" t="s">
        <v>26</v>
      </c>
      <c r="I27" s="71" t="s">
        <v>433</v>
      </c>
      <c r="J27" s="71" t="s">
        <v>440</v>
      </c>
      <c r="K27" s="221" t="s">
        <v>481</v>
      </c>
      <c r="L27" s="2"/>
      <c r="M27" s="4" t="s">
        <v>233</v>
      </c>
      <c r="N27" s="4">
        <v>2</v>
      </c>
      <c r="O27" s="4">
        <v>63.55</v>
      </c>
      <c r="P27" s="4"/>
      <c r="Q27" s="92" t="s">
        <v>197</v>
      </c>
      <c r="R27" s="4">
        <v>2</v>
      </c>
      <c r="S27" s="4">
        <v>63.55</v>
      </c>
      <c r="T27" s="4"/>
      <c r="U27" s="4">
        <f t="shared" si="2"/>
        <v>0</v>
      </c>
      <c r="V27" s="4">
        <v>25</v>
      </c>
      <c r="W27" s="2" t="s">
        <v>72</v>
      </c>
      <c r="X27" s="2" t="s">
        <v>77</v>
      </c>
      <c r="Y27" s="2" t="s">
        <v>79</v>
      </c>
      <c r="Z27" s="2" t="s">
        <v>73</v>
      </c>
      <c r="AA27" s="2" t="s">
        <v>78</v>
      </c>
      <c r="AB27" s="2"/>
      <c r="AC27" s="273" t="s">
        <v>3</v>
      </c>
      <c r="AD27" s="273" t="s">
        <v>245</v>
      </c>
      <c r="AE27" s="273" t="s">
        <v>245</v>
      </c>
      <c r="AF27" s="273" t="s">
        <v>3</v>
      </c>
      <c r="AG27" s="109"/>
      <c r="AH27" s="106">
        <f t="shared" si="3"/>
        <v>0</v>
      </c>
      <c r="AI27" s="106"/>
      <c r="AJ27" s="114"/>
      <c r="AK27" s="111"/>
      <c r="AN27" s="2"/>
      <c r="AP27" s="2"/>
      <c r="AU27" s="71" t="s">
        <v>542</v>
      </c>
      <c r="AV27" s="2"/>
      <c r="AW27" s="2"/>
      <c r="AX27" s="5">
        <v>25</v>
      </c>
      <c r="AY27" s="5">
        <v>0</v>
      </c>
      <c r="AZ27" s="309">
        <f>Elektrolisis!$Q$12</f>
        <v>1</v>
      </c>
      <c r="BA27" s="314" t="str">
        <f>IF(AND(C27&lt;&gt;"HF",C27&lt;&gt;"H3PO4",AY27&gt;0),AY27*Elektrolisis!$Q$13,IF(AND(C27="HF",AY27&gt;0),(Elektrolisis!$Q$13*0.0006)^0.5,IF(AND(C27="H3PO4",AY27&gt;0),(Elektrolisis!$Q$13*0.00075)^0.5,"")))</f>
        <v/>
      </c>
      <c r="BB27" s="5">
        <v>0</v>
      </c>
      <c r="BC27" s="310" t="str">
        <f>IF(AX27=Elektrolisis!$M$7,IF(BB27=1,-LOG(BA27),IF(BB27=2,14+LOG(BA27),7)),"")</f>
        <v/>
      </c>
      <c r="BD27" s="313" t="str">
        <f>IF(AX27=Elektrolisis!$M$7,(Elektrolisis!$Q$14*Elektrolisis!$Q$15)/(96500*REAKSI!R27*REAKSI!AZ27),"")</f>
        <v/>
      </c>
      <c r="BE27" s="312" t="str">
        <f>IF(AX27=Elektrolisis!$M$7,IF(BA27&gt;BD27,BA27-BD27,IF(BA27&lt;=BD27,0.0000001)),"")</f>
        <v/>
      </c>
      <c r="BF27" s="310" t="str">
        <f>IF(AX27=Elektrolisis!$M$7,IF(BB27=1,-LOG(BE27),IF(BB27=2,14+LOG(BE27),7)),"")</f>
        <v/>
      </c>
    </row>
    <row r="28" spans="1:58" ht="18.95" customHeight="1" x14ac:dyDescent="0.35">
      <c r="A28" s="10"/>
      <c r="B28" s="4">
        <v>26</v>
      </c>
      <c r="C28" s="267" t="s">
        <v>9</v>
      </c>
      <c r="E28" s="256" t="s">
        <v>606</v>
      </c>
      <c r="F28" s="71"/>
      <c r="H28" s="71" t="s">
        <v>27</v>
      </c>
      <c r="I28" s="71" t="s">
        <v>433</v>
      </c>
      <c r="J28" s="71" t="s">
        <v>440</v>
      </c>
      <c r="K28" s="221" t="s">
        <v>481</v>
      </c>
      <c r="L28" s="2"/>
      <c r="M28" s="4" t="s">
        <v>233</v>
      </c>
      <c r="N28" s="4">
        <v>2</v>
      </c>
      <c r="O28" s="4">
        <v>63.55</v>
      </c>
      <c r="P28" s="4"/>
      <c r="Q28" s="92" t="s">
        <v>197</v>
      </c>
      <c r="R28" s="4">
        <v>2</v>
      </c>
      <c r="S28" s="4">
        <v>63.55</v>
      </c>
      <c r="T28" s="4"/>
      <c r="U28" s="4">
        <f t="shared" si="2"/>
        <v>0</v>
      </c>
      <c r="V28" s="4">
        <v>26</v>
      </c>
      <c r="W28" s="2" t="s">
        <v>72</v>
      </c>
      <c r="X28" s="2" t="s">
        <v>419</v>
      </c>
      <c r="Y28" s="2" t="s">
        <v>79</v>
      </c>
      <c r="Z28" s="2" t="s">
        <v>73</v>
      </c>
      <c r="AA28" s="2" t="s">
        <v>78</v>
      </c>
      <c r="AB28" s="2"/>
      <c r="AC28" s="273" t="s">
        <v>3</v>
      </c>
      <c r="AD28" s="273" t="s">
        <v>245</v>
      </c>
      <c r="AE28" s="273" t="s">
        <v>245</v>
      </c>
      <c r="AF28" s="273" t="s">
        <v>3</v>
      </c>
      <c r="AG28" s="109"/>
      <c r="AH28" s="106">
        <f t="shared" si="3"/>
        <v>0</v>
      </c>
      <c r="AI28" s="106"/>
      <c r="AJ28" s="114"/>
      <c r="AK28" s="111"/>
      <c r="AN28" s="2"/>
      <c r="AP28" s="2"/>
      <c r="AU28" s="71" t="s">
        <v>726</v>
      </c>
      <c r="AV28" s="2"/>
      <c r="AW28" s="2"/>
      <c r="AX28" s="5">
        <v>26</v>
      </c>
      <c r="AY28" s="5">
        <v>0</v>
      </c>
      <c r="AZ28" s="309">
        <f>Elektrolisis!$Q$12</f>
        <v>1</v>
      </c>
      <c r="BA28" s="314" t="str">
        <f>IF(AND(C28&lt;&gt;"HF",C28&lt;&gt;"H3PO4",AY28&gt;0),AY28*Elektrolisis!$Q$13,IF(AND(C28="HF",AY28&gt;0),(Elektrolisis!$Q$13*0.0006)^0.5,IF(AND(C28="H3PO4",AY28&gt;0),(Elektrolisis!$Q$13*0.00075)^0.5,"")))</f>
        <v/>
      </c>
      <c r="BB28" s="5">
        <v>0</v>
      </c>
      <c r="BC28" s="310" t="str">
        <f>IF(AX28=Elektrolisis!$M$7,IF(BB28=1,-LOG(BA28),IF(BB28=2,14+LOG(BA28),7)),"")</f>
        <v/>
      </c>
      <c r="BD28" s="313" t="str">
        <f>IF(AX28=Elektrolisis!$M$7,(Elektrolisis!$Q$14*Elektrolisis!$Q$15)/(96500*REAKSI!R28*REAKSI!AZ28),"")</f>
        <v/>
      </c>
      <c r="BE28" s="312" t="str">
        <f>IF(AX28=Elektrolisis!$M$7,IF(BA28&gt;BD28,BA28-BD28,IF(BA28&lt;=BD28,0.0000001)),"")</f>
        <v/>
      </c>
      <c r="BF28" s="310" t="str">
        <f>IF(AX28=Elektrolisis!$M$7,IF(BB28=1,-LOG(BE28),IF(BB28=2,14+LOG(BE28),7)),"")</f>
        <v/>
      </c>
    </row>
    <row r="29" spans="1:58" ht="18.95" customHeight="1" x14ac:dyDescent="0.35">
      <c r="A29" s="10"/>
      <c r="B29" s="4">
        <v>27</v>
      </c>
      <c r="C29" s="267" t="s">
        <v>15</v>
      </c>
      <c r="E29" s="256" t="s">
        <v>607</v>
      </c>
      <c r="F29" s="71" t="s">
        <v>104</v>
      </c>
      <c r="H29" s="71" t="s">
        <v>28</v>
      </c>
      <c r="I29" s="71" t="s">
        <v>433</v>
      </c>
      <c r="J29" s="71" t="s">
        <v>440</v>
      </c>
      <c r="K29" s="221" t="s">
        <v>481</v>
      </c>
      <c r="L29" s="2"/>
      <c r="M29" s="4" t="s">
        <v>233</v>
      </c>
      <c r="N29" s="4">
        <v>2</v>
      </c>
      <c r="O29" s="4">
        <v>63.55</v>
      </c>
      <c r="P29" s="4"/>
      <c r="Q29" s="92" t="s">
        <v>197</v>
      </c>
      <c r="R29" s="4">
        <v>2</v>
      </c>
      <c r="S29" s="4">
        <v>63.55</v>
      </c>
      <c r="T29" s="4" t="s">
        <v>211</v>
      </c>
      <c r="U29" s="4">
        <f t="shared" si="2"/>
        <v>2</v>
      </c>
      <c r="V29" s="4">
        <v>27</v>
      </c>
      <c r="W29" s="2" t="s">
        <v>72</v>
      </c>
      <c r="X29" s="2" t="s">
        <v>76</v>
      </c>
      <c r="Y29" s="2" t="s">
        <v>79</v>
      </c>
      <c r="Z29" s="2" t="s">
        <v>73</v>
      </c>
      <c r="AA29" s="2" t="s">
        <v>78</v>
      </c>
      <c r="AB29" s="2"/>
      <c r="AC29" s="273" t="s">
        <v>3</v>
      </c>
      <c r="AD29" s="273" t="s">
        <v>245</v>
      </c>
      <c r="AE29" s="273" t="s">
        <v>245</v>
      </c>
      <c r="AF29" s="273" t="s">
        <v>3</v>
      </c>
      <c r="AG29" s="109"/>
      <c r="AH29" s="106">
        <f t="shared" si="3"/>
        <v>2</v>
      </c>
      <c r="AI29" s="106"/>
      <c r="AJ29" s="114"/>
      <c r="AK29" s="111"/>
      <c r="AN29" s="2"/>
      <c r="AP29" s="2"/>
      <c r="AU29" s="71" t="s">
        <v>543</v>
      </c>
      <c r="AV29" s="2"/>
      <c r="AW29" s="2"/>
      <c r="AX29" s="5">
        <v>27</v>
      </c>
      <c r="AY29" s="5">
        <v>2</v>
      </c>
      <c r="AZ29" s="309">
        <f>Elektrolisis!$Q$12</f>
        <v>1</v>
      </c>
      <c r="BA29" s="314">
        <f>IF(AND(C29&lt;&gt;"HF",C29&lt;&gt;"H3PO4",AY29&gt;0),AY29*Elektrolisis!$Q$13,IF(AND(C29="HF",AY29&gt;0),(Elektrolisis!$Q$13*0.0006)^0.5,IF(AND(C29="H3PO4",AY29&gt;0),(Elektrolisis!$Q$13*0.00075)^0.5,"")))</f>
        <v>2</v>
      </c>
      <c r="BB29" s="5">
        <v>2</v>
      </c>
      <c r="BC29" s="310" t="str">
        <f>IF(AX29=Elektrolisis!$M$7,IF(BB29=1,-LOG(BA29),IF(BB29=2,14+LOG(BA29),7)),"")</f>
        <v/>
      </c>
      <c r="BD29" s="313" t="str">
        <f>IF(AX29=Elektrolisis!$M$7,(Elektrolisis!$Q$14*Elektrolisis!$Q$15)/(96500*REAKSI!R29*REAKSI!AZ29),"")</f>
        <v/>
      </c>
      <c r="BE29" s="312" t="str">
        <f>IF(AX29=Elektrolisis!$M$7,IF(BA29&gt;BD29,BA29-BD29,IF(BA29&lt;=BD29,0.0000001)),"")</f>
        <v/>
      </c>
      <c r="BF29" s="310" t="str">
        <f>IF(AX29=Elektrolisis!$M$7,IF(BB29=1,-LOG(BE29),IF(BB29=2,14+LOG(BE29),7)),"")</f>
        <v/>
      </c>
    </row>
    <row r="30" spans="1:58" ht="18.95" customHeight="1" x14ac:dyDescent="0.35">
      <c r="A30" s="10"/>
      <c r="B30" s="4">
        <v>28</v>
      </c>
      <c r="C30" s="4" t="s">
        <v>8</v>
      </c>
      <c r="E30" s="256" t="s">
        <v>60</v>
      </c>
      <c r="F30" s="71"/>
      <c r="H30" s="71" t="s">
        <v>23</v>
      </c>
      <c r="I30" s="71" t="s">
        <v>438</v>
      </c>
      <c r="J30" s="71" t="s">
        <v>441</v>
      </c>
      <c r="K30" s="221" t="s">
        <v>482</v>
      </c>
      <c r="L30" s="2"/>
      <c r="M30" s="4" t="s">
        <v>231</v>
      </c>
      <c r="N30" s="4">
        <v>2</v>
      </c>
      <c r="O30" s="4">
        <v>71</v>
      </c>
      <c r="P30" s="4"/>
      <c r="Q30" s="92" t="s">
        <v>198</v>
      </c>
      <c r="R30" s="4">
        <v>1</v>
      </c>
      <c r="S30" s="4">
        <v>22.99</v>
      </c>
      <c r="T30" s="4"/>
      <c r="U30" s="4">
        <f t="shared" si="2"/>
        <v>0</v>
      </c>
      <c r="V30" s="4">
        <v>28</v>
      </c>
      <c r="W30" s="2"/>
      <c r="X30" s="2"/>
      <c r="Y30" s="2"/>
      <c r="Z30" s="2"/>
      <c r="AA30" s="2"/>
      <c r="AB30" s="2"/>
      <c r="AC30" s="273" t="s">
        <v>238</v>
      </c>
      <c r="AD30" s="273" t="s">
        <v>239</v>
      </c>
      <c r="AE30" s="273" t="s">
        <v>246</v>
      </c>
      <c r="AF30" s="273" t="s">
        <v>47</v>
      </c>
      <c r="AG30" s="109"/>
      <c r="AH30" s="106">
        <f t="shared" si="3"/>
        <v>0</v>
      </c>
      <c r="AI30" s="106"/>
      <c r="AJ30" s="114"/>
      <c r="AK30" s="111"/>
      <c r="AN30" s="2"/>
      <c r="AP30" s="2"/>
      <c r="AU30" s="71" t="s">
        <v>399</v>
      </c>
      <c r="AV30" s="2"/>
      <c r="AW30" s="2">
        <v>58.43</v>
      </c>
      <c r="AX30" s="5">
        <v>28</v>
      </c>
      <c r="AY30" s="5">
        <v>0</v>
      </c>
      <c r="AZ30" s="309">
        <f>Elektrolisis!$Q$12</f>
        <v>1</v>
      </c>
      <c r="BA30" s="314" t="str">
        <f>IF(AND(C30&lt;&gt;"HF",C30&lt;&gt;"H3PO4",AY30&gt;0),AY30*Elektrolisis!$Q$13,IF(AND(C30="HF",AY30&gt;0),(Elektrolisis!$Q$13*0.0006)^0.5,IF(AND(C30="H3PO4",AY30&gt;0),(Elektrolisis!$Q$13*0.00075)^0.5,"")))</f>
        <v/>
      </c>
      <c r="BB30" s="5">
        <v>0</v>
      </c>
      <c r="BC30" s="310" t="str">
        <f>IF(AX30=Elektrolisis!$M$7,IF(BB30=1,-LOG(BA30),IF(BB30=2,14+LOG(BA30),7)),"")</f>
        <v/>
      </c>
      <c r="BD30" s="313" t="str">
        <f>IF(AX30=Elektrolisis!$M$7,(Elektrolisis!$Q$14*Elektrolisis!$Q$15)/(96500*REAKSI!R30*REAKSI!AZ30),"")</f>
        <v/>
      </c>
      <c r="BE30" s="312" t="str">
        <f>IF(AX30=Elektrolisis!$M$7,IF(BA30&gt;BD30,BA30-BD30,IF(BA30&lt;=BD30,0.0000001)),"")</f>
        <v/>
      </c>
      <c r="BF30" s="310" t="str">
        <f>IF(AX30=Elektrolisis!$M$7,IF(BB30=1,-LOG(BE30),IF(BB30=2,14+LOG(BE30),7)),"")</f>
        <v/>
      </c>
    </row>
    <row r="31" spans="1:58" ht="18.95" customHeight="1" x14ac:dyDescent="0.35">
      <c r="A31" s="10"/>
      <c r="B31" s="4">
        <v>29</v>
      </c>
      <c r="C31" s="4" t="s">
        <v>169</v>
      </c>
      <c r="E31" s="256" t="s">
        <v>608</v>
      </c>
      <c r="F31" s="71"/>
      <c r="H31" s="71" t="s">
        <v>29</v>
      </c>
      <c r="I31" s="71" t="s">
        <v>438</v>
      </c>
      <c r="J31" s="71" t="s">
        <v>442</v>
      </c>
      <c r="K31" s="221" t="s">
        <v>483</v>
      </c>
      <c r="L31" s="2"/>
      <c r="M31" s="4" t="s">
        <v>231</v>
      </c>
      <c r="N31" s="4">
        <v>2</v>
      </c>
      <c r="O31" s="4">
        <v>71</v>
      </c>
      <c r="P31" s="4"/>
      <c r="Q31" s="92" t="s">
        <v>199</v>
      </c>
      <c r="R31" s="4">
        <v>2</v>
      </c>
      <c r="S31" s="4">
        <v>24.31</v>
      </c>
      <c r="T31" s="4"/>
      <c r="U31" s="4">
        <f t="shared" si="2"/>
        <v>0</v>
      </c>
      <c r="V31" s="4">
        <v>29</v>
      </c>
      <c r="W31" s="2"/>
      <c r="X31" s="2"/>
      <c r="Y31" s="2"/>
      <c r="Z31" s="2"/>
      <c r="AA31" s="2"/>
      <c r="AB31" s="2"/>
      <c r="AC31" s="273" t="s">
        <v>238</v>
      </c>
      <c r="AD31" s="273" t="s">
        <v>239</v>
      </c>
      <c r="AE31" s="273" t="s">
        <v>247</v>
      </c>
      <c r="AF31" s="273" t="s">
        <v>48</v>
      </c>
      <c r="AG31" s="109"/>
      <c r="AH31" s="106">
        <f t="shared" si="3"/>
        <v>0</v>
      </c>
      <c r="AI31" s="106"/>
      <c r="AJ31" s="114"/>
      <c r="AK31" s="111"/>
      <c r="AN31" s="2"/>
      <c r="AP31" s="2"/>
      <c r="AU31" s="71" t="s">
        <v>400</v>
      </c>
      <c r="AV31" s="2"/>
      <c r="AW31" s="2">
        <v>95.2</v>
      </c>
      <c r="AX31" s="5">
        <v>29</v>
      </c>
      <c r="AY31" s="5">
        <v>0</v>
      </c>
      <c r="AZ31" s="309">
        <f>Elektrolisis!$Q$12</f>
        <v>1</v>
      </c>
      <c r="BA31" s="314" t="str">
        <f>IF(AND(C31&lt;&gt;"HF",C31&lt;&gt;"H3PO4",AY31&gt;0),AY31*Elektrolisis!$Q$13,IF(AND(C31="HF",AY31&gt;0),(Elektrolisis!$Q$13*0.0006)^0.5,IF(AND(C31="H3PO4",AY31&gt;0),(Elektrolisis!$Q$13*0.00075)^0.5,"")))</f>
        <v/>
      </c>
      <c r="BB31" s="5">
        <v>0</v>
      </c>
      <c r="BC31" s="310" t="str">
        <f>IF(AX31=Elektrolisis!$M$7,IF(BB31=1,-LOG(BA31),IF(BB31=2,14+LOG(BA31),7)),"")</f>
        <v/>
      </c>
      <c r="BD31" s="313" t="str">
        <f>IF(AX31=Elektrolisis!$M$7,(Elektrolisis!$Q$14*Elektrolisis!$Q$15)/(96500*REAKSI!R31*REAKSI!AZ31),"")</f>
        <v/>
      </c>
      <c r="BE31" s="312" t="str">
        <f>IF(AX31=Elektrolisis!$M$7,IF(BA31&gt;BD31,BA31-BD31,IF(BA31&lt;=BD31,0.0000001)),"")</f>
        <v/>
      </c>
      <c r="BF31" s="310" t="str">
        <f>IF(AX31=Elektrolisis!$M$7,IF(BB31=1,-LOG(BE31),IF(BB31=2,14+LOG(BE31),7)),"")</f>
        <v/>
      </c>
    </row>
    <row r="32" spans="1:58" ht="18.95" customHeight="1" x14ac:dyDescent="0.35">
      <c r="A32" s="10"/>
      <c r="B32" s="4">
        <v>30</v>
      </c>
      <c r="C32" s="4" t="s">
        <v>17</v>
      </c>
      <c r="E32" s="256" t="s">
        <v>609</v>
      </c>
      <c r="F32" s="71"/>
      <c r="H32" s="71" t="s">
        <v>30</v>
      </c>
      <c r="I32" s="71" t="s">
        <v>438</v>
      </c>
      <c r="J32" s="71" t="s">
        <v>443</v>
      </c>
      <c r="K32" s="221" t="s">
        <v>484</v>
      </c>
      <c r="L32" s="2"/>
      <c r="M32" s="4" t="s">
        <v>231</v>
      </c>
      <c r="N32" s="4">
        <v>2</v>
      </c>
      <c r="O32" s="4">
        <v>71</v>
      </c>
      <c r="P32" s="4"/>
      <c r="Q32" s="92" t="s">
        <v>200</v>
      </c>
      <c r="R32" s="4">
        <v>3</v>
      </c>
      <c r="S32" s="4">
        <v>52</v>
      </c>
      <c r="T32" s="4"/>
      <c r="U32" s="4">
        <f t="shared" si="2"/>
        <v>0</v>
      </c>
      <c r="V32" s="4">
        <v>30</v>
      </c>
      <c r="W32" s="2"/>
      <c r="X32" s="2"/>
      <c r="Y32" s="2"/>
      <c r="Z32" s="2"/>
      <c r="AA32" s="2"/>
      <c r="AB32" s="2"/>
      <c r="AC32" s="273" t="s">
        <v>238</v>
      </c>
      <c r="AD32" s="273" t="s">
        <v>239</v>
      </c>
      <c r="AE32" s="273" t="s">
        <v>248</v>
      </c>
      <c r="AF32" s="273" t="s">
        <v>49</v>
      </c>
      <c r="AG32" s="109"/>
      <c r="AH32" s="106">
        <f t="shared" si="3"/>
        <v>0</v>
      </c>
      <c r="AI32" s="106"/>
      <c r="AJ32" s="114"/>
      <c r="AK32" s="111"/>
      <c r="AN32" s="2"/>
      <c r="AP32" s="2"/>
      <c r="AU32" s="71" t="s">
        <v>401</v>
      </c>
      <c r="AV32" s="2"/>
      <c r="AW32" s="2">
        <v>158.34</v>
      </c>
      <c r="AX32" s="5">
        <v>30</v>
      </c>
      <c r="AY32" s="5">
        <v>0</v>
      </c>
      <c r="AZ32" s="309">
        <f>Elektrolisis!$Q$12</f>
        <v>1</v>
      </c>
      <c r="BA32" s="314" t="str">
        <f>IF(AND(C32&lt;&gt;"HF",C32&lt;&gt;"H3PO4",AY32&gt;0),AY32*Elektrolisis!$Q$13,IF(AND(C32="HF",AY32&gt;0),(Elektrolisis!$Q$13*0.0006)^0.5,IF(AND(C32="H3PO4",AY32&gt;0),(Elektrolisis!$Q$13*0.00075)^0.5,"")))</f>
        <v/>
      </c>
      <c r="BB32" s="5">
        <v>0</v>
      </c>
      <c r="BC32" s="310" t="str">
        <f>IF(AX32=Elektrolisis!$M$7,IF(BB32=1,-LOG(BA32),IF(BB32=2,14+LOG(BA32),7)),"")</f>
        <v/>
      </c>
      <c r="BD32" s="313" t="str">
        <f>IF(AX32=Elektrolisis!$M$7,(Elektrolisis!$Q$14*Elektrolisis!$Q$15)/(96500*REAKSI!R32*REAKSI!AZ32),"")</f>
        <v/>
      </c>
      <c r="BE32" s="312" t="str">
        <f>IF(AX32=Elektrolisis!$M$7,IF(BA32&gt;BD32,BA32-BD32,IF(BA32&lt;=BD32,0.0000001)),"")</f>
        <v/>
      </c>
      <c r="BF32" s="310" t="str">
        <f>IF(AX32=Elektrolisis!$M$7,IF(BB32=1,-LOG(BE32),IF(BB32=2,14+LOG(BE32),7)),"")</f>
        <v/>
      </c>
    </row>
    <row r="33" spans="1:58" ht="18.95" customHeight="1" x14ac:dyDescent="0.35">
      <c r="A33" s="10"/>
      <c r="B33" s="4">
        <v>31</v>
      </c>
      <c r="C33" s="4" t="s">
        <v>18</v>
      </c>
      <c r="E33" s="256" t="s">
        <v>610</v>
      </c>
      <c r="F33" s="71"/>
      <c r="H33" s="71" t="s">
        <v>31</v>
      </c>
      <c r="I33" s="71" t="s">
        <v>438</v>
      </c>
      <c r="J33" s="71" t="s">
        <v>444</v>
      </c>
      <c r="K33" s="221" t="s">
        <v>485</v>
      </c>
      <c r="L33" s="2"/>
      <c r="M33" s="4" t="s">
        <v>231</v>
      </c>
      <c r="N33" s="4">
        <v>2</v>
      </c>
      <c r="O33" s="4">
        <v>71</v>
      </c>
      <c r="P33" s="4"/>
      <c r="Q33" s="92" t="s">
        <v>201</v>
      </c>
      <c r="R33" s="4">
        <v>2</v>
      </c>
      <c r="S33" s="4">
        <v>65.39</v>
      </c>
      <c r="T33" s="4"/>
      <c r="U33" s="4">
        <f t="shared" si="2"/>
        <v>0</v>
      </c>
      <c r="V33" s="4">
        <v>31</v>
      </c>
      <c r="W33" s="2"/>
      <c r="X33" s="2"/>
      <c r="Y33" s="2"/>
      <c r="Z33" s="2"/>
      <c r="AA33" s="2"/>
      <c r="AB33" s="2"/>
      <c r="AC33" s="273" t="s">
        <v>238</v>
      </c>
      <c r="AD33" s="273" t="s">
        <v>239</v>
      </c>
      <c r="AE33" s="273" t="s">
        <v>253</v>
      </c>
      <c r="AF33" s="273" t="s">
        <v>50</v>
      </c>
      <c r="AG33" s="109"/>
      <c r="AH33" s="106">
        <f t="shared" si="3"/>
        <v>0</v>
      </c>
      <c r="AI33" s="106"/>
      <c r="AJ33" s="114"/>
      <c r="AK33" s="111"/>
      <c r="AN33" s="2"/>
      <c r="AP33" s="2"/>
      <c r="AU33" s="71" t="s">
        <v>402</v>
      </c>
      <c r="AV33" s="2"/>
      <c r="AW33" s="2">
        <v>136.29</v>
      </c>
      <c r="AX33" s="5">
        <v>31</v>
      </c>
      <c r="AY33" s="5">
        <v>0</v>
      </c>
      <c r="AZ33" s="309">
        <f>Elektrolisis!$Q$12</f>
        <v>1</v>
      </c>
      <c r="BA33" s="314" t="str">
        <f>IF(AND(C33&lt;&gt;"HF",C33&lt;&gt;"H3PO4",AY33&gt;0),AY33*Elektrolisis!$Q$13,IF(AND(C33="HF",AY33&gt;0),(Elektrolisis!$Q$13*0.0006)^0.5,IF(AND(C33="H3PO4",AY33&gt;0),(Elektrolisis!$Q$13*0.00075)^0.5,"")))</f>
        <v/>
      </c>
      <c r="BB33" s="5">
        <v>0</v>
      </c>
      <c r="BC33" s="310" t="str">
        <f>IF(AX33=Elektrolisis!$M$7,IF(BB33=1,-LOG(BA33),IF(BB33=2,14+LOG(BA33),7)),"")</f>
        <v/>
      </c>
      <c r="BD33" s="313" t="str">
        <f>IF(AX33=Elektrolisis!$M$7,(Elektrolisis!$Q$14*Elektrolisis!$Q$15)/(96500*REAKSI!R33*REAKSI!AZ33),"")</f>
        <v/>
      </c>
      <c r="BE33" s="312" t="str">
        <f>IF(AX33=Elektrolisis!$M$7,IF(BA33&gt;BD33,BA33-BD33,IF(BA33&lt;=BD33,0.0000001)),"")</f>
        <v/>
      </c>
      <c r="BF33" s="310" t="str">
        <f>IF(AX33=Elektrolisis!$M$7,IF(BB33=1,-LOG(BE33),IF(BB33=2,14+LOG(BE33),7)),"")</f>
        <v/>
      </c>
    </row>
    <row r="34" spans="1:58" ht="18.95" customHeight="1" x14ac:dyDescent="0.35">
      <c r="A34" s="10"/>
      <c r="B34" s="4">
        <v>32</v>
      </c>
      <c r="C34" s="4" t="s">
        <v>19</v>
      </c>
      <c r="E34" s="256" t="s">
        <v>611</v>
      </c>
      <c r="F34" s="71"/>
      <c r="H34" s="71" t="s">
        <v>32</v>
      </c>
      <c r="I34" s="71" t="s">
        <v>437</v>
      </c>
      <c r="J34" s="71" t="s">
        <v>442</v>
      </c>
      <c r="K34" s="221" t="s">
        <v>486</v>
      </c>
      <c r="L34" s="2"/>
      <c r="M34" s="4" t="s">
        <v>232</v>
      </c>
      <c r="N34" s="4">
        <v>4</v>
      </c>
      <c r="O34" s="4">
        <v>32</v>
      </c>
      <c r="P34" s="4"/>
      <c r="Q34" s="92" t="s">
        <v>199</v>
      </c>
      <c r="R34" s="4">
        <v>2</v>
      </c>
      <c r="S34" s="4">
        <v>24.31</v>
      </c>
      <c r="T34" s="4"/>
      <c r="U34" s="4">
        <f t="shared" si="2"/>
        <v>0</v>
      </c>
      <c r="V34" s="4">
        <v>32</v>
      </c>
      <c r="W34" s="2"/>
      <c r="X34" s="2"/>
      <c r="Y34" s="2"/>
      <c r="Z34" s="2"/>
      <c r="AA34" s="2"/>
      <c r="AB34" s="2"/>
      <c r="AC34" s="273" t="s">
        <v>252</v>
      </c>
      <c r="AD34" s="273" t="s">
        <v>243</v>
      </c>
      <c r="AE34" s="273" t="s">
        <v>247</v>
      </c>
      <c r="AF34" s="273" t="s">
        <v>48</v>
      </c>
      <c r="AG34" s="109"/>
      <c r="AH34" s="106">
        <f t="shared" si="3"/>
        <v>0</v>
      </c>
      <c r="AI34" s="106"/>
      <c r="AJ34" s="114"/>
      <c r="AK34" s="111"/>
      <c r="AN34" s="2"/>
      <c r="AP34" s="2"/>
      <c r="AU34" s="71" t="s">
        <v>403</v>
      </c>
      <c r="AV34" s="2"/>
      <c r="AW34" s="2">
        <v>40.29</v>
      </c>
      <c r="AX34" s="5">
        <v>32</v>
      </c>
      <c r="AY34" s="5">
        <v>0</v>
      </c>
      <c r="AZ34" s="309">
        <f>Elektrolisis!$Q$12</f>
        <v>1</v>
      </c>
      <c r="BA34" s="314" t="str">
        <f>IF(AND(C34&lt;&gt;"HF",C34&lt;&gt;"H3PO4",AY34&gt;0),AY34*Elektrolisis!$Q$13,IF(AND(C34="HF",AY34&gt;0),(Elektrolisis!$Q$13*0.0006)^0.5,IF(AND(C34="H3PO4",AY34&gt;0),(Elektrolisis!$Q$13*0.00075)^0.5,"")))</f>
        <v/>
      </c>
      <c r="BB34" s="5">
        <v>0</v>
      </c>
      <c r="BC34" s="310" t="str">
        <f>IF(AX34=Elektrolisis!$M$7,IF(BB34=1,-LOG(BA34),IF(BB34=2,14+LOG(BA34),7)),"")</f>
        <v/>
      </c>
      <c r="BD34" s="313" t="str">
        <f>IF(AX34=Elektrolisis!$M$7,(Elektrolisis!$Q$14*Elektrolisis!$Q$15)/(96500*REAKSI!R34*REAKSI!AZ34),"")</f>
        <v/>
      </c>
      <c r="BE34" s="312" t="str">
        <f>IF(AX34=Elektrolisis!$M$7,IF(BA34&gt;BD34,BA34-BD34,IF(BA34&lt;=BD34,0.0000001)),"")</f>
        <v/>
      </c>
      <c r="BF34" s="310" t="str">
        <f>IF(AX34=Elektrolisis!$M$7,IF(BB34=1,-LOG(BE34),IF(BB34=2,14+LOG(BE34),7)),"")</f>
        <v/>
      </c>
    </row>
    <row r="35" spans="1:58" ht="18.95" customHeight="1" x14ac:dyDescent="0.35">
      <c r="A35" s="10"/>
      <c r="B35" s="4">
        <v>33</v>
      </c>
      <c r="C35" s="4" t="s">
        <v>63</v>
      </c>
      <c r="E35" s="256" t="s">
        <v>612</v>
      </c>
      <c r="F35" s="71"/>
      <c r="H35" s="71" t="s">
        <v>64</v>
      </c>
      <c r="I35" s="71" t="s">
        <v>437</v>
      </c>
      <c r="J35" s="71" t="s">
        <v>450</v>
      </c>
      <c r="K35" s="221" t="s">
        <v>470</v>
      </c>
      <c r="L35" s="2"/>
      <c r="M35" s="4" t="s">
        <v>232</v>
      </c>
      <c r="N35" s="4">
        <v>4</v>
      </c>
      <c r="O35" s="4">
        <v>32</v>
      </c>
      <c r="P35" s="4"/>
      <c r="Q35" s="92" t="s">
        <v>202</v>
      </c>
      <c r="R35" s="4">
        <v>1</v>
      </c>
      <c r="S35" s="4">
        <v>107.9</v>
      </c>
      <c r="T35" s="4"/>
      <c r="U35" s="4">
        <f t="shared" si="2"/>
        <v>0</v>
      </c>
      <c r="V35" s="4">
        <v>33</v>
      </c>
      <c r="W35" s="2"/>
      <c r="X35" s="2"/>
      <c r="Y35" s="2"/>
      <c r="Z35" s="2"/>
      <c r="AA35" s="2"/>
      <c r="AB35" s="2"/>
      <c r="AC35" s="273" t="s">
        <v>252</v>
      </c>
      <c r="AD35" s="273" t="s">
        <v>243</v>
      </c>
      <c r="AE35" s="273" t="s">
        <v>255</v>
      </c>
      <c r="AF35" s="273" t="s">
        <v>68</v>
      </c>
      <c r="AG35" s="109"/>
      <c r="AH35" s="106">
        <f t="shared" si="3"/>
        <v>0</v>
      </c>
      <c r="AI35" s="106"/>
      <c r="AJ35" s="114"/>
      <c r="AK35" s="111"/>
      <c r="AN35" s="2"/>
      <c r="AP35" s="2"/>
      <c r="AU35" s="71" t="s">
        <v>709</v>
      </c>
      <c r="AV35" s="2"/>
      <c r="AW35" s="2">
        <v>231.71</v>
      </c>
      <c r="AX35" s="5">
        <v>33</v>
      </c>
      <c r="AY35" s="5">
        <v>0</v>
      </c>
      <c r="AZ35" s="309">
        <f>Elektrolisis!$Q$12</f>
        <v>1</v>
      </c>
      <c r="BA35" s="314" t="str">
        <f>IF(AND(C35&lt;&gt;"HF",C35&lt;&gt;"H3PO4",AY35&gt;0),AY35*Elektrolisis!$Q$13,IF(AND(C35="HF",AY35&gt;0),(Elektrolisis!$Q$13*0.0006)^0.5,IF(AND(C35="H3PO4",AY35&gt;0),(Elektrolisis!$Q$13*0.00075)^0.5,"")))</f>
        <v/>
      </c>
      <c r="BB35" s="5">
        <v>0</v>
      </c>
      <c r="BC35" s="310" t="str">
        <f>IF(AX35=Elektrolisis!$M$7,IF(BB35=1,-LOG(BA35),IF(BB35=2,14+LOG(BA35),7)),"")</f>
        <v/>
      </c>
      <c r="BD35" s="313" t="str">
        <f>IF(AX35=Elektrolisis!$M$7,(Elektrolisis!$Q$14*Elektrolisis!$Q$15)/(96500*REAKSI!R35*REAKSI!AZ35),"")</f>
        <v/>
      </c>
      <c r="BE35" s="312" t="str">
        <f>IF(AX35=Elektrolisis!$M$7,IF(BA35&gt;BD35,BA35-BD35,IF(BA35&lt;=BD35,0.0000001)),"")</f>
        <v/>
      </c>
      <c r="BF35" s="310" t="str">
        <f>IF(AX35=Elektrolisis!$M$7,IF(BB35=1,-LOG(BE35),IF(BB35=2,14+LOG(BE35),7)),"")</f>
        <v/>
      </c>
    </row>
    <row r="36" spans="1:58" ht="18.95" customHeight="1" x14ac:dyDescent="0.35">
      <c r="A36" s="10"/>
      <c r="B36" s="4">
        <v>34</v>
      </c>
      <c r="C36" s="4" t="s">
        <v>12</v>
      </c>
      <c r="E36" s="256" t="s">
        <v>613</v>
      </c>
      <c r="F36" s="71"/>
      <c r="H36" s="71" t="s">
        <v>33</v>
      </c>
      <c r="I36" s="71" t="s">
        <v>437</v>
      </c>
      <c r="J36" s="71" t="s">
        <v>447</v>
      </c>
      <c r="K36" s="221" t="s">
        <v>469</v>
      </c>
      <c r="L36" s="2"/>
      <c r="M36" s="4" t="s">
        <v>232</v>
      </c>
      <c r="N36" s="4">
        <v>4</v>
      </c>
      <c r="O36" s="4">
        <v>32</v>
      </c>
      <c r="P36" s="4"/>
      <c r="Q36" s="92" t="s">
        <v>203</v>
      </c>
      <c r="R36" s="4">
        <v>2</v>
      </c>
      <c r="S36" s="4">
        <v>112.4</v>
      </c>
      <c r="T36" s="4"/>
      <c r="U36" s="4">
        <f t="shared" si="2"/>
        <v>0</v>
      </c>
      <c r="V36" s="4">
        <v>34</v>
      </c>
      <c r="W36" s="2"/>
      <c r="X36" s="2"/>
      <c r="Y36" s="2"/>
      <c r="Z36" s="2"/>
      <c r="AA36" s="2"/>
      <c r="AB36" s="2"/>
      <c r="AC36" s="273" t="s">
        <v>252</v>
      </c>
      <c r="AD36" s="273" t="s">
        <v>243</v>
      </c>
      <c r="AE36" s="273" t="s">
        <v>254</v>
      </c>
      <c r="AF36" s="273" t="s">
        <v>51</v>
      </c>
      <c r="AG36" s="109"/>
      <c r="AH36" s="106">
        <f t="shared" si="3"/>
        <v>0</v>
      </c>
      <c r="AI36" s="106"/>
      <c r="AJ36" s="114"/>
      <c r="AK36" s="111"/>
      <c r="AN36" s="2"/>
      <c r="AP36" s="2"/>
      <c r="AU36" s="71" t="s">
        <v>406</v>
      </c>
      <c r="AV36" s="2"/>
      <c r="AW36" s="2">
        <v>128.38999999999999</v>
      </c>
      <c r="AX36" s="5">
        <v>34</v>
      </c>
      <c r="AY36" s="5">
        <v>0</v>
      </c>
      <c r="AZ36" s="309">
        <f>Elektrolisis!$Q$12</f>
        <v>1</v>
      </c>
      <c r="BA36" s="314" t="str">
        <f>IF(AND(C36&lt;&gt;"HF",C36&lt;&gt;"H3PO4",AY36&gt;0),AY36*Elektrolisis!$Q$13,IF(AND(C36="HF",AY36&gt;0),(Elektrolisis!$Q$13*0.0006)^0.5,IF(AND(C36="H3PO4",AY36&gt;0),(Elektrolisis!$Q$13*0.00075)^0.5,"")))</f>
        <v/>
      </c>
      <c r="BB36" s="5">
        <v>0</v>
      </c>
      <c r="BC36" s="310" t="str">
        <f>IF(AX36=Elektrolisis!$M$7,IF(BB36=1,-LOG(BA36),IF(BB36=2,14+LOG(BA36),7)),"")</f>
        <v/>
      </c>
      <c r="BD36" s="313" t="str">
        <f>IF(AX36=Elektrolisis!$M$7,(Elektrolisis!$Q$14*Elektrolisis!$Q$15)/(96500*REAKSI!R36*REAKSI!AZ36),"")</f>
        <v/>
      </c>
      <c r="BE36" s="312" t="str">
        <f>IF(AX36=Elektrolisis!$M$7,IF(BA36&gt;BD36,BA36-BD36,IF(BA36&lt;=BD36,0.0000001)),"")</f>
        <v/>
      </c>
      <c r="BF36" s="310" t="str">
        <f>IF(AX36=Elektrolisis!$M$7,IF(BB36=1,-LOG(BE36),IF(BB36=2,14+LOG(BE36),7)),"")</f>
        <v/>
      </c>
    </row>
    <row r="37" spans="1:58" ht="18.95" customHeight="1" x14ac:dyDescent="0.35">
      <c r="A37" s="10"/>
      <c r="B37" s="4">
        <v>35</v>
      </c>
      <c r="C37" s="4" t="s">
        <v>52</v>
      </c>
      <c r="E37" s="256" t="s">
        <v>614</v>
      </c>
      <c r="F37" s="71"/>
      <c r="H37" s="71" t="s">
        <v>53</v>
      </c>
      <c r="I37" s="71" t="s">
        <v>437</v>
      </c>
      <c r="J37" s="71" t="s">
        <v>451</v>
      </c>
      <c r="K37" s="221" t="s">
        <v>468</v>
      </c>
      <c r="L37" s="2"/>
      <c r="M37" s="4" t="s">
        <v>232</v>
      </c>
      <c r="N37" s="4">
        <v>4</v>
      </c>
      <c r="O37" s="4">
        <v>32</v>
      </c>
      <c r="P37" s="4"/>
      <c r="Q37" s="92" t="s">
        <v>204</v>
      </c>
      <c r="R37" s="4">
        <v>3</v>
      </c>
      <c r="S37" s="4">
        <v>26.98</v>
      </c>
      <c r="T37" s="4"/>
      <c r="U37" s="4">
        <f t="shared" si="2"/>
        <v>0</v>
      </c>
      <c r="V37" s="4">
        <v>35</v>
      </c>
      <c r="W37" s="2"/>
      <c r="X37" s="2"/>
      <c r="Y37" s="2"/>
      <c r="Z37" s="2"/>
      <c r="AA37" s="2"/>
      <c r="AB37" s="2"/>
      <c r="AC37" s="273" t="s">
        <v>252</v>
      </c>
      <c r="AD37" s="273" t="s">
        <v>243</v>
      </c>
      <c r="AE37" s="273" t="s">
        <v>256</v>
      </c>
      <c r="AF37" s="273" t="s">
        <v>54</v>
      </c>
      <c r="AG37" s="109"/>
      <c r="AH37" s="106">
        <f t="shared" si="3"/>
        <v>0</v>
      </c>
      <c r="AI37" s="106"/>
      <c r="AJ37" s="114"/>
      <c r="AK37" s="111"/>
      <c r="AN37" s="2"/>
      <c r="AP37" s="2"/>
      <c r="AU37" s="71" t="s">
        <v>405</v>
      </c>
      <c r="AV37" s="2"/>
      <c r="AW37" s="2">
        <v>101.93</v>
      </c>
      <c r="AX37" s="5">
        <v>35</v>
      </c>
      <c r="AY37" s="5">
        <v>0</v>
      </c>
      <c r="AZ37" s="309">
        <f>Elektrolisis!$Q$12</f>
        <v>1</v>
      </c>
      <c r="BA37" s="314" t="str">
        <f>IF(AND(C37&lt;&gt;"HF",C37&lt;&gt;"H3PO4",AY37&gt;0),AY37*Elektrolisis!$Q$13,IF(AND(C37="HF",AY37&gt;0),(Elektrolisis!$Q$13*0.0006)^0.5,IF(AND(C37="H3PO4",AY37&gt;0),(Elektrolisis!$Q$13*0.00075)^0.5,"")))</f>
        <v/>
      </c>
      <c r="BB37" s="5">
        <v>0</v>
      </c>
      <c r="BC37" s="310" t="str">
        <f>IF(AX37=Elektrolisis!$M$7,IF(BB37=1,-LOG(BA37),IF(BB37=2,14+LOG(BA37),7)),"")</f>
        <v/>
      </c>
      <c r="BD37" s="313" t="str">
        <f>IF(AX37=Elektrolisis!$M$7,(Elektrolisis!$Q$14*Elektrolisis!$Q$15)/(96500*REAKSI!R37*REAKSI!AZ37),"")</f>
        <v/>
      </c>
      <c r="BE37" s="312" t="str">
        <f>IF(AX37=Elektrolisis!$M$7,IF(BA37&gt;BD37,BA37-BD37,IF(BA37&lt;=BD37,0.0000001)),"")</f>
        <v/>
      </c>
      <c r="BF37" s="310" t="str">
        <f>IF(AX37=Elektrolisis!$M$7,IF(BB37=1,-LOG(BE37),IF(BB37=2,14+LOG(BE37),7)),"")</f>
        <v/>
      </c>
    </row>
    <row r="38" spans="1:58" ht="18.95" customHeight="1" x14ac:dyDescent="0.35">
      <c r="A38" s="10"/>
      <c r="B38" s="4">
        <v>36</v>
      </c>
      <c r="C38" s="4" t="s">
        <v>11</v>
      </c>
      <c r="E38" s="256" t="s">
        <v>615</v>
      </c>
      <c r="F38" s="71"/>
      <c r="H38" s="71" t="s">
        <v>34</v>
      </c>
      <c r="I38" s="71" t="s">
        <v>437</v>
      </c>
      <c r="J38" s="71" t="s">
        <v>444</v>
      </c>
      <c r="K38" s="221" t="s">
        <v>467</v>
      </c>
      <c r="L38" s="2"/>
      <c r="M38" s="4" t="s">
        <v>232</v>
      </c>
      <c r="N38" s="4">
        <v>4</v>
      </c>
      <c r="O38" s="4">
        <v>32</v>
      </c>
      <c r="P38" s="4"/>
      <c r="Q38" s="92" t="s">
        <v>201</v>
      </c>
      <c r="R38" s="4">
        <v>2</v>
      </c>
      <c r="S38" s="4">
        <v>65.39</v>
      </c>
      <c r="T38" s="4"/>
      <c r="U38" s="4">
        <f t="shared" si="2"/>
        <v>0</v>
      </c>
      <c r="V38" s="4">
        <v>36</v>
      </c>
      <c r="W38" s="2"/>
      <c r="X38" s="2"/>
      <c r="Y38" s="2"/>
      <c r="Z38" s="2"/>
      <c r="AA38" s="2"/>
      <c r="AB38" s="2"/>
      <c r="AC38" s="273" t="s">
        <v>252</v>
      </c>
      <c r="AD38" s="273" t="s">
        <v>243</v>
      </c>
      <c r="AE38" s="273" t="s">
        <v>253</v>
      </c>
      <c r="AF38" s="273" t="s">
        <v>50</v>
      </c>
      <c r="AG38" s="109"/>
      <c r="AH38" s="106">
        <f t="shared" si="3"/>
        <v>0</v>
      </c>
      <c r="AI38" s="106"/>
      <c r="AJ38" s="114"/>
      <c r="AK38" s="111"/>
      <c r="AN38" s="2"/>
      <c r="AP38" s="2"/>
      <c r="AU38" s="71" t="s">
        <v>404</v>
      </c>
      <c r="AV38" s="2"/>
      <c r="AW38" s="2">
        <v>81.38</v>
      </c>
      <c r="AX38" s="5">
        <v>36</v>
      </c>
      <c r="AY38" s="5">
        <v>0</v>
      </c>
      <c r="AZ38" s="309">
        <f>Elektrolisis!$Q$12</f>
        <v>1</v>
      </c>
      <c r="BA38" s="314" t="str">
        <f>IF(AND(C38&lt;&gt;"HF",C38&lt;&gt;"H3PO4",AY38&gt;0),AY38*Elektrolisis!$Q$13,IF(AND(C38="HF",AY38&gt;0),(Elektrolisis!$Q$13*0.0006)^0.5,IF(AND(C38="H3PO4",AY38&gt;0),(Elektrolisis!$Q$13*0.00075)^0.5,"")))</f>
        <v/>
      </c>
      <c r="BB38" s="5">
        <v>0</v>
      </c>
      <c r="BC38" s="310" t="str">
        <f>IF(AX38=Elektrolisis!$M$7,IF(BB38=1,-LOG(BA38),IF(BB38=2,14+LOG(BA38),7)),"")</f>
        <v/>
      </c>
      <c r="BD38" s="313" t="str">
        <f>IF(AX38=Elektrolisis!$M$7,(Elektrolisis!$Q$14*Elektrolisis!$Q$15)/(96500*REAKSI!R38*REAKSI!AZ38),"")</f>
        <v/>
      </c>
      <c r="BE38" s="312" t="str">
        <f>IF(AX38=Elektrolisis!$M$7,IF(BA38&gt;BD38,BA38-BD38,IF(BA38&lt;=BD38,0.0000001)),"")</f>
        <v/>
      </c>
      <c r="BF38" s="310" t="str">
        <f>IF(AX38=Elektrolisis!$M$7,IF(BB38=1,-LOG(BE38),IF(BB38=2,14+LOG(BE38),7)),"")</f>
        <v/>
      </c>
    </row>
    <row r="39" spans="1:58" ht="18.95" customHeight="1" x14ac:dyDescent="0.35">
      <c r="A39">
        <v>1</v>
      </c>
      <c r="B39" s="160">
        <v>37</v>
      </c>
      <c r="C39" s="270" t="s">
        <v>5</v>
      </c>
      <c r="E39" s="256" t="s">
        <v>67</v>
      </c>
      <c r="F39" s="190" t="s">
        <v>333</v>
      </c>
      <c r="H39" s="71" t="s">
        <v>21</v>
      </c>
      <c r="I39" s="71" t="s">
        <v>436</v>
      </c>
      <c r="J39" s="71" t="s">
        <v>439</v>
      </c>
      <c r="K39" s="221" t="s">
        <v>460</v>
      </c>
      <c r="L39" s="2"/>
      <c r="M39" s="4" t="s">
        <v>231</v>
      </c>
      <c r="N39" s="4">
        <v>2</v>
      </c>
      <c r="O39" s="4">
        <v>71</v>
      </c>
      <c r="P39" s="4"/>
      <c r="Q39" s="92" t="s">
        <v>236</v>
      </c>
      <c r="R39" s="4">
        <v>2</v>
      </c>
      <c r="S39" s="4">
        <v>2</v>
      </c>
      <c r="T39" s="4" t="s">
        <v>210</v>
      </c>
      <c r="U39" s="4">
        <f>IF(P39&amp;T39="[H+] =",1,IF(P39&amp;T39="[OH-] =",2,0))</f>
        <v>1</v>
      </c>
      <c r="V39" s="4">
        <v>1</v>
      </c>
      <c r="W39" s="2" t="s">
        <v>72</v>
      </c>
      <c r="X39" s="2" t="s">
        <v>77</v>
      </c>
      <c r="Y39" s="2"/>
      <c r="Z39" s="2" t="s">
        <v>73</v>
      </c>
      <c r="AA39" s="2" t="s">
        <v>74</v>
      </c>
      <c r="AB39" s="2"/>
      <c r="AC39" s="273" t="s">
        <v>238</v>
      </c>
      <c r="AD39" s="273" t="s">
        <v>239</v>
      </c>
      <c r="AE39" s="273" t="s">
        <v>240</v>
      </c>
      <c r="AF39" s="273" t="s">
        <v>241</v>
      </c>
      <c r="AG39" s="109"/>
      <c r="AH39" s="106">
        <f>U39</f>
        <v>1</v>
      </c>
      <c r="AI39" s="106"/>
      <c r="AJ39" s="114"/>
      <c r="AK39" s="111"/>
      <c r="AN39" s="2"/>
      <c r="AP39" s="2"/>
      <c r="AU39" s="71" t="s">
        <v>459</v>
      </c>
      <c r="AV39" s="86"/>
      <c r="AW39" s="86"/>
      <c r="AX39" s="5">
        <v>37</v>
      </c>
      <c r="AY39" s="5">
        <v>1</v>
      </c>
      <c r="AZ39" s="309">
        <f>Elektrolisis!$Q$12</f>
        <v>1</v>
      </c>
      <c r="BA39" s="314">
        <f>IF(AND(C39&lt;&gt;"HF",C39&lt;&gt;"H3PO4",AY39&gt;0),AY39*Elektrolisis!$Q$13,IF(AND(C39="HF",AY39&gt;0),(Elektrolisis!$Q$13*0.0006)^0.5,IF(AND(C39="H3PO4",AY39&gt;0),(Elektrolisis!$Q$13*0.00075)^0.5,"")))</f>
        <v>1</v>
      </c>
      <c r="BB39" s="5">
        <v>1</v>
      </c>
      <c r="BC39" s="310" t="str">
        <f>IF(AX39=Elektrolisis!$M$7,IF(BB39=1,-LOG(BA39),IF(BB39=2,14+LOG(BA39),7)),"")</f>
        <v/>
      </c>
      <c r="BD39" s="313" t="str">
        <f>IF(AX39=Elektrolisis!$M$7,(Elektrolisis!$Q$14*Elektrolisis!$Q$15)/(96500*REAKSI!R39*REAKSI!AZ39),"")</f>
        <v/>
      </c>
      <c r="BE39" s="312" t="str">
        <f>IF(AX39=Elektrolisis!$M$7,IF(BA39&gt;BD39,BA39-BD39,IF(BA39&lt;=BD39,0.0000001)),"")</f>
        <v/>
      </c>
      <c r="BF39" s="310" t="str">
        <f>IF(AX39=Elektrolisis!$M$7,IF(BB39=1,-LOG(BE39),IF(BB39=2,14+LOG(BE39),7)),"")</f>
        <v/>
      </c>
    </row>
    <row r="40" spans="1:58" ht="18.95" customHeight="1" x14ac:dyDescent="0.35">
      <c r="A40">
        <v>2</v>
      </c>
      <c r="B40" s="160">
        <v>38</v>
      </c>
      <c r="C40" s="270" t="s">
        <v>170</v>
      </c>
      <c r="E40" s="256" t="s">
        <v>616</v>
      </c>
      <c r="F40" s="71"/>
      <c r="H40" s="71" t="s">
        <v>108</v>
      </c>
      <c r="I40" s="71" t="s">
        <v>435</v>
      </c>
      <c r="J40" s="71" t="s">
        <v>439</v>
      </c>
      <c r="K40" s="221" t="s">
        <v>461</v>
      </c>
      <c r="L40" s="2"/>
      <c r="M40" s="4" t="s">
        <v>234</v>
      </c>
      <c r="N40" s="4">
        <v>2</v>
      </c>
      <c r="O40" s="4">
        <v>159.80000000000001</v>
      </c>
      <c r="P40" s="4"/>
      <c r="Q40" s="92" t="s">
        <v>236</v>
      </c>
      <c r="R40" s="4">
        <v>2</v>
      </c>
      <c r="S40" s="4">
        <v>2</v>
      </c>
      <c r="T40" s="4" t="s">
        <v>210</v>
      </c>
      <c r="U40" s="4">
        <f t="shared" ref="U40" si="4">IF(P40&amp;T40="[H+] =",1,IF(P40&amp;T40="[OH-] =",2,0))</f>
        <v>1</v>
      </c>
      <c r="V40" s="4">
        <v>37</v>
      </c>
      <c r="W40" s="2" t="s">
        <v>72</v>
      </c>
      <c r="X40" s="2" t="s">
        <v>111</v>
      </c>
      <c r="Y40" s="2"/>
      <c r="Z40" s="2" t="s">
        <v>73</v>
      </c>
      <c r="AA40" s="2" t="s">
        <v>74</v>
      </c>
      <c r="AB40" s="2"/>
      <c r="AC40" s="273" t="s">
        <v>257</v>
      </c>
      <c r="AD40" s="273" t="s">
        <v>258</v>
      </c>
      <c r="AE40" s="273" t="s">
        <v>240</v>
      </c>
      <c r="AF40" s="273" t="s">
        <v>241</v>
      </c>
      <c r="AG40" s="109"/>
      <c r="AH40" s="106">
        <f t="shared" ref="AH40" si="5">U40</f>
        <v>1</v>
      </c>
      <c r="AI40" s="106"/>
      <c r="AJ40" s="114"/>
      <c r="AK40" s="111"/>
      <c r="AN40" s="2"/>
      <c r="AP40" s="2"/>
      <c r="AU40" s="71" t="s">
        <v>537</v>
      </c>
      <c r="AV40" s="2"/>
      <c r="AW40" s="2"/>
      <c r="AX40" s="5">
        <v>38</v>
      </c>
      <c r="AY40" s="5">
        <v>1</v>
      </c>
      <c r="AZ40" s="309">
        <f>Elektrolisis!$Q$12</f>
        <v>1</v>
      </c>
      <c r="BA40" s="314">
        <f>IF(AND(C40&lt;&gt;"HF",C40&lt;&gt;"H3PO4",AY40&gt;0),AY40*Elektrolisis!$Q$13,IF(AND(C40="HF",AY40&gt;0),(Elektrolisis!$Q$13*0.0006)^0.5,IF(AND(C40="H3PO4",AY40&gt;0),(Elektrolisis!$Q$13*0.00075)^0.5,"")))</f>
        <v>1</v>
      </c>
      <c r="BB40" s="5">
        <v>1</v>
      </c>
      <c r="BC40" s="310" t="str">
        <f>IF(AX40=Elektrolisis!$M$7,IF(BB40=1,-LOG(BA40),IF(BB40=2,14+LOG(BA40),7)),"")</f>
        <v/>
      </c>
      <c r="BD40" s="313" t="str">
        <f>IF(AX40=Elektrolisis!$M$7,(Elektrolisis!$Q$14*Elektrolisis!$Q$15)/(96500*REAKSI!R40*REAKSI!AZ40),"")</f>
        <v/>
      </c>
      <c r="BE40" s="312" t="str">
        <f>IF(AX40=Elektrolisis!$M$7,IF(BA40&gt;BD40,BA40-BD40,IF(BA40&lt;=BD40,0.0000001)),"")</f>
        <v/>
      </c>
      <c r="BF40" s="310" t="str">
        <f>IF(AX40=Elektrolisis!$M$7,IF(BB40=1,-LOG(BE40),IF(BB40=2,14+LOG(BE40),7)),"")</f>
        <v/>
      </c>
    </row>
    <row r="41" spans="1:58" ht="18.95" customHeight="1" x14ac:dyDescent="0.35">
      <c r="A41">
        <v>3</v>
      </c>
      <c r="B41" s="160">
        <v>39</v>
      </c>
      <c r="C41" s="270" t="s">
        <v>172</v>
      </c>
      <c r="E41" s="256" t="s">
        <v>617</v>
      </c>
      <c r="F41" s="71" t="s">
        <v>338</v>
      </c>
      <c r="H41" s="71" t="s">
        <v>221</v>
      </c>
      <c r="I41" s="71" t="s">
        <v>432</v>
      </c>
      <c r="J41" s="71" t="s">
        <v>439</v>
      </c>
      <c r="K41" s="221" t="s">
        <v>413</v>
      </c>
      <c r="L41" s="2"/>
      <c r="M41" s="4" t="s">
        <v>232</v>
      </c>
      <c r="N41" s="4">
        <v>4</v>
      </c>
      <c r="O41" s="4">
        <v>32</v>
      </c>
      <c r="P41" s="4"/>
      <c r="Q41" s="92" t="s">
        <v>236</v>
      </c>
      <c r="R41" s="4">
        <v>2</v>
      </c>
      <c r="S41" s="4">
        <v>2</v>
      </c>
      <c r="T41" s="4" t="s">
        <v>210</v>
      </c>
      <c r="U41" s="4">
        <f t="shared" si="2"/>
        <v>1</v>
      </c>
      <c r="V41" s="4">
        <v>39</v>
      </c>
      <c r="W41" s="2" t="s">
        <v>72</v>
      </c>
      <c r="X41" s="2" t="s">
        <v>420</v>
      </c>
      <c r="Y41" s="2"/>
      <c r="Z41" s="2" t="s">
        <v>73</v>
      </c>
      <c r="AA41" s="2" t="s">
        <v>74</v>
      </c>
      <c r="AB41" s="2"/>
      <c r="AC41" s="273" t="s">
        <v>242</v>
      </c>
      <c r="AD41" s="273" t="s">
        <v>243</v>
      </c>
      <c r="AE41" s="273" t="s">
        <v>240</v>
      </c>
      <c r="AF41" s="273" t="s">
        <v>241</v>
      </c>
      <c r="AG41" s="109"/>
      <c r="AH41" s="106">
        <f t="shared" si="3"/>
        <v>1</v>
      </c>
      <c r="AI41" s="106"/>
      <c r="AJ41" s="114"/>
      <c r="AK41" s="111"/>
      <c r="AN41" s="2"/>
      <c r="AP41" s="2"/>
      <c r="AU41" s="71" t="s">
        <v>538</v>
      </c>
      <c r="AV41" s="2"/>
      <c r="AW41" s="2"/>
      <c r="AX41" s="5">
        <v>39</v>
      </c>
      <c r="AY41" s="5">
        <v>1</v>
      </c>
      <c r="AZ41" s="309">
        <f>Elektrolisis!$Q$12</f>
        <v>1</v>
      </c>
      <c r="BA41" s="314">
        <f>IF(AND(C41&lt;&gt;"HF",C41&lt;&gt;"H3PO4",AY41&gt;0),AY41*Elektrolisis!$Q$13,IF(AND(C41="HF",AY41&gt;0),(Elektrolisis!$Q$13*0.0006)^0.5,IF(AND(C41="H3PO4",AY41&gt;0),(Elektrolisis!$Q$13*0.00075)^0.5,"")))</f>
        <v>1</v>
      </c>
      <c r="BB41" s="5">
        <v>1</v>
      </c>
      <c r="BC41" s="310" t="str">
        <f>IF(AX41=Elektrolisis!$M$7,IF(BB41=1,-LOG(BA41),IF(BB41=2,14+LOG(BA41),7)),"")</f>
        <v/>
      </c>
      <c r="BD41" s="313" t="str">
        <f>IF(AX41=Elektrolisis!$M$7,(Elektrolisis!$Q$14*Elektrolisis!$Q$15)/(96500*REAKSI!R41*REAKSI!AZ41),"")</f>
        <v/>
      </c>
      <c r="BE41" s="312" t="str">
        <f>IF(AX41=Elektrolisis!$M$7,IF(BA41&gt;BD41,BA41-BD41,IF(BA41&lt;=BD41,0.0000001)),"")</f>
        <v/>
      </c>
      <c r="BF41" s="310" t="str">
        <f>IF(AX41=Elektrolisis!$M$7,IF(BB41=1,-LOG(BE41),IF(BB41=2,14+LOG(BE41),7)),"")</f>
        <v/>
      </c>
    </row>
    <row r="42" spans="1:58" ht="18.95" customHeight="1" x14ac:dyDescent="0.35">
      <c r="A42">
        <v>4</v>
      </c>
      <c r="B42" s="160">
        <v>40</v>
      </c>
      <c r="C42" s="270" t="s">
        <v>173</v>
      </c>
      <c r="E42" s="256" t="s">
        <v>618</v>
      </c>
      <c r="F42" s="71" t="s">
        <v>338</v>
      </c>
      <c r="H42" s="71" t="s">
        <v>595</v>
      </c>
      <c r="I42" s="71" t="s">
        <v>432</v>
      </c>
      <c r="J42" s="71" t="s">
        <v>439</v>
      </c>
      <c r="K42" s="221" t="s">
        <v>413</v>
      </c>
      <c r="L42" s="2"/>
      <c r="M42" s="4" t="s">
        <v>232</v>
      </c>
      <c r="N42" s="4">
        <v>4</v>
      </c>
      <c r="O42" s="4">
        <v>32</v>
      </c>
      <c r="P42" s="4"/>
      <c r="Q42" s="92" t="s">
        <v>236</v>
      </c>
      <c r="R42" s="4">
        <v>2</v>
      </c>
      <c r="S42" s="4">
        <v>2</v>
      </c>
      <c r="T42" s="4" t="s">
        <v>210</v>
      </c>
      <c r="U42" s="4">
        <f t="shared" si="2"/>
        <v>1</v>
      </c>
      <c r="V42" s="4">
        <v>40</v>
      </c>
      <c r="W42" s="2" t="s">
        <v>72</v>
      </c>
      <c r="X42" s="2" t="s">
        <v>421</v>
      </c>
      <c r="Y42" s="2"/>
      <c r="Z42" s="2" t="s">
        <v>73</v>
      </c>
      <c r="AA42" s="2" t="s">
        <v>74</v>
      </c>
      <c r="AB42" s="2"/>
      <c r="AC42" s="273" t="s">
        <v>242</v>
      </c>
      <c r="AD42" s="273" t="s">
        <v>243</v>
      </c>
      <c r="AE42" s="273" t="s">
        <v>240</v>
      </c>
      <c r="AF42" s="273" t="s">
        <v>241</v>
      </c>
      <c r="AG42" s="109"/>
      <c r="AH42" s="106">
        <f t="shared" si="3"/>
        <v>1</v>
      </c>
      <c r="AI42" s="106"/>
      <c r="AJ42" s="114"/>
      <c r="AK42" s="111"/>
      <c r="AN42" s="2"/>
      <c r="AP42" s="2"/>
      <c r="AU42" s="71" t="s">
        <v>539</v>
      </c>
      <c r="AV42" s="2"/>
      <c r="AW42" s="2"/>
      <c r="AX42" s="5">
        <v>40</v>
      </c>
      <c r="AY42" s="5">
        <v>3</v>
      </c>
      <c r="AZ42" s="309">
        <f>Elektrolisis!$Q$12</f>
        <v>1</v>
      </c>
      <c r="BA42" s="314">
        <f>IF(AND(C42&lt;&gt;"HF",C42&lt;&gt;"H3PO4",AY42&gt;0),AY42*Elektrolisis!$Q$13,IF(AND(C42="HF",AY42&gt;0),(Elektrolisis!$Q$13*0.0006)^0.5,IF(AND(C42="H3PO4",AY42&gt;0),(Elektrolisis!$Q$13*0.00075)^0.5,"")))</f>
        <v>2.7386127875258306E-2</v>
      </c>
      <c r="BB42" s="5">
        <v>1</v>
      </c>
      <c r="BC42" s="310" t="str">
        <f>IF(AX42=Elektrolisis!$M$7,IF(BB42=1,-LOG(BA42),IF(BB42=2,14+LOG(BA42),7)),"")</f>
        <v/>
      </c>
      <c r="BD42" s="313" t="str">
        <f>IF(AX42=Elektrolisis!$M$7,(Elektrolisis!$Q$14*Elektrolisis!$Q$15)/(96500*REAKSI!R42*REAKSI!AZ42),"")</f>
        <v/>
      </c>
      <c r="BE42" s="312" t="str">
        <f>IF(AX42=Elektrolisis!$M$7,IF(BA42&gt;BD42,BA42-BD42,IF(BA42&lt;=BD42,0.0000001)),"")</f>
        <v/>
      </c>
      <c r="BF42" s="310" t="str">
        <f>IF(AX42=Elektrolisis!$M$7,IF(BB42=1,-LOG(BE42),IF(BB42=2,14+LOG(BE42),7)),"")</f>
        <v/>
      </c>
    </row>
    <row r="43" spans="1:58" ht="18.95" customHeight="1" x14ac:dyDescent="0.35">
      <c r="A43">
        <v>5</v>
      </c>
      <c r="B43" s="160">
        <v>41</v>
      </c>
      <c r="C43" s="270" t="s">
        <v>171</v>
      </c>
      <c r="E43" s="256" t="s">
        <v>619</v>
      </c>
      <c r="F43" s="71"/>
      <c r="H43" s="71" t="s">
        <v>109</v>
      </c>
      <c r="I43" s="71" t="s">
        <v>678</v>
      </c>
      <c r="J43" s="71" t="s">
        <v>439</v>
      </c>
      <c r="K43" s="221" t="s">
        <v>761</v>
      </c>
      <c r="L43" s="2"/>
      <c r="M43" s="4" t="s">
        <v>680</v>
      </c>
      <c r="N43" s="4">
        <v>2</v>
      </c>
      <c r="O43" s="4">
        <v>253.8</v>
      </c>
      <c r="P43" s="4"/>
      <c r="Q43" s="92" t="s">
        <v>236</v>
      </c>
      <c r="R43" s="4">
        <v>2</v>
      </c>
      <c r="S43" s="4">
        <v>2</v>
      </c>
      <c r="T43" s="4" t="s">
        <v>210</v>
      </c>
      <c r="U43" s="4">
        <f t="shared" si="2"/>
        <v>1</v>
      </c>
      <c r="V43" s="4">
        <v>38</v>
      </c>
      <c r="W43" s="2" t="s">
        <v>72</v>
      </c>
      <c r="X43" s="2" t="s">
        <v>101</v>
      </c>
      <c r="Y43" s="2"/>
      <c r="Z43" s="2" t="s">
        <v>73</v>
      </c>
      <c r="AA43" s="2" t="s">
        <v>74</v>
      </c>
      <c r="AB43" s="2"/>
      <c r="AC43" s="273" t="s">
        <v>244</v>
      </c>
      <c r="AD43" s="273" t="s">
        <v>251</v>
      </c>
      <c r="AE43" s="273" t="s">
        <v>240</v>
      </c>
      <c r="AF43" s="273" t="s">
        <v>241</v>
      </c>
      <c r="AG43" s="109"/>
      <c r="AH43" s="106">
        <f t="shared" si="3"/>
        <v>1</v>
      </c>
      <c r="AI43" s="106"/>
      <c r="AJ43" s="114"/>
      <c r="AK43" s="111"/>
      <c r="AN43" s="2"/>
      <c r="AP43" s="2"/>
      <c r="AU43" s="71" t="s">
        <v>762</v>
      </c>
      <c r="AV43" s="2"/>
      <c r="AW43" s="2"/>
      <c r="AX43" s="5">
        <v>41</v>
      </c>
      <c r="AY43" s="5">
        <v>1</v>
      </c>
      <c r="AZ43" s="309">
        <f>Elektrolisis!$Q$12</f>
        <v>1</v>
      </c>
      <c r="BA43" s="314">
        <f>IF(AND(C43&lt;&gt;"HF",C43&lt;&gt;"H3PO4",AY43&gt;0),AY43*Elektrolisis!$Q$13,IF(AND(C43="HF",AY43&gt;0),(Elektrolisis!$Q$13*0.0006)^0.5,IF(AND(C43="H3PO4",AY43&gt;0),(Elektrolisis!$Q$13*0.00075)^0.5,"")))</f>
        <v>1</v>
      </c>
      <c r="BB43" s="5">
        <v>1</v>
      </c>
      <c r="BC43" s="310" t="str">
        <f>IF(AX43=Elektrolisis!$M$7,IF(BB43=1,-LOG(BA43),IF(BB43=2,14+LOG(BA43),7)),"")</f>
        <v/>
      </c>
      <c r="BD43" s="313" t="str">
        <f>IF(AX43=Elektrolisis!$M$7,(Elektrolisis!$Q$14*Elektrolisis!$Q$15)/(96500*REAKSI!R43*REAKSI!AZ43),"")</f>
        <v/>
      </c>
      <c r="BE43" s="312" t="str">
        <f>IF(AX43=Elektrolisis!$M$7,IF(BA43&gt;BD43,BA43-BD43,IF(BA43&lt;=BD43,0.0000001)),"")</f>
        <v/>
      </c>
      <c r="BF43" s="310" t="str">
        <f>IF(AX43=Elektrolisis!$M$7,IF(BB43=1,-LOG(BE43),IF(BB43=2,14+LOG(BE43),7)),"")</f>
        <v/>
      </c>
    </row>
    <row r="44" spans="1:58" ht="18.95" customHeight="1" x14ac:dyDescent="0.35">
      <c r="A44">
        <v>6</v>
      </c>
      <c r="B44" s="160">
        <v>42</v>
      </c>
      <c r="C44" s="270" t="s">
        <v>175</v>
      </c>
      <c r="E44" s="256" t="s">
        <v>620</v>
      </c>
      <c r="F44" s="71" t="s">
        <v>104</v>
      </c>
      <c r="H44" s="71" t="s">
        <v>113</v>
      </c>
      <c r="I44" s="71" t="s">
        <v>436</v>
      </c>
      <c r="J44" s="71" t="s">
        <v>337</v>
      </c>
      <c r="K44" s="221" t="s">
        <v>424</v>
      </c>
      <c r="L44" s="2"/>
      <c r="M44" s="4" t="s">
        <v>231</v>
      </c>
      <c r="N44" s="4">
        <v>2</v>
      </c>
      <c r="O44" s="4">
        <v>71</v>
      </c>
      <c r="P44" s="4"/>
      <c r="Q44" s="92" t="s">
        <v>236</v>
      </c>
      <c r="R44" s="4">
        <v>2</v>
      </c>
      <c r="S44" s="4">
        <v>2</v>
      </c>
      <c r="T44" s="4"/>
      <c r="U44" s="4">
        <f t="shared" si="2"/>
        <v>0</v>
      </c>
      <c r="V44" s="4">
        <v>42</v>
      </c>
      <c r="W44" s="2" t="s">
        <v>72</v>
      </c>
      <c r="X44" s="2" t="s">
        <v>77</v>
      </c>
      <c r="Y44" s="2"/>
      <c r="Z44" s="2" t="s">
        <v>73</v>
      </c>
      <c r="AA44" s="2" t="s">
        <v>103</v>
      </c>
      <c r="AB44" s="2"/>
      <c r="AC44" s="273" t="s">
        <v>238</v>
      </c>
      <c r="AD44" s="273" t="s">
        <v>239</v>
      </c>
      <c r="AE44" s="273" t="s">
        <v>242</v>
      </c>
      <c r="AF44" s="273" t="s">
        <v>241</v>
      </c>
      <c r="AG44" s="109"/>
      <c r="AH44" s="106">
        <f t="shared" si="3"/>
        <v>0</v>
      </c>
      <c r="AI44" s="106"/>
      <c r="AJ44" s="114"/>
      <c r="AK44" s="111"/>
      <c r="AN44" s="2"/>
      <c r="AP44" s="2"/>
      <c r="AU44" s="71" t="s">
        <v>540</v>
      </c>
      <c r="AV44" s="2"/>
      <c r="AW44" s="2"/>
      <c r="AX44" s="5">
        <v>42</v>
      </c>
      <c r="AY44" s="5">
        <v>0</v>
      </c>
      <c r="AZ44" s="309">
        <f>Elektrolisis!$Q$12</f>
        <v>1</v>
      </c>
      <c r="BA44" s="314" t="str">
        <f>IF(AND(C44&lt;&gt;"HF",C44&lt;&gt;"H3PO4",AY44&gt;0),AY44*Elektrolisis!$Q$13,IF(AND(C44="HF",AY44&gt;0),(Elektrolisis!$Q$13*0.0006)^0.5,IF(AND(C44="H3PO4",AY44&gt;0),(Elektrolisis!$Q$13*0.00075)^0.5,"")))</f>
        <v/>
      </c>
      <c r="BB44" s="5">
        <v>0</v>
      </c>
      <c r="BC44" s="310" t="str">
        <f>IF(AX44=Elektrolisis!$M$7,IF(BB44=1,-LOG(BA44),IF(BB44=2,14+LOG(BA44),7)),"")</f>
        <v/>
      </c>
      <c r="BD44" s="313" t="str">
        <f>IF(AX44=Elektrolisis!$M$7,(Elektrolisis!$Q$14*Elektrolisis!$Q$15)/(96500*REAKSI!R44*REAKSI!AZ44),"")</f>
        <v/>
      </c>
      <c r="BE44" s="312" t="str">
        <f>IF(AX44=Elektrolisis!$M$7,IF(BA44&gt;BD44,BA44-BD44,IF(BA44&lt;=BD44,0.0000001)),"")</f>
        <v/>
      </c>
      <c r="BF44" s="310" t="str">
        <f>IF(AX44=Elektrolisis!$M$7,IF(BB44=1,-LOG(BE44),IF(BB44=2,14+LOG(BE44),7)),"")</f>
        <v/>
      </c>
    </row>
    <row r="45" spans="1:58" ht="18.95" customHeight="1" x14ac:dyDescent="0.35">
      <c r="A45">
        <v>7</v>
      </c>
      <c r="B45" s="160">
        <v>43</v>
      </c>
      <c r="C45" s="270" t="s">
        <v>222</v>
      </c>
      <c r="E45" s="256" t="s">
        <v>621</v>
      </c>
      <c r="F45" s="71" t="s">
        <v>104</v>
      </c>
      <c r="H45" s="71" t="s">
        <v>223</v>
      </c>
      <c r="I45" s="71" t="s">
        <v>435</v>
      </c>
      <c r="J45" s="71" t="s">
        <v>337</v>
      </c>
      <c r="K45" s="221" t="s">
        <v>425</v>
      </c>
      <c r="L45" s="2"/>
      <c r="M45" s="4" t="s">
        <v>234</v>
      </c>
      <c r="N45" s="4">
        <v>2</v>
      </c>
      <c r="O45" s="4">
        <v>159.80000000000001</v>
      </c>
      <c r="P45" s="4"/>
      <c r="Q45" s="92" t="s">
        <v>236</v>
      </c>
      <c r="R45" s="4">
        <v>2</v>
      </c>
      <c r="S45" s="4">
        <v>2</v>
      </c>
      <c r="T45" s="4"/>
      <c r="U45" s="4">
        <f t="shared" si="2"/>
        <v>0</v>
      </c>
      <c r="V45" s="4">
        <v>43</v>
      </c>
      <c r="W45" s="2" t="s">
        <v>72</v>
      </c>
      <c r="X45" s="2" t="s">
        <v>111</v>
      </c>
      <c r="Y45" s="2"/>
      <c r="Z45" s="2" t="s">
        <v>73</v>
      </c>
      <c r="AA45" s="2" t="s">
        <v>75</v>
      </c>
      <c r="AB45" s="2"/>
      <c r="AC45" s="273" t="s">
        <v>257</v>
      </c>
      <c r="AD45" s="273" t="s">
        <v>258</v>
      </c>
      <c r="AE45" s="273" t="s">
        <v>242</v>
      </c>
      <c r="AF45" s="273" t="s">
        <v>241</v>
      </c>
      <c r="AG45" s="109"/>
      <c r="AH45" s="106">
        <f t="shared" si="3"/>
        <v>0</v>
      </c>
      <c r="AI45" s="106"/>
      <c r="AJ45" s="114"/>
      <c r="AK45" s="111"/>
      <c r="AN45" s="2"/>
      <c r="AP45" s="2"/>
      <c r="AU45" s="71" t="s">
        <v>544</v>
      </c>
      <c r="AV45" s="2"/>
      <c r="AW45" s="2"/>
      <c r="AX45" s="5">
        <v>43</v>
      </c>
      <c r="AY45" s="5">
        <v>0</v>
      </c>
      <c r="AZ45" s="309">
        <f>Elektrolisis!$Q$12</f>
        <v>1</v>
      </c>
      <c r="BA45" s="314" t="str">
        <f>IF(AND(C45&lt;&gt;"HF",C45&lt;&gt;"H3PO4",AY45&gt;0),AY45*Elektrolisis!$Q$13,IF(AND(C45="HF",AY45&gt;0),(Elektrolisis!$Q$13*0.0006)^0.5,IF(AND(C45="H3PO4",AY45&gt;0),(Elektrolisis!$Q$13*0.00075)^0.5,"")))</f>
        <v/>
      </c>
      <c r="BB45" s="5">
        <v>0</v>
      </c>
      <c r="BC45" s="310" t="str">
        <f>IF(AX45=Elektrolisis!$M$7,IF(BB45=1,-LOG(BA45),IF(BB45=2,14+LOG(BA45),7)),"")</f>
        <v/>
      </c>
      <c r="BD45" s="313" t="str">
        <f>IF(AX45=Elektrolisis!$M$7,(Elektrolisis!$Q$14*Elektrolisis!$Q$15)/(96500*REAKSI!R45*REAKSI!AZ45),"")</f>
        <v/>
      </c>
      <c r="BE45" s="312" t="str">
        <f>IF(AX45=Elektrolisis!$M$7,IF(BA45&gt;BD45,BA45-BD45,IF(BA45&lt;=BD45,0.0000001)),"")</f>
        <v/>
      </c>
      <c r="BF45" s="310" t="str">
        <f>IF(AX45=Elektrolisis!$M$7,IF(BB45=1,-LOG(BE45),IF(BB45=2,14+LOG(BE45),7)),"")</f>
        <v/>
      </c>
    </row>
    <row r="46" spans="1:58" ht="18.95" customHeight="1" x14ac:dyDescent="0.35">
      <c r="A46">
        <v>8</v>
      </c>
      <c r="B46" s="160">
        <v>44</v>
      </c>
      <c r="C46" s="270" t="s">
        <v>8</v>
      </c>
      <c r="E46" s="256" t="s">
        <v>622</v>
      </c>
      <c r="F46" s="71" t="s">
        <v>104</v>
      </c>
      <c r="H46" s="71" t="s">
        <v>114</v>
      </c>
      <c r="I46" s="71" t="s">
        <v>436</v>
      </c>
      <c r="J46" s="71" t="s">
        <v>337</v>
      </c>
      <c r="K46" s="221" t="s">
        <v>424</v>
      </c>
      <c r="L46" s="2"/>
      <c r="M46" s="4" t="s">
        <v>231</v>
      </c>
      <c r="N46" s="4">
        <v>2</v>
      </c>
      <c r="O46" s="4">
        <v>71</v>
      </c>
      <c r="P46" s="4"/>
      <c r="Q46" s="92" t="s">
        <v>236</v>
      </c>
      <c r="R46" s="4">
        <v>2</v>
      </c>
      <c r="S46" s="4">
        <v>2</v>
      </c>
      <c r="T46" s="4"/>
      <c r="U46" s="4">
        <f t="shared" si="2"/>
        <v>0</v>
      </c>
      <c r="V46" s="4">
        <v>44</v>
      </c>
      <c r="W46" s="2" t="s">
        <v>72</v>
      </c>
      <c r="X46" s="2" t="s">
        <v>77</v>
      </c>
      <c r="Y46" s="2"/>
      <c r="Z46" s="2" t="s">
        <v>73</v>
      </c>
      <c r="AA46" s="2" t="s">
        <v>75</v>
      </c>
      <c r="AB46" s="2"/>
      <c r="AC46" s="273" t="s">
        <v>238</v>
      </c>
      <c r="AD46" s="273" t="s">
        <v>239</v>
      </c>
      <c r="AE46" s="273" t="s">
        <v>242</v>
      </c>
      <c r="AF46" s="273" t="s">
        <v>241</v>
      </c>
      <c r="AG46" s="109"/>
      <c r="AH46" s="106">
        <f t="shared" si="3"/>
        <v>0</v>
      </c>
      <c r="AI46" s="106"/>
      <c r="AJ46" s="114"/>
      <c r="AK46" s="111"/>
      <c r="AN46" s="2"/>
      <c r="AP46" s="2"/>
      <c r="AU46" s="71" t="s">
        <v>545</v>
      </c>
      <c r="AV46" s="2"/>
      <c r="AW46" s="2"/>
      <c r="AX46" s="5">
        <v>44</v>
      </c>
      <c r="AY46" s="5">
        <v>0</v>
      </c>
      <c r="AZ46" s="309">
        <f>Elektrolisis!$Q$12</f>
        <v>1</v>
      </c>
      <c r="BA46" s="314" t="str">
        <f>IF(AND(C46&lt;&gt;"HF",C46&lt;&gt;"H3PO4",AY46&gt;0),AY46*Elektrolisis!$Q$13,IF(AND(C46="HF",AY46&gt;0),(Elektrolisis!$Q$13*0.0006)^0.5,IF(AND(C46="H3PO4",AY46&gt;0),(Elektrolisis!$Q$13*0.00075)^0.5,"")))</f>
        <v/>
      </c>
      <c r="BB46" s="5">
        <v>0</v>
      </c>
      <c r="BC46" s="310" t="str">
        <f>IF(AX46=Elektrolisis!$M$7,IF(BB46=1,-LOG(BA46),IF(BB46=2,14+LOG(BA46),7)),"")</f>
        <v/>
      </c>
      <c r="BD46" s="313" t="str">
        <f>IF(AX46=Elektrolisis!$M$7,(Elektrolisis!$Q$14*Elektrolisis!$Q$15)/(96500*REAKSI!R46*REAKSI!AZ46),"")</f>
        <v/>
      </c>
      <c r="BE46" s="312" t="str">
        <f>IF(AX46=Elektrolisis!$M$7,IF(BA46&gt;BD46,BA46-BD46,IF(BA46&lt;=BD46,0.0000001)),"")</f>
        <v/>
      </c>
      <c r="BF46" s="310" t="str">
        <f>IF(AX46=Elektrolisis!$M$7,IF(BB46=1,-LOG(BE46),IF(BB46=2,14+LOG(BE46),7)),"")</f>
        <v/>
      </c>
    </row>
    <row r="47" spans="1:58" ht="18.95" customHeight="1" x14ac:dyDescent="0.35">
      <c r="A47">
        <v>9</v>
      </c>
      <c r="B47" s="160">
        <v>45</v>
      </c>
      <c r="C47" s="270" t="s">
        <v>177</v>
      </c>
      <c r="E47" s="256" t="s">
        <v>623</v>
      </c>
      <c r="F47" s="71" t="s">
        <v>104</v>
      </c>
      <c r="H47" s="71" t="s">
        <v>115</v>
      </c>
      <c r="I47" s="71" t="s">
        <v>436</v>
      </c>
      <c r="J47" s="71" t="s">
        <v>337</v>
      </c>
      <c r="K47" s="221" t="s">
        <v>424</v>
      </c>
      <c r="L47" s="2"/>
      <c r="M47" s="4" t="s">
        <v>231</v>
      </c>
      <c r="N47" s="4">
        <v>2</v>
      </c>
      <c r="O47" s="4">
        <v>71</v>
      </c>
      <c r="P47" s="4"/>
      <c r="Q47" s="92" t="s">
        <v>236</v>
      </c>
      <c r="R47" s="4">
        <v>2</v>
      </c>
      <c r="S47" s="4">
        <v>2</v>
      </c>
      <c r="T47" s="4"/>
      <c r="U47" s="4">
        <f t="shared" si="2"/>
        <v>0</v>
      </c>
      <c r="V47" s="4">
        <v>45</v>
      </c>
      <c r="W47" s="2" t="s">
        <v>72</v>
      </c>
      <c r="X47" s="2" t="s">
        <v>77</v>
      </c>
      <c r="Y47" s="2"/>
      <c r="Z47" s="2" t="s">
        <v>73</v>
      </c>
      <c r="AA47" s="2" t="s">
        <v>118</v>
      </c>
      <c r="AB47" s="2"/>
      <c r="AC47" s="273" t="s">
        <v>238</v>
      </c>
      <c r="AD47" s="273" t="s">
        <v>239</v>
      </c>
      <c r="AE47" s="273" t="s">
        <v>242</v>
      </c>
      <c r="AF47" s="273" t="s">
        <v>259</v>
      </c>
      <c r="AG47" s="109"/>
      <c r="AH47" s="106">
        <f t="shared" si="3"/>
        <v>0</v>
      </c>
      <c r="AI47" s="106"/>
      <c r="AJ47" s="114"/>
      <c r="AK47" s="111"/>
      <c r="AN47" s="2"/>
      <c r="AP47" s="2"/>
      <c r="AU47" s="71" t="s">
        <v>546</v>
      </c>
      <c r="AV47" s="2"/>
      <c r="AW47" s="2"/>
      <c r="AX47" s="5">
        <v>45</v>
      </c>
      <c r="AY47" s="5">
        <v>0</v>
      </c>
      <c r="AZ47" s="309">
        <f>Elektrolisis!$Q$12</f>
        <v>1</v>
      </c>
      <c r="BA47" s="314" t="str">
        <f>IF(AND(C47&lt;&gt;"HF",C47&lt;&gt;"H3PO4",AY47&gt;0),AY47*Elektrolisis!$Q$13,IF(AND(C47="HF",AY47&gt;0),(Elektrolisis!$Q$13*0.0006)^0.5,IF(AND(C47="H3PO4",AY47&gt;0),(Elektrolisis!$Q$13*0.00075)^0.5,"")))</f>
        <v/>
      </c>
      <c r="BB47" s="5">
        <v>0</v>
      </c>
      <c r="BC47" s="310" t="str">
        <f>IF(AX47=Elektrolisis!$M$7,IF(BB47=1,-LOG(BA47),IF(BB47=2,14+LOG(BA47),7)),"")</f>
        <v/>
      </c>
      <c r="BD47" s="313" t="str">
        <f>IF(AX47=Elektrolisis!$M$7,(Elektrolisis!$Q$14*Elektrolisis!$Q$15)/(96500*REAKSI!R47*REAKSI!AZ47),"")</f>
        <v/>
      </c>
      <c r="BE47" s="312" t="str">
        <f>IF(AX47=Elektrolisis!$M$7,IF(BA47&gt;BD47,BA47-BD47,IF(BA47&lt;=BD47,0.0000001)),"")</f>
        <v/>
      </c>
      <c r="BF47" s="310" t="str">
        <f>IF(AX47=Elektrolisis!$M$7,IF(BB47=1,-LOG(BE47),IF(BB47=2,14+LOG(BE47),7)),"")</f>
        <v/>
      </c>
    </row>
    <row r="48" spans="1:58" ht="18.95" customHeight="1" x14ac:dyDescent="0.35">
      <c r="A48">
        <v>10</v>
      </c>
      <c r="B48" s="160">
        <v>46</v>
      </c>
      <c r="C48" s="270" t="s">
        <v>178</v>
      </c>
      <c r="E48" s="256" t="s">
        <v>624</v>
      </c>
      <c r="F48" s="71" t="s">
        <v>104</v>
      </c>
      <c r="H48" s="71" t="s">
        <v>116</v>
      </c>
      <c r="I48" s="71" t="s">
        <v>436</v>
      </c>
      <c r="J48" s="71" t="s">
        <v>337</v>
      </c>
      <c r="K48" s="221" t="s">
        <v>424</v>
      </c>
      <c r="L48" s="2"/>
      <c r="M48" s="4" t="s">
        <v>231</v>
      </c>
      <c r="N48" s="4">
        <v>2</v>
      </c>
      <c r="O48" s="4">
        <v>71</v>
      </c>
      <c r="P48" s="4"/>
      <c r="Q48" s="92" t="s">
        <v>236</v>
      </c>
      <c r="R48" s="4">
        <v>2</v>
      </c>
      <c r="S48" s="4">
        <v>2</v>
      </c>
      <c r="T48" s="4"/>
      <c r="U48" s="4">
        <f t="shared" si="2"/>
        <v>0</v>
      </c>
      <c r="V48" s="4">
        <v>46</v>
      </c>
      <c r="W48" s="2" t="s">
        <v>72</v>
      </c>
      <c r="X48" s="2" t="s">
        <v>77</v>
      </c>
      <c r="Y48" s="2"/>
      <c r="Z48" s="2" t="s">
        <v>73</v>
      </c>
      <c r="AA48" s="2" t="s">
        <v>119</v>
      </c>
      <c r="AB48" s="2"/>
      <c r="AC48" s="273" t="s">
        <v>238</v>
      </c>
      <c r="AD48" s="273" t="s">
        <v>239</v>
      </c>
      <c r="AE48" s="273" t="s">
        <v>242</v>
      </c>
      <c r="AF48" s="273" t="s">
        <v>259</v>
      </c>
      <c r="AG48" s="109"/>
      <c r="AH48" s="106">
        <f t="shared" si="3"/>
        <v>0</v>
      </c>
      <c r="AI48" s="106"/>
      <c r="AJ48" s="114"/>
      <c r="AK48" s="111"/>
      <c r="AN48" s="2"/>
      <c r="AP48" s="2"/>
      <c r="AU48" s="71" t="s">
        <v>547</v>
      </c>
      <c r="AV48" s="2"/>
      <c r="AW48" s="2"/>
      <c r="AX48" s="5">
        <v>46</v>
      </c>
      <c r="AY48" s="5">
        <v>0</v>
      </c>
      <c r="AZ48" s="309">
        <f>Elektrolisis!$Q$12</f>
        <v>1</v>
      </c>
      <c r="BA48" s="314" t="str">
        <f>IF(AND(C48&lt;&gt;"HF",C48&lt;&gt;"H3PO4",AY48&gt;0),AY48*Elektrolisis!$Q$13,IF(AND(C48="HF",AY48&gt;0),(Elektrolisis!$Q$13*0.0006)^0.5,IF(AND(C48="H3PO4",AY48&gt;0),(Elektrolisis!$Q$13*0.00075)^0.5,"")))</f>
        <v/>
      </c>
      <c r="BB48" s="5">
        <v>0</v>
      </c>
      <c r="BC48" s="310" t="str">
        <f>IF(AX48=Elektrolisis!$M$7,IF(BB48=1,-LOG(BA48),IF(BB48=2,14+LOG(BA48),7)),"")</f>
        <v/>
      </c>
      <c r="BD48" s="313" t="str">
        <f>IF(AX48=Elektrolisis!$M$7,(Elektrolisis!$Q$14*Elektrolisis!$Q$15)/(96500*REAKSI!R48*REAKSI!AZ48),"")</f>
        <v/>
      </c>
      <c r="BE48" s="312" t="str">
        <f>IF(AX48=Elektrolisis!$M$7,IF(BA48&gt;BD48,BA48-BD48,IF(BA48&lt;=BD48,0.0000001)),"")</f>
        <v/>
      </c>
      <c r="BF48" s="310" t="str">
        <f>IF(AX48=Elektrolisis!$M$7,IF(BB48=1,-LOG(BE48),IF(BB48=2,14+LOG(BE48),7)),"")</f>
        <v/>
      </c>
    </row>
    <row r="49" spans="1:58" ht="18.95" customHeight="1" x14ac:dyDescent="0.35">
      <c r="A49">
        <v>11</v>
      </c>
      <c r="B49" s="160">
        <v>47</v>
      </c>
      <c r="C49" s="270" t="s">
        <v>179</v>
      </c>
      <c r="E49" s="256" t="s">
        <v>625</v>
      </c>
      <c r="F49" s="71" t="s">
        <v>104</v>
      </c>
      <c r="H49" s="71" t="s">
        <v>117</v>
      </c>
      <c r="I49" s="71" t="s">
        <v>436</v>
      </c>
      <c r="J49" s="71" t="s">
        <v>337</v>
      </c>
      <c r="K49" s="221" t="s">
        <v>424</v>
      </c>
      <c r="L49" s="2"/>
      <c r="M49" s="4" t="s">
        <v>231</v>
      </c>
      <c r="N49" s="4">
        <v>2</v>
      </c>
      <c r="O49" s="4">
        <v>71</v>
      </c>
      <c r="P49" s="4"/>
      <c r="Q49" s="92" t="s">
        <v>236</v>
      </c>
      <c r="R49" s="4">
        <v>2</v>
      </c>
      <c r="S49" s="4">
        <v>2</v>
      </c>
      <c r="T49" s="4"/>
      <c r="U49" s="4">
        <f t="shared" si="2"/>
        <v>0</v>
      </c>
      <c r="V49" s="4">
        <v>47</v>
      </c>
      <c r="W49" s="2" t="s">
        <v>72</v>
      </c>
      <c r="X49" s="2" t="s">
        <v>77</v>
      </c>
      <c r="Y49" s="2"/>
      <c r="Z49" s="2" t="s">
        <v>73</v>
      </c>
      <c r="AA49" s="2" t="s">
        <v>120</v>
      </c>
      <c r="AB49" s="2"/>
      <c r="AC49" s="273" t="s">
        <v>238</v>
      </c>
      <c r="AD49" s="273" t="s">
        <v>239</v>
      </c>
      <c r="AE49" s="273" t="s">
        <v>242</v>
      </c>
      <c r="AF49" s="273" t="s">
        <v>259</v>
      </c>
      <c r="AG49" s="109"/>
      <c r="AH49" s="106">
        <f t="shared" si="3"/>
        <v>0</v>
      </c>
      <c r="AI49" s="106"/>
      <c r="AJ49" s="114"/>
      <c r="AK49" s="111"/>
      <c r="AN49" s="2"/>
      <c r="AP49" s="2"/>
      <c r="AU49" s="71" t="s">
        <v>548</v>
      </c>
      <c r="AV49" s="2"/>
      <c r="AW49" s="2"/>
      <c r="AX49" s="5">
        <v>47</v>
      </c>
      <c r="AY49" s="5">
        <v>0</v>
      </c>
      <c r="AZ49" s="309">
        <f>Elektrolisis!$Q$12</f>
        <v>1</v>
      </c>
      <c r="BA49" s="314" t="str">
        <f>IF(AND(C49&lt;&gt;"HF",C49&lt;&gt;"H3PO4",AY49&gt;0),AY49*Elektrolisis!$Q$13,IF(AND(C49="HF",AY49&gt;0),(Elektrolisis!$Q$13*0.0006)^0.5,IF(AND(C49="H3PO4",AY49&gt;0),(Elektrolisis!$Q$13*0.00075)^0.5,"")))</f>
        <v/>
      </c>
      <c r="BB49" s="5">
        <v>0</v>
      </c>
      <c r="BC49" s="310" t="str">
        <f>IF(AX49=Elektrolisis!$M$7,IF(BB49=1,-LOG(BA49),IF(BB49=2,14+LOG(BA49),7)),"")</f>
        <v/>
      </c>
      <c r="BD49" s="313" t="str">
        <f>IF(AX49=Elektrolisis!$M$7,(Elektrolisis!$Q$14*Elektrolisis!$Q$15)/(96500*REAKSI!R49*REAKSI!AZ49),"")</f>
        <v/>
      </c>
      <c r="BE49" s="312" t="str">
        <f>IF(AX49=Elektrolisis!$M$7,IF(BA49&gt;BD49,BA49-BD49,IF(BA49&lt;=BD49,0.0000001)),"")</f>
        <v/>
      </c>
      <c r="BF49" s="310" t="str">
        <f>IF(AX49=Elektrolisis!$M$7,IF(BB49=1,-LOG(BE49),IF(BB49=2,14+LOG(BE49),7)),"")</f>
        <v/>
      </c>
    </row>
    <row r="50" spans="1:58" ht="18.95" customHeight="1" x14ac:dyDescent="0.35">
      <c r="A50">
        <v>12</v>
      </c>
      <c r="B50" s="160">
        <v>48</v>
      </c>
      <c r="C50" s="270" t="s">
        <v>180</v>
      </c>
      <c r="E50" s="256" t="s">
        <v>626</v>
      </c>
      <c r="F50" s="71" t="s">
        <v>333</v>
      </c>
      <c r="H50" s="71" t="s">
        <v>121</v>
      </c>
      <c r="I50" s="71" t="s">
        <v>432</v>
      </c>
      <c r="J50" s="71" t="s">
        <v>337</v>
      </c>
      <c r="K50" s="221" t="s">
        <v>413</v>
      </c>
      <c r="L50" s="2"/>
      <c r="M50" s="4" t="s">
        <v>232</v>
      </c>
      <c r="N50" s="4">
        <v>4</v>
      </c>
      <c r="O50" s="4">
        <v>32</v>
      </c>
      <c r="P50" s="4"/>
      <c r="Q50" s="92" t="s">
        <v>236</v>
      </c>
      <c r="R50" s="4">
        <v>2</v>
      </c>
      <c r="S50" s="4">
        <v>2</v>
      </c>
      <c r="T50" s="4"/>
      <c r="U50" s="4">
        <f t="shared" si="2"/>
        <v>0</v>
      </c>
      <c r="V50" s="4">
        <v>48</v>
      </c>
      <c r="W50" s="2" t="s">
        <v>72</v>
      </c>
      <c r="X50" s="2" t="s">
        <v>420</v>
      </c>
      <c r="Y50" s="2"/>
      <c r="Z50" s="2" t="s">
        <v>73</v>
      </c>
      <c r="AA50" s="2" t="s">
        <v>127</v>
      </c>
      <c r="AB50" s="2"/>
      <c r="AC50" s="273" t="s">
        <v>242</v>
      </c>
      <c r="AD50" s="273" t="s">
        <v>243</v>
      </c>
      <c r="AE50" s="273" t="s">
        <v>242</v>
      </c>
      <c r="AF50" s="273" t="s">
        <v>259</v>
      </c>
      <c r="AG50" s="109"/>
      <c r="AH50" s="106">
        <f t="shared" si="3"/>
        <v>0</v>
      </c>
      <c r="AI50" s="106"/>
      <c r="AJ50" s="114"/>
      <c r="AK50" s="111"/>
      <c r="AM50" s="5"/>
      <c r="AN50" s="2"/>
      <c r="AP50" s="2"/>
      <c r="AU50" s="71" t="s">
        <v>565</v>
      </c>
      <c r="AV50" s="2"/>
      <c r="AW50" s="2"/>
      <c r="AX50" s="5">
        <v>48</v>
      </c>
      <c r="AY50" s="5">
        <v>0</v>
      </c>
      <c r="AZ50" s="309">
        <f>Elektrolisis!$Q$12</f>
        <v>1</v>
      </c>
      <c r="BA50" s="314" t="str">
        <f>IF(AND(C50&lt;&gt;"HF",C50&lt;&gt;"H3PO4",AY50&gt;0),AY50*Elektrolisis!$Q$13,IF(AND(C50="HF",AY50&gt;0),(Elektrolisis!$Q$13*0.0006)^0.5,IF(AND(C50="H3PO4",AY50&gt;0),(Elektrolisis!$Q$13*0.00075)^0.5,"")))</f>
        <v/>
      </c>
      <c r="BB50" s="5">
        <v>0</v>
      </c>
      <c r="BC50" s="310" t="str">
        <f>IF(AX50=Elektrolisis!$M$7,IF(BB50=1,-LOG(BA50),IF(BB50=2,14+LOG(BA50),7)),"")</f>
        <v/>
      </c>
      <c r="BD50" s="313" t="str">
        <f>IF(AX50=Elektrolisis!$M$7,(Elektrolisis!$Q$14*Elektrolisis!$Q$15)/(96500*REAKSI!R50*REAKSI!AZ50),"")</f>
        <v/>
      </c>
      <c r="BE50" s="312" t="str">
        <f>IF(AX50=Elektrolisis!$M$7,IF(BA50&gt;BD50,BA50-BD50,IF(BA50&lt;=BD50,0.0000001)),"")</f>
        <v/>
      </c>
      <c r="BF50" s="310" t="str">
        <f>IF(AX50=Elektrolisis!$M$7,IF(BB50=1,-LOG(BE50),IF(BB50=2,14+LOG(BE50),7)),"")</f>
        <v/>
      </c>
    </row>
    <row r="51" spans="1:58" ht="18.95" customHeight="1" x14ac:dyDescent="0.35">
      <c r="A51">
        <v>13</v>
      </c>
      <c r="B51" s="160">
        <v>49</v>
      </c>
      <c r="C51" s="270" t="s">
        <v>181</v>
      </c>
      <c r="E51" s="256" t="s">
        <v>627</v>
      </c>
      <c r="F51" s="71" t="s">
        <v>104</v>
      </c>
      <c r="H51" s="71" t="s">
        <v>122</v>
      </c>
      <c r="I51" s="71" t="s">
        <v>432</v>
      </c>
      <c r="J51" s="71" t="s">
        <v>337</v>
      </c>
      <c r="K51" s="221" t="s">
        <v>413</v>
      </c>
      <c r="L51" s="2"/>
      <c r="M51" s="4" t="s">
        <v>232</v>
      </c>
      <c r="N51" s="4">
        <v>4</v>
      </c>
      <c r="O51" s="4">
        <v>32</v>
      </c>
      <c r="P51" s="4"/>
      <c r="Q51" s="92" t="s">
        <v>236</v>
      </c>
      <c r="R51" s="4">
        <v>2</v>
      </c>
      <c r="S51" s="4">
        <v>2</v>
      </c>
      <c r="T51" s="4"/>
      <c r="U51" s="4">
        <f t="shared" si="2"/>
        <v>0</v>
      </c>
      <c r="V51" s="4">
        <v>49</v>
      </c>
      <c r="W51" s="2" t="s">
        <v>72</v>
      </c>
      <c r="X51" s="2" t="s">
        <v>421</v>
      </c>
      <c r="Y51" s="2"/>
      <c r="Z51" s="2" t="s">
        <v>73</v>
      </c>
      <c r="AA51" s="2" t="s">
        <v>75</v>
      </c>
      <c r="AB51" s="2"/>
      <c r="AC51" s="273" t="s">
        <v>242</v>
      </c>
      <c r="AD51" s="273" t="s">
        <v>243</v>
      </c>
      <c r="AE51" s="273" t="s">
        <v>242</v>
      </c>
      <c r="AF51" s="273" t="s">
        <v>259</v>
      </c>
      <c r="AG51" s="109"/>
      <c r="AH51" s="106">
        <f t="shared" si="3"/>
        <v>0</v>
      </c>
      <c r="AI51" s="106"/>
      <c r="AJ51" s="114"/>
      <c r="AK51" s="111"/>
      <c r="AM51" s="5"/>
      <c r="AN51" s="2"/>
      <c r="AP51" s="2"/>
      <c r="AU51" s="71" t="s">
        <v>566</v>
      </c>
      <c r="AV51" s="2"/>
      <c r="AW51" s="2"/>
      <c r="AX51" s="5">
        <v>49</v>
      </c>
      <c r="AY51" s="5">
        <v>0</v>
      </c>
      <c r="AZ51" s="309">
        <f>Elektrolisis!$Q$12</f>
        <v>1</v>
      </c>
      <c r="BA51" s="314" t="str">
        <f>IF(AND(C51&lt;&gt;"HF",C51&lt;&gt;"H3PO4",AY51&gt;0),AY51*Elektrolisis!$Q$13,IF(AND(C51="HF",AY51&gt;0),(Elektrolisis!$Q$13*0.0006)^0.5,IF(AND(C51="H3PO4",AY51&gt;0),(Elektrolisis!$Q$13*0.00075)^0.5,"")))</f>
        <v/>
      </c>
      <c r="BB51" s="5">
        <v>0</v>
      </c>
      <c r="BC51" s="310" t="str">
        <f>IF(AX51=Elektrolisis!$M$7,IF(BB51=1,-LOG(BA51),IF(BB51=2,14+LOG(BA51),7)),"")</f>
        <v/>
      </c>
      <c r="BD51" s="313" t="str">
        <f>IF(AX51=Elektrolisis!$M$7,(Elektrolisis!$Q$14*Elektrolisis!$Q$15)/(96500*REAKSI!R51*REAKSI!AZ51),"")</f>
        <v/>
      </c>
      <c r="BE51" s="312" t="str">
        <f>IF(AX51=Elektrolisis!$M$7,IF(BA51&gt;BD51,BA51-BD51,IF(BA51&lt;=BD51,0.0000001)),"")</f>
        <v/>
      </c>
      <c r="BF51" s="310" t="str">
        <f>IF(AX51=Elektrolisis!$M$7,IF(BB51=1,-LOG(BE51),IF(BB51=2,14+LOG(BE51),7)),"")</f>
        <v/>
      </c>
    </row>
    <row r="52" spans="1:58" ht="18.95" customHeight="1" x14ac:dyDescent="0.35">
      <c r="A52">
        <v>14</v>
      </c>
      <c r="B52" s="160">
        <v>50</v>
      </c>
      <c r="C52" s="270" t="s">
        <v>182</v>
      </c>
      <c r="E52" s="256" t="s">
        <v>628</v>
      </c>
      <c r="F52" s="71" t="s">
        <v>104</v>
      </c>
      <c r="H52" s="71" t="s">
        <v>123</v>
      </c>
      <c r="I52" s="71" t="s">
        <v>432</v>
      </c>
      <c r="J52" s="71" t="s">
        <v>337</v>
      </c>
      <c r="K52" s="221" t="s">
        <v>413</v>
      </c>
      <c r="L52" s="2"/>
      <c r="M52" s="4" t="s">
        <v>232</v>
      </c>
      <c r="N52" s="4">
        <v>4</v>
      </c>
      <c r="O52" s="4">
        <v>32</v>
      </c>
      <c r="P52" s="4"/>
      <c r="Q52" s="92" t="s">
        <v>236</v>
      </c>
      <c r="R52" s="4">
        <v>2</v>
      </c>
      <c r="S52" s="4">
        <v>2</v>
      </c>
      <c r="T52" s="4"/>
      <c r="U52" s="4">
        <f t="shared" si="2"/>
        <v>0</v>
      </c>
      <c r="V52" s="4">
        <v>50</v>
      </c>
      <c r="W52" s="2" t="s">
        <v>72</v>
      </c>
      <c r="X52" s="2" t="s">
        <v>420</v>
      </c>
      <c r="Y52" s="2"/>
      <c r="Z52" s="2" t="s">
        <v>73</v>
      </c>
      <c r="AA52" s="2" t="s">
        <v>118</v>
      </c>
      <c r="AB52" s="2"/>
      <c r="AC52" s="273" t="s">
        <v>242</v>
      </c>
      <c r="AD52" s="273" t="s">
        <v>260</v>
      </c>
      <c r="AE52" s="273" t="s">
        <v>242</v>
      </c>
      <c r="AF52" s="273" t="s">
        <v>259</v>
      </c>
      <c r="AG52" s="109"/>
      <c r="AH52" s="106">
        <f t="shared" si="3"/>
        <v>0</v>
      </c>
      <c r="AI52" s="106"/>
      <c r="AJ52" s="114"/>
      <c r="AK52" s="111"/>
      <c r="AM52" s="5"/>
      <c r="AN52" s="2"/>
      <c r="AP52" s="2"/>
      <c r="AU52" s="71" t="s">
        <v>567</v>
      </c>
      <c r="AV52" s="2"/>
      <c r="AW52" s="2"/>
      <c r="AX52" s="5">
        <v>50</v>
      </c>
      <c r="AY52" s="5">
        <v>0</v>
      </c>
      <c r="AZ52" s="309">
        <f>Elektrolisis!$Q$12</f>
        <v>1</v>
      </c>
      <c r="BA52" s="314" t="str">
        <f>IF(AND(C52&lt;&gt;"HF",C52&lt;&gt;"H3PO4",AY52&gt;0),AY52*Elektrolisis!$Q$13,IF(AND(C52="HF",AY52&gt;0),(Elektrolisis!$Q$13*0.0006)^0.5,IF(AND(C52="H3PO4",AY52&gt;0),(Elektrolisis!$Q$13*0.00075)^0.5,"")))</f>
        <v/>
      </c>
      <c r="BB52" s="5">
        <v>0</v>
      </c>
      <c r="BC52" s="310" t="str">
        <f>IF(AX52=Elektrolisis!$M$7,IF(BB52=1,-LOG(BA52),IF(BB52=2,14+LOG(BA52),7)),"")</f>
        <v/>
      </c>
      <c r="BD52" s="313" t="str">
        <f>IF(AX52=Elektrolisis!$M$7,(Elektrolisis!$Q$14*Elektrolisis!$Q$15)/(96500*REAKSI!R52*REAKSI!AZ52),"")</f>
        <v/>
      </c>
      <c r="BE52" s="312" t="str">
        <f>IF(AX52=Elektrolisis!$M$7,IF(BA52&gt;BD52,BA52-BD52,IF(BA52&lt;=BD52,0.0000001)),"")</f>
        <v/>
      </c>
      <c r="BF52" s="310" t="str">
        <f>IF(AX52=Elektrolisis!$M$7,IF(BB52=1,-LOG(BE52),IF(BB52=2,14+LOG(BE52),7)),"")</f>
        <v/>
      </c>
    </row>
    <row r="53" spans="1:58" ht="18.95" customHeight="1" x14ac:dyDescent="0.35">
      <c r="A53">
        <v>15</v>
      </c>
      <c r="B53" s="160">
        <v>51</v>
      </c>
      <c r="C53" s="270" t="s">
        <v>183</v>
      </c>
      <c r="E53" s="256" t="s">
        <v>629</v>
      </c>
      <c r="F53" s="71" t="s">
        <v>104</v>
      </c>
      <c r="H53" s="71" t="s">
        <v>124</v>
      </c>
      <c r="I53" s="71" t="s">
        <v>432</v>
      </c>
      <c r="J53" s="71" t="s">
        <v>337</v>
      </c>
      <c r="K53" s="221" t="s">
        <v>413</v>
      </c>
      <c r="L53" s="2"/>
      <c r="M53" s="4" t="s">
        <v>232</v>
      </c>
      <c r="N53" s="4">
        <v>4</v>
      </c>
      <c r="O53" s="4">
        <v>32</v>
      </c>
      <c r="P53" s="4"/>
      <c r="Q53" s="92" t="s">
        <v>236</v>
      </c>
      <c r="R53" s="4">
        <v>2</v>
      </c>
      <c r="S53" s="4">
        <v>2</v>
      </c>
      <c r="T53" s="4"/>
      <c r="U53" s="4">
        <f t="shared" si="2"/>
        <v>0</v>
      </c>
      <c r="V53" s="4">
        <v>51</v>
      </c>
      <c r="W53" s="2" t="s">
        <v>72</v>
      </c>
      <c r="X53" s="2" t="s">
        <v>419</v>
      </c>
      <c r="Y53" s="2"/>
      <c r="Z53" s="2" t="s">
        <v>73</v>
      </c>
      <c r="AA53" s="2" t="s">
        <v>118</v>
      </c>
      <c r="AB53" s="2"/>
      <c r="AC53" s="273" t="s">
        <v>242</v>
      </c>
      <c r="AD53" s="273" t="s">
        <v>260</v>
      </c>
      <c r="AE53" s="273" t="s">
        <v>242</v>
      </c>
      <c r="AF53" s="273" t="s">
        <v>259</v>
      </c>
      <c r="AG53" s="109"/>
      <c r="AH53" s="106">
        <f t="shared" si="3"/>
        <v>0</v>
      </c>
      <c r="AI53" s="106"/>
      <c r="AJ53" s="114"/>
      <c r="AK53" s="111"/>
      <c r="AM53" s="5"/>
      <c r="AN53" s="2"/>
      <c r="AP53" s="2"/>
      <c r="AU53" s="71" t="s">
        <v>568</v>
      </c>
      <c r="AV53" s="2"/>
      <c r="AW53" s="2"/>
      <c r="AX53" s="5">
        <v>51</v>
      </c>
      <c r="AY53" s="5">
        <v>0</v>
      </c>
      <c r="AZ53" s="309">
        <f>Elektrolisis!$Q$12</f>
        <v>1</v>
      </c>
      <c r="BA53" s="314" t="str">
        <f>IF(AND(C53&lt;&gt;"HF",C53&lt;&gt;"H3PO4",AY53&gt;0),AY53*Elektrolisis!$Q$13,IF(AND(C53="HF",AY53&gt;0),(Elektrolisis!$Q$13*0.0006)^0.5,IF(AND(C53="H3PO4",AY53&gt;0),(Elektrolisis!$Q$13*0.00075)^0.5,"")))</f>
        <v/>
      </c>
      <c r="BB53" s="5">
        <v>0</v>
      </c>
      <c r="BC53" s="310" t="str">
        <f>IF(AX53=Elektrolisis!$M$7,IF(BB53=1,-LOG(BA53),IF(BB53=2,14+LOG(BA53),7)),"")</f>
        <v/>
      </c>
      <c r="BD53" s="313" t="str">
        <f>IF(AX53=Elektrolisis!$M$7,(Elektrolisis!$Q$14*Elektrolisis!$Q$15)/(96500*REAKSI!R53*REAKSI!AZ53),"")</f>
        <v/>
      </c>
      <c r="BE53" s="312" t="str">
        <f>IF(AX53=Elektrolisis!$M$7,IF(BA53&gt;BD53,BA53-BD53,IF(BA53&lt;=BD53,0.0000001)),"")</f>
        <v/>
      </c>
      <c r="BF53" s="310" t="str">
        <f>IF(AX53=Elektrolisis!$M$7,IF(BB53=1,-LOG(BE53),IF(BB53=2,14+LOG(BE53),7)),"")</f>
        <v/>
      </c>
    </row>
    <row r="54" spans="1:58" ht="18.95" customHeight="1" x14ac:dyDescent="0.35">
      <c r="A54">
        <v>16</v>
      </c>
      <c r="B54" s="160">
        <v>52</v>
      </c>
      <c r="C54" s="270" t="s">
        <v>184</v>
      </c>
      <c r="E54" s="256" t="s">
        <v>630</v>
      </c>
      <c r="F54" s="71" t="s">
        <v>104</v>
      </c>
      <c r="H54" s="71" t="s">
        <v>125</v>
      </c>
      <c r="I54" s="71" t="s">
        <v>432</v>
      </c>
      <c r="J54" s="71" t="s">
        <v>337</v>
      </c>
      <c r="K54" s="221" t="s">
        <v>413</v>
      </c>
      <c r="L54" s="2"/>
      <c r="M54" s="4" t="s">
        <v>232</v>
      </c>
      <c r="N54" s="4">
        <v>4</v>
      </c>
      <c r="O54" s="4">
        <v>32</v>
      </c>
      <c r="P54" s="4"/>
      <c r="Q54" s="92" t="s">
        <v>236</v>
      </c>
      <c r="R54" s="4">
        <v>2</v>
      </c>
      <c r="S54" s="4">
        <v>2</v>
      </c>
      <c r="T54" s="4"/>
      <c r="U54" s="4">
        <f t="shared" si="2"/>
        <v>0</v>
      </c>
      <c r="V54" s="4">
        <v>52</v>
      </c>
      <c r="W54" s="2" t="s">
        <v>72</v>
      </c>
      <c r="X54" s="2" t="s">
        <v>421</v>
      </c>
      <c r="Y54" s="2"/>
      <c r="Z54" s="2" t="s">
        <v>73</v>
      </c>
      <c r="AA54" s="2" t="s">
        <v>119</v>
      </c>
      <c r="AB54" s="2"/>
      <c r="AC54" s="273" t="s">
        <v>242</v>
      </c>
      <c r="AD54" s="273" t="s">
        <v>260</v>
      </c>
      <c r="AE54" s="273" t="s">
        <v>242</v>
      </c>
      <c r="AF54" s="273" t="s">
        <v>259</v>
      </c>
      <c r="AG54" s="109"/>
      <c r="AH54" s="106">
        <f t="shared" si="3"/>
        <v>0</v>
      </c>
      <c r="AI54" s="106"/>
      <c r="AJ54" s="114"/>
      <c r="AK54" s="111"/>
      <c r="AM54" s="5"/>
      <c r="AN54" s="2"/>
      <c r="AP54" s="2"/>
      <c r="AU54" s="71" t="s">
        <v>569</v>
      </c>
      <c r="AV54" s="2"/>
      <c r="AW54" s="2"/>
      <c r="AX54" s="5">
        <v>52</v>
      </c>
      <c r="AY54" s="5">
        <v>0</v>
      </c>
      <c r="AZ54" s="309">
        <f>Elektrolisis!$Q$12</f>
        <v>1</v>
      </c>
      <c r="BA54" s="314" t="str">
        <f>IF(AND(C54&lt;&gt;"HF",C54&lt;&gt;"H3PO4",AY54&gt;0),AY54*Elektrolisis!$Q$13,IF(AND(C54="HF",AY54&gt;0),(Elektrolisis!$Q$13*0.0006)^0.5,IF(AND(C54="H3PO4",AY54&gt;0),(Elektrolisis!$Q$13*0.00075)^0.5,"")))</f>
        <v/>
      </c>
      <c r="BB54" s="5">
        <v>0</v>
      </c>
      <c r="BC54" s="310" t="str">
        <f>IF(AX54=Elektrolisis!$M$7,IF(BB54=1,-LOG(BA54),IF(BB54=2,14+LOG(BA54),7)),"")</f>
        <v/>
      </c>
      <c r="BD54" s="313" t="str">
        <f>IF(AX54=Elektrolisis!$M$7,(Elektrolisis!$Q$14*Elektrolisis!$Q$15)/(96500*REAKSI!R54*REAKSI!AZ54),"")</f>
        <v/>
      </c>
      <c r="BE54" s="312" t="str">
        <f>IF(AX54=Elektrolisis!$M$7,IF(BA54&gt;BD54,BA54-BD54,IF(BA54&lt;=BD54,0.0000001)),"")</f>
        <v/>
      </c>
      <c r="BF54" s="310" t="str">
        <f>IF(AX54=Elektrolisis!$M$7,IF(BB54=1,-LOG(BE54),IF(BB54=2,14+LOG(BE54),7)),"")</f>
        <v/>
      </c>
    </row>
    <row r="55" spans="1:58" ht="18.95" customHeight="1" x14ac:dyDescent="0.35">
      <c r="A55">
        <v>17</v>
      </c>
      <c r="B55" s="160">
        <v>53</v>
      </c>
      <c r="C55" s="270" t="s">
        <v>185</v>
      </c>
      <c r="E55" s="256" t="s">
        <v>631</v>
      </c>
      <c r="F55" s="71" t="s">
        <v>104</v>
      </c>
      <c r="H55" s="71" t="s">
        <v>126</v>
      </c>
      <c r="I55" s="71" t="s">
        <v>432</v>
      </c>
      <c r="J55" s="71" t="s">
        <v>337</v>
      </c>
      <c r="K55" s="221" t="s">
        <v>413</v>
      </c>
      <c r="L55" s="2"/>
      <c r="M55" s="4" t="s">
        <v>232</v>
      </c>
      <c r="N55" s="4">
        <v>4</v>
      </c>
      <c r="O55" s="4">
        <v>32</v>
      </c>
      <c r="P55" s="4"/>
      <c r="Q55" s="92" t="s">
        <v>236</v>
      </c>
      <c r="R55" s="4">
        <v>2</v>
      </c>
      <c r="S55" s="4">
        <v>2</v>
      </c>
      <c r="T55" s="4"/>
      <c r="U55" s="4">
        <f t="shared" si="2"/>
        <v>0</v>
      </c>
      <c r="V55" s="4">
        <v>53</v>
      </c>
      <c r="W55" s="2" t="s">
        <v>72</v>
      </c>
      <c r="X55" s="2" t="s">
        <v>419</v>
      </c>
      <c r="Y55" s="2"/>
      <c r="Z55" s="2" t="s">
        <v>73</v>
      </c>
      <c r="AA55" s="2" t="s">
        <v>120</v>
      </c>
      <c r="AB55" s="2"/>
      <c r="AC55" s="273" t="s">
        <v>242</v>
      </c>
      <c r="AD55" s="273" t="s">
        <v>260</v>
      </c>
      <c r="AE55" s="273" t="s">
        <v>242</v>
      </c>
      <c r="AF55" s="273" t="s">
        <v>259</v>
      </c>
      <c r="AG55" s="109"/>
      <c r="AH55" s="106">
        <f t="shared" si="3"/>
        <v>0</v>
      </c>
      <c r="AI55" s="106"/>
      <c r="AJ55" s="114"/>
      <c r="AK55" s="111"/>
      <c r="AM55" s="5"/>
      <c r="AN55" s="2"/>
      <c r="AP55" s="2"/>
      <c r="AU55" s="71" t="s">
        <v>570</v>
      </c>
      <c r="AV55" s="2"/>
      <c r="AW55" s="2"/>
      <c r="AX55" s="5">
        <v>53</v>
      </c>
      <c r="AY55" s="5">
        <v>0</v>
      </c>
      <c r="AZ55" s="309">
        <f>Elektrolisis!$Q$12</f>
        <v>1</v>
      </c>
      <c r="BA55" s="314" t="str">
        <f>IF(AND(C55&lt;&gt;"HF",C55&lt;&gt;"H3PO4",AY55&gt;0),AY55*Elektrolisis!$Q$13,IF(AND(C55="HF",AY55&gt;0),(Elektrolisis!$Q$13*0.0006)^0.5,IF(AND(C55="H3PO4",AY55&gt;0),(Elektrolisis!$Q$13*0.00075)^0.5,"")))</f>
        <v/>
      </c>
      <c r="BB55" s="5">
        <v>0</v>
      </c>
      <c r="BC55" s="310" t="str">
        <f>IF(AX55=Elektrolisis!$M$7,IF(BB55=1,-LOG(BA55),IF(BB55=2,14+LOG(BA55),7)),"")</f>
        <v/>
      </c>
      <c r="BD55" s="313" t="str">
        <f>IF(AX55=Elektrolisis!$M$7,(Elektrolisis!$Q$14*Elektrolisis!$Q$15)/(96500*REAKSI!R55*REAKSI!AZ55),"")</f>
        <v/>
      </c>
      <c r="BE55" s="312" t="str">
        <f>IF(AX55=Elektrolisis!$M$7,IF(BA55&gt;BD55,BA55-BD55,IF(BA55&lt;=BD55,0.0000001)),"")</f>
        <v/>
      </c>
      <c r="BF55" s="310" t="str">
        <f>IF(AX55=Elektrolisis!$M$7,IF(BB55=1,-LOG(BE55),IF(BB55=2,14+LOG(BE55),7)),"")</f>
        <v/>
      </c>
    </row>
    <row r="56" spans="1:58" ht="18.95" customHeight="1" x14ac:dyDescent="0.35">
      <c r="A56">
        <v>18</v>
      </c>
      <c r="B56" s="160">
        <v>54</v>
      </c>
      <c r="C56" s="270" t="s">
        <v>186</v>
      </c>
      <c r="E56" s="256" t="s">
        <v>632</v>
      </c>
      <c r="F56" s="71" t="s">
        <v>104</v>
      </c>
      <c r="H56" s="71" t="s">
        <v>128</v>
      </c>
      <c r="I56" s="71" t="s">
        <v>336</v>
      </c>
      <c r="J56" s="71" t="s">
        <v>337</v>
      </c>
      <c r="K56" s="221" t="s">
        <v>413</v>
      </c>
      <c r="L56" s="2"/>
      <c r="M56" s="4" t="s">
        <v>232</v>
      </c>
      <c r="N56" s="4">
        <v>4</v>
      </c>
      <c r="O56" s="4">
        <v>32</v>
      </c>
      <c r="P56" s="4"/>
      <c r="Q56" s="92" t="s">
        <v>236</v>
      </c>
      <c r="R56" s="4">
        <v>2</v>
      </c>
      <c r="S56" s="4">
        <v>2</v>
      </c>
      <c r="T56" s="4" t="s">
        <v>211</v>
      </c>
      <c r="U56" s="4">
        <f t="shared" si="2"/>
        <v>2</v>
      </c>
      <c r="V56" s="4">
        <v>54</v>
      </c>
      <c r="W56" s="2" t="s">
        <v>72</v>
      </c>
      <c r="X56" s="2" t="s">
        <v>76</v>
      </c>
      <c r="Y56" s="2"/>
      <c r="Z56" s="2" t="s">
        <v>73</v>
      </c>
      <c r="AA56" s="2" t="s">
        <v>127</v>
      </c>
      <c r="AB56" s="2"/>
      <c r="AC56" s="273" t="s">
        <v>242</v>
      </c>
      <c r="AD56" s="273" t="s">
        <v>260</v>
      </c>
      <c r="AE56" s="273" t="s">
        <v>249</v>
      </c>
      <c r="AF56" s="273" t="s">
        <v>259</v>
      </c>
      <c r="AG56" s="109"/>
      <c r="AH56" s="106">
        <f t="shared" si="3"/>
        <v>2</v>
      </c>
      <c r="AI56" s="106"/>
      <c r="AJ56" s="114"/>
      <c r="AK56" s="111"/>
      <c r="AN56" s="2"/>
      <c r="AP56" s="2"/>
      <c r="AU56" s="71" t="s">
        <v>571</v>
      </c>
      <c r="AV56" s="2"/>
      <c r="AW56" s="2"/>
      <c r="AX56" s="5">
        <v>54</v>
      </c>
      <c r="AY56" s="5">
        <v>1</v>
      </c>
      <c r="AZ56" s="309">
        <f>Elektrolisis!$Q$12</f>
        <v>1</v>
      </c>
      <c r="BA56" s="314">
        <f>IF(AND(C56&lt;&gt;"HF",C56&lt;&gt;"H3PO4",AY56&gt;0),AY56*Elektrolisis!$Q$13,IF(AND(C56="HF",AY56&gt;0),(Elektrolisis!$Q$13*0.0006)^0.5,IF(AND(C56="H3PO4",AY56&gt;0),(Elektrolisis!$Q$13*0.00075)^0.5,"")))</f>
        <v>1</v>
      </c>
      <c r="BB56" s="5">
        <v>2</v>
      </c>
      <c r="BC56" s="310" t="str">
        <f>IF(AX56=Elektrolisis!$M$7,IF(BB56=1,-LOG(BA56),IF(BB56=2,14+LOG(BA56),7)),"")</f>
        <v/>
      </c>
      <c r="BD56" s="313" t="str">
        <f>IF(AX56=Elektrolisis!$M$7,(Elektrolisis!$Q$14*Elektrolisis!$Q$15)/(96500*REAKSI!R56*REAKSI!AZ56),"")</f>
        <v/>
      </c>
      <c r="BE56" s="312" t="str">
        <f>IF(AX56=Elektrolisis!$M$7,IF(BA56&gt;BD56,BA56-BD56,IF(BA56&lt;=BD56,0.0000001)),"")</f>
        <v/>
      </c>
      <c r="BF56" s="310" t="str">
        <f>IF(AX56=Elektrolisis!$M$7,IF(BB56=1,-LOG(BE56),IF(BB56=2,14+LOG(BE56),7)),"")</f>
        <v/>
      </c>
    </row>
    <row r="57" spans="1:58" ht="18.95" customHeight="1" x14ac:dyDescent="0.35">
      <c r="A57">
        <v>19</v>
      </c>
      <c r="B57" s="160">
        <v>55</v>
      </c>
      <c r="C57" s="270" t="s">
        <v>187</v>
      </c>
      <c r="E57" s="256" t="s">
        <v>633</v>
      </c>
      <c r="F57" s="71" t="s">
        <v>104</v>
      </c>
      <c r="H57" s="71" t="s">
        <v>129</v>
      </c>
      <c r="I57" s="71" t="s">
        <v>336</v>
      </c>
      <c r="J57" s="71" t="s">
        <v>337</v>
      </c>
      <c r="K57" s="221" t="s">
        <v>413</v>
      </c>
      <c r="L57" s="2"/>
      <c r="M57" s="4" t="s">
        <v>232</v>
      </c>
      <c r="N57" s="4">
        <v>4</v>
      </c>
      <c r="O57" s="4">
        <v>32</v>
      </c>
      <c r="P57" s="4"/>
      <c r="Q57" s="92" t="s">
        <v>236</v>
      </c>
      <c r="R57" s="4">
        <v>2</v>
      </c>
      <c r="S57" s="4">
        <v>2</v>
      </c>
      <c r="T57" s="4" t="s">
        <v>211</v>
      </c>
      <c r="U57" s="4">
        <f t="shared" si="2"/>
        <v>2</v>
      </c>
      <c r="V57" s="4">
        <v>55</v>
      </c>
      <c r="W57" s="2" t="s">
        <v>72</v>
      </c>
      <c r="X57" s="2" t="s">
        <v>76</v>
      </c>
      <c r="Y57" s="2"/>
      <c r="Z57" s="2" t="s">
        <v>73</v>
      </c>
      <c r="AA57" s="2" t="s">
        <v>118</v>
      </c>
      <c r="AB57" s="2"/>
      <c r="AC57" s="273" t="s">
        <v>242</v>
      </c>
      <c r="AD57" s="273" t="s">
        <v>260</v>
      </c>
      <c r="AE57" s="273" t="s">
        <v>249</v>
      </c>
      <c r="AF57" s="273" t="s">
        <v>259</v>
      </c>
      <c r="AG57" s="109"/>
      <c r="AH57" s="106">
        <f t="shared" si="3"/>
        <v>2</v>
      </c>
      <c r="AI57" s="106"/>
      <c r="AJ57" s="114"/>
      <c r="AK57" s="111"/>
      <c r="AN57" s="2"/>
      <c r="AP57" s="2"/>
      <c r="AU57" s="71" t="s">
        <v>560</v>
      </c>
      <c r="AV57" s="2"/>
      <c r="AW57" s="2"/>
      <c r="AX57" s="5">
        <v>55</v>
      </c>
      <c r="AY57" s="5">
        <v>2</v>
      </c>
      <c r="AZ57" s="309">
        <f>Elektrolisis!$Q$12</f>
        <v>1</v>
      </c>
      <c r="BA57" s="314">
        <f>IF(AND(C57&lt;&gt;"HF",C57&lt;&gt;"H3PO4",AY57&gt;0),AY57*Elektrolisis!$Q$13,IF(AND(C57="HF",AY57&gt;0),(Elektrolisis!$Q$13*0.0006)^0.5,IF(AND(C57="H3PO4",AY57&gt;0),(Elektrolisis!$Q$13*0.00075)^0.5,"")))</f>
        <v>2</v>
      </c>
      <c r="BB57" s="5">
        <v>2</v>
      </c>
      <c r="BC57" s="310" t="str">
        <f>IF(AX57=Elektrolisis!$M$7,IF(BB57=1,-LOG(BA57),IF(BB57=2,14+LOG(BA57),7)),"")</f>
        <v/>
      </c>
      <c r="BD57" s="313" t="str">
        <f>IF(AX57=Elektrolisis!$M$7,(Elektrolisis!$Q$14*Elektrolisis!$Q$15)/(96500*REAKSI!R57*REAKSI!AZ57),"")</f>
        <v/>
      </c>
      <c r="BE57" s="312" t="str">
        <f>IF(AX57=Elektrolisis!$M$7,IF(BA57&gt;BD57,BA57-BD57,IF(BA57&lt;=BD57,0.0000001)),"")</f>
        <v/>
      </c>
      <c r="BF57" s="310" t="str">
        <f>IF(AX57=Elektrolisis!$M$7,IF(BB57=1,-LOG(BE57),IF(BB57=2,14+LOG(BE57),7)),"")</f>
        <v/>
      </c>
    </row>
    <row r="58" spans="1:58" ht="18.95" customHeight="1" x14ac:dyDescent="0.35">
      <c r="A58">
        <v>20</v>
      </c>
      <c r="B58" s="160">
        <v>56</v>
      </c>
      <c r="C58" s="270" t="s">
        <v>188</v>
      </c>
      <c r="E58" s="256" t="s">
        <v>634</v>
      </c>
      <c r="F58" s="71" t="s">
        <v>104</v>
      </c>
      <c r="H58" s="71" t="s">
        <v>130</v>
      </c>
      <c r="I58" s="71" t="s">
        <v>336</v>
      </c>
      <c r="J58" s="71" t="s">
        <v>337</v>
      </c>
      <c r="K58" s="221" t="s">
        <v>413</v>
      </c>
      <c r="L58" s="2"/>
      <c r="M58" s="4" t="s">
        <v>232</v>
      </c>
      <c r="N58" s="4">
        <v>4</v>
      </c>
      <c r="O58" s="4">
        <v>32</v>
      </c>
      <c r="P58" s="4"/>
      <c r="Q58" s="92" t="s">
        <v>236</v>
      </c>
      <c r="R58" s="4">
        <v>2</v>
      </c>
      <c r="S58" s="4">
        <v>2</v>
      </c>
      <c r="T58" s="4" t="s">
        <v>211</v>
      </c>
      <c r="U58" s="4">
        <f t="shared" si="2"/>
        <v>2</v>
      </c>
      <c r="V58" s="4">
        <v>56</v>
      </c>
      <c r="W58" s="2" t="s">
        <v>72</v>
      </c>
      <c r="X58" s="2" t="s">
        <v>76</v>
      </c>
      <c r="Y58" s="2"/>
      <c r="Z58" s="2" t="s">
        <v>73</v>
      </c>
      <c r="AA58" s="2" t="s">
        <v>135</v>
      </c>
      <c r="AB58" s="2"/>
      <c r="AC58" s="273" t="s">
        <v>242</v>
      </c>
      <c r="AD58" s="273" t="s">
        <v>260</v>
      </c>
      <c r="AE58" s="273" t="s">
        <v>249</v>
      </c>
      <c r="AF58" s="273" t="s">
        <v>259</v>
      </c>
      <c r="AG58" s="109"/>
      <c r="AH58" s="106">
        <f t="shared" si="3"/>
        <v>2</v>
      </c>
      <c r="AI58" s="106"/>
      <c r="AJ58" s="114"/>
      <c r="AK58" s="111"/>
      <c r="AN58" s="2"/>
      <c r="AP58" s="2"/>
      <c r="AU58" s="71" t="s">
        <v>561</v>
      </c>
      <c r="AV58" s="2"/>
      <c r="AW58" s="2"/>
      <c r="AX58" s="5">
        <v>56</v>
      </c>
      <c r="AY58" s="5">
        <v>2</v>
      </c>
      <c r="AZ58" s="309">
        <f>Elektrolisis!$Q$12</f>
        <v>1</v>
      </c>
      <c r="BA58" s="314">
        <f>IF(AND(C58&lt;&gt;"HF",C58&lt;&gt;"H3PO4",AY58&gt;0),AY58*Elektrolisis!$Q$13,IF(AND(C58="HF",AY58&gt;0),(Elektrolisis!$Q$13*0.0006)^0.5,IF(AND(C58="H3PO4",AY58&gt;0),(Elektrolisis!$Q$13*0.00075)^0.5,"")))</f>
        <v>2</v>
      </c>
      <c r="BB58" s="5">
        <v>2</v>
      </c>
      <c r="BC58" s="310" t="str">
        <f>IF(AX58=Elektrolisis!$M$7,IF(BB58=1,-LOG(BA58),IF(BB58=2,14+LOG(BA58),7)),"")</f>
        <v/>
      </c>
      <c r="BD58" s="313" t="str">
        <f>IF(AX58=Elektrolisis!$M$7,(Elektrolisis!$Q$14*Elektrolisis!$Q$15)/(96500*REAKSI!R58*REAKSI!AZ58),"")</f>
        <v/>
      </c>
      <c r="BE58" s="312" t="str">
        <f>IF(AX58=Elektrolisis!$M$7,IF(BA58&gt;BD58,BA58-BD58,IF(BA58&lt;=BD58,0.0000001)),"")</f>
        <v/>
      </c>
      <c r="BF58" s="310" t="str">
        <f>IF(AX58=Elektrolisis!$M$7,IF(BB58=1,-LOG(BE58),IF(BB58=2,14+LOG(BE58),7)),"")</f>
        <v/>
      </c>
    </row>
    <row r="59" spans="1:58" ht="18.95" customHeight="1" x14ac:dyDescent="0.35">
      <c r="A59">
        <v>21</v>
      </c>
      <c r="B59" s="160">
        <v>57</v>
      </c>
      <c r="C59" s="270" t="s">
        <v>189</v>
      </c>
      <c r="E59" s="256" t="s">
        <v>635</v>
      </c>
      <c r="F59" s="71" t="s">
        <v>104</v>
      </c>
      <c r="H59" s="71" t="s">
        <v>131</v>
      </c>
      <c r="I59" s="71" t="s">
        <v>336</v>
      </c>
      <c r="J59" s="71" t="s">
        <v>337</v>
      </c>
      <c r="K59" s="221" t="s">
        <v>413</v>
      </c>
      <c r="L59" s="2"/>
      <c r="M59" s="4" t="s">
        <v>232</v>
      </c>
      <c r="N59" s="4">
        <v>4</v>
      </c>
      <c r="O59" s="4">
        <v>32</v>
      </c>
      <c r="P59" s="4"/>
      <c r="Q59" s="92" t="s">
        <v>236</v>
      </c>
      <c r="R59" s="4">
        <v>2</v>
      </c>
      <c r="S59" s="4">
        <v>2</v>
      </c>
      <c r="T59" s="4" t="s">
        <v>211</v>
      </c>
      <c r="U59" s="4">
        <f t="shared" si="2"/>
        <v>2</v>
      </c>
      <c r="V59" s="4">
        <v>57</v>
      </c>
      <c r="W59" s="2" t="s">
        <v>72</v>
      </c>
      <c r="X59" s="2" t="s">
        <v>76</v>
      </c>
      <c r="Y59" s="2"/>
      <c r="Z59" s="2" t="s">
        <v>73</v>
      </c>
      <c r="AA59" s="2" t="s">
        <v>134</v>
      </c>
      <c r="AB59" s="2"/>
      <c r="AC59" s="273" t="s">
        <v>242</v>
      </c>
      <c r="AD59" s="273" t="s">
        <v>260</v>
      </c>
      <c r="AE59" s="273" t="s">
        <v>249</v>
      </c>
      <c r="AF59" s="273" t="s">
        <v>259</v>
      </c>
      <c r="AG59" s="109"/>
      <c r="AH59" s="106">
        <f t="shared" si="3"/>
        <v>2</v>
      </c>
      <c r="AI59" s="106"/>
      <c r="AJ59" s="114"/>
      <c r="AK59" s="111"/>
      <c r="AN59" s="2"/>
      <c r="AP59" s="2"/>
      <c r="AU59" s="71" t="s">
        <v>562</v>
      </c>
      <c r="AV59" s="2"/>
      <c r="AW59" s="2"/>
      <c r="AX59" s="5">
        <v>57</v>
      </c>
      <c r="AY59" s="5">
        <v>2</v>
      </c>
      <c r="AZ59" s="309">
        <f>Elektrolisis!$Q$12</f>
        <v>1</v>
      </c>
      <c r="BA59" s="314">
        <f>IF(AND(C59&lt;&gt;"HF",C59&lt;&gt;"H3PO4",AY59&gt;0),AY59*Elektrolisis!$Q$13,IF(AND(C59="HF",AY59&gt;0),(Elektrolisis!$Q$13*0.0006)^0.5,IF(AND(C59="H3PO4",AY59&gt;0),(Elektrolisis!$Q$13*0.00075)^0.5,"")))</f>
        <v>2</v>
      </c>
      <c r="BB59" s="5">
        <v>2</v>
      </c>
      <c r="BC59" s="310" t="str">
        <f>IF(AX59=Elektrolisis!$M$7,IF(BB59=1,-LOG(BA59),IF(BB59=2,14+LOG(BA59),7)),"")</f>
        <v/>
      </c>
      <c r="BD59" s="313" t="str">
        <f>IF(AX59=Elektrolisis!$M$7,(Elektrolisis!$Q$14*Elektrolisis!$Q$15)/(96500*REAKSI!R59*REAKSI!AZ59),"")</f>
        <v/>
      </c>
      <c r="BE59" s="312" t="str">
        <f>IF(AX59=Elektrolisis!$M$7,IF(BA59&gt;BD59,BA59-BD59,IF(BA59&lt;=BD59,0.0000001)),"")</f>
        <v/>
      </c>
      <c r="BF59" s="310" t="str">
        <f>IF(AX59=Elektrolisis!$M$7,IF(BB59=1,-LOG(BE59),IF(BB59=2,14+LOG(BE59),7)),"")</f>
        <v/>
      </c>
    </row>
    <row r="60" spans="1:58" ht="18.95" customHeight="1" x14ac:dyDescent="0.35">
      <c r="A60">
        <v>22</v>
      </c>
      <c r="B60" s="160">
        <v>58</v>
      </c>
      <c r="C60" s="270" t="s">
        <v>190</v>
      </c>
      <c r="E60" s="256" t="s">
        <v>636</v>
      </c>
      <c r="F60" s="71" t="s">
        <v>104</v>
      </c>
      <c r="H60" s="71" t="s">
        <v>132</v>
      </c>
      <c r="I60" s="71" t="s">
        <v>336</v>
      </c>
      <c r="J60" s="71" t="s">
        <v>337</v>
      </c>
      <c r="K60" s="221" t="s">
        <v>413</v>
      </c>
      <c r="L60" s="2"/>
      <c r="M60" s="4" t="s">
        <v>232</v>
      </c>
      <c r="N60" s="4">
        <v>4</v>
      </c>
      <c r="O60" s="4">
        <v>32</v>
      </c>
      <c r="P60" s="4"/>
      <c r="Q60" s="92" t="s">
        <v>236</v>
      </c>
      <c r="R60" s="4">
        <v>2</v>
      </c>
      <c r="S60" s="4">
        <v>2</v>
      </c>
      <c r="T60" s="4" t="s">
        <v>211</v>
      </c>
      <c r="U60" s="4">
        <f t="shared" si="2"/>
        <v>2</v>
      </c>
      <c r="V60" s="4">
        <v>58</v>
      </c>
      <c r="W60" s="2" t="s">
        <v>72</v>
      </c>
      <c r="X60" s="2" t="s">
        <v>76</v>
      </c>
      <c r="Y60" s="2"/>
      <c r="Z60" s="2" t="s">
        <v>73</v>
      </c>
      <c r="AA60" s="2" t="s">
        <v>119</v>
      </c>
      <c r="AB60" s="2"/>
      <c r="AC60" s="273" t="s">
        <v>242</v>
      </c>
      <c r="AD60" s="273" t="s">
        <v>260</v>
      </c>
      <c r="AE60" s="273" t="s">
        <v>249</v>
      </c>
      <c r="AF60" s="273" t="s">
        <v>259</v>
      </c>
      <c r="AG60" s="109"/>
      <c r="AH60" s="106">
        <f t="shared" si="3"/>
        <v>2</v>
      </c>
      <c r="AI60" s="106"/>
      <c r="AJ60" s="114"/>
      <c r="AK60" s="111"/>
      <c r="AN60" s="2"/>
      <c r="AP60" s="2"/>
      <c r="AU60" s="71" t="s">
        <v>563</v>
      </c>
      <c r="AV60" s="2"/>
      <c r="AW60" s="2"/>
      <c r="AX60" s="5">
        <v>58</v>
      </c>
      <c r="AY60" s="5">
        <v>3</v>
      </c>
      <c r="AZ60" s="309">
        <f>Elektrolisis!$Q$12</f>
        <v>1</v>
      </c>
      <c r="BA60" s="314">
        <f>IF(AND(C60&lt;&gt;"HF",C60&lt;&gt;"H3PO4",AY60&gt;0),AY60*Elektrolisis!$Q$13,IF(AND(C60="HF",AY60&gt;0),(Elektrolisis!$Q$13*0.0006)^0.5,IF(AND(C60="H3PO4",AY60&gt;0),(Elektrolisis!$Q$13*0.00075)^0.5,"")))</f>
        <v>3</v>
      </c>
      <c r="BB60" s="5">
        <v>2</v>
      </c>
      <c r="BC60" s="310" t="str">
        <f>IF(AX60=Elektrolisis!$M$7,IF(BB60=1,-LOG(BA60),IF(BB60=2,14+LOG(BA60),7)),"")</f>
        <v/>
      </c>
      <c r="BD60" s="313" t="str">
        <f>IF(AX60=Elektrolisis!$M$7,(Elektrolisis!$Q$14*Elektrolisis!$Q$15)/(96500*REAKSI!R60*REAKSI!AZ60),"")</f>
        <v/>
      </c>
      <c r="BE60" s="312" t="str">
        <f>IF(AX60=Elektrolisis!$M$7,IF(BA60&gt;BD60,BA60-BD60,IF(BA60&lt;=BD60,0.0000001)),"")</f>
        <v/>
      </c>
      <c r="BF60" s="310" t="str">
        <f>IF(AX60=Elektrolisis!$M$7,IF(BB60=1,-LOG(BE60),IF(BB60=2,14+LOG(BE60),7)),"")</f>
        <v/>
      </c>
    </row>
    <row r="61" spans="1:58" ht="18.95" customHeight="1" x14ac:dyDescent="0.35">
      <c r="A61">
        <v>23</v>
      </c>
      <c r="B61" s="160">
        <v>59</v>
      </c>
      <c r="C61" s="270" t="s">
        <v>191</v>
      </c>
      <c r="E61" s="256" t="s">
        <v>637</v>
      </c>
      <c r="F61" s="71" t="s">
        <v>104</v>
      </c>
      <c r="H61" s="71" t="s">
        <v>133</v>
      </c>
      <c r="I61" s="71" t="s">
        <v>336</v>
      </c>
      <c r="J61" s="71" t="s">
        <v>337</v>
      </c>
      <c r="K61" s="221" t="s">
        <v>413</v>
      </c>
      <c r="L61" s="2"/>
      <c r="M61" s="4" t="s">
        <v>232</v>
      </c>
      <c r="N61" s="4">
        <v>4</v>
      </c>
      <c r="O61" s="4">
        <v>32</v>
      </c>
      <c r="P61" s="4"/>
      <c r="Q61" s="92" t="s">
        <v>236</v>
      </c>
      <c r="R61" s="4">
        <v>2</v>
      </c>
      <c r="S61" s="4">
        <v>2</v>
      </c>
      <c r="T61" s="4" t="s">
        <v>211</v>
      </c>
      <c r="U61" s="4">
        <f t="shared" si="2"/>
        <v>2</v>
      </c>
      <c r="V61" s="4">
        <v>59</v>
      </c>
      <c r="W61" s="2" t="s">
        <v>72</v>
      </c>
      <c r="X61" s="2" t="s">
        <v>76</v>
      </c>
      <c r="Y61" s="2"/>
      <c r="Z61" s="2" t="s">
        <v>73</v>
      </c>
      <c r="AA61" s="2" t="s">
        <v>120</v>
      </c>
      <c r="AB61" s="2"/>
      <c r="AC61" s="273" t="s">
        <v>242</v>
      </c>
      <c r="AD61" s="273" t="s">
        <v>260</v>
      </c>
      <c r="AE61" s="273" t="s">
        <v>249</v>
      </c>
      <c r="AF61" s="273" t="s">
        <v>259</v>
      </c>
      <c r="AG61" s="109"/>
      <c r="AH61" s="106">
        <f t="shared" si="3"/>
        <v>2</v>
      </c>
      <c r="AI61" s="106"/>
      <c r="AJ61" s="114"/>
      <c r="AK61" s="111"/>
      <c r="AN61" s="2"/>
      <c r="AP61" s="2"/>
      <c r="AU61" s="71" t="s">
        <v>564</v>
      </c>
      <c r="AV61" s="2"/>
      <c r="AW61" s="2"/>
      <c r="AX61" s="5">
        <v>59</v>
      </c>
      <c r="AY61" s="5">
        <v>2</v>
      </c>
      <c r="AZ61" s="309">
        <f>Elektrolisis!$Q$12</f>
        <v>1</v>
      </c>
      <c r="BA61" s="314">
        <f>IF(AND(C61&lt;&gt;"HF",C61&lt;&gt;"H3PO4",AY61&gt;0),AY61*Elektrolisis!$Q$13,IF(AND(C61="HF",AY61&gt;0),(Elektrolisis!$Q$13*0.0006)^0.5,IF(AND(C61="H3PO4",AY61&gt;0),(Elektrolisis!$Q$13*0.00075)^0.5,"")))</f>
        <v>2</v>
      </c>
      <c r="BB61" s="5">
        <v>2</v>
      </c>
      <c r="BC61" s="310" t="str">
        <f>IF(AX61=Elektrolisis!$M$7,IF(BB61=1,-LOG(BA61),IF(BB61=2,14+LOG(BA61),7)),"")</f>
        <v/>
      </c>
      <c r="BD61" s="313" t="str">
        <f>IF(AX61=Elektrolisis!$M$7,(Elektrolisis!$Q$14*Elektrolisis!$Q$15)/(96500*REAKSI!R61*REAKSI!AZ61),"")</f>
        <v/>
      </c>
      <c r="BE61" s="312" t="str">
        <f>IF(AX61=Elektrolisis!$M$7,IF(BA61&gt;BD61,BA61-BD61,IF(BA61&lt;=BD61,0.0000001)),"")</f>
        <v/>
      </c>
      <c r="BF61" s="310" t="str">
        <f>IF(AX61=Elektrolisis!$M$7,IF(BB61=1,-LOG(BE61),IF(BB61=2,14+LOG(BE61),7)),"")</f>
        <v/>
      </c>
    </row>
    <row r="62" spans="1:58" ht="18.95" customHeight="1" x14ac:dyDescent="0.35">
      <c r="A62">
        <v>24</v>
      </c>
      <c r="B62" s="160">
        <v>60</v>
      </c>
      <c r="C62" s="270" t="s">
        <v>192</v>
      </c>
      <c r="E62" s="256" t="s">
        <v>638</v>
      </c>
      <c r="F62" s="71"/>
      <c r="H62" s="71" t="s">
        <v>136</v>
      </c>
      <c r="I62" s="71" t="s">
        <v>436</v>
      </c>
      <c r="J62" s="71" t="s">
        <v>452</v>
      </c>
      <c r="K62" s="221" t="s">
        <v>487</v>
      </c>
      <c r="L62" s="2"/>
      <c r="M62" s="4" t="s">
        <v>231</v>
      </c>
      <c r="N62" s="4">
        <v>2</v>
      </c>
      <c r="O62" s="4">
        <v>71</v>
      </c>
      <c r="P62" s="4"/>
      <c r="Q62" s="92" t="s">
        <v>202</v>
      </c>
      <c r="R62" s="4">
        <v>1</v>
      </c>
      <c r="S62" s="4">
        <v>107.9</v>
      </c>
      <c r="T62" s="4"/>
      <c r="U62" s="4">
        <f t="shared" si="2"/>
        <v>0</v>
      </c>
      <c r="V62" s="4">
        <v>60</v>
      </c>
      <c r="W62" s="2" t="s">
        <v>72</v>
      </c>
      <c r="X62" s="2" t="s">
        <v>77</v>
      </c>
      <c r="Y62" s="2"/>
      <c r="Z62" s="2" t="s">
        <v>73</v>
      </c>
      <c r="AA62" s="2" t="s">
        <v>140</v>
      </c>
      <c r="AB62" s="2"/>
      <c r="AC62" s="273" t="s">
        <v>238</v>
      </c>
      <c r="AD62" s="273" t="s">
        <v>239</v>
      </c>
      <c r="AE62" s="273" t="s">
        <v>255</v>
      </c>
      <c r="AF62" s="273" t="s">
        <v>68</v>
      </c>
      <c r="AG62" s="109"/>
      <c r="AH62" s="106">
        <f t="shared" si="3"/>
        <v>0</v>
      </c>
      <c r="AI62" s="106"/>
      <c r="AJ62" s="114"/>
      <c r="AK62" s="111"/>
      <c r="AN62" s="2"/>
      <c r="AP62" s="2"/>
      <c r="AU62" s="71" t="s">
        <v>550</v>
      </c>
      <c r="AV62" s="2"/>
      <c r="AW62" s="2"/>
      <c r="AX62" s="5">
        <v>60</v>
      </c>
      <c r="AY62" s="5">
        <v>0</v>
      </c>
      <c r="AZ62" s="309">
        <f>Elektrolisis!$Q$12</f>
        <v>1</v>
      </c>
      <c r="BA62" s="314" t="str">
        <f>IF(AND(C62&lt;&gt;"HF",C62&lt;&gt;"H3PO4",AY62&gt;0),AY62*Elektrolisis!$Q$13,IF(AND(C62="HF",AY62&gt;0),(Elektrolisis!$Q$13*0.0006)^0.5,IF(AND(C62="H3PO4",AY62&gt;0),(Elektrolisis!$Q$13*0.00075)^0.5,"")))</f>
        <v/>
      </c>
      <c r="BB62" s="5">
        <v>0</v>
      </c>
      <c r="BC62" s="310" t="str">
        <f>IF(AX62=Elektrolisis!$M$7,IF(BB62=1,-LOG(BA62),IF(BB62=2,14+LOG(BA62),7)),"")</f>
        <v/>
      </c>
      <c r="BD62" s="313" t="str">
        <f>IF(AX62=Elektrolisis!$M$7,(Elektrolisis!$Q$14*Elektrolisis!$Q$15)/(96500*REAKSI!R62*REAKSI!AZ62),"")</f>
        <v/>
      </c>
      <c r="BE62" s="312" t="str">
        <f>IF(AX62=Elektrolisis!$M$7,IF(BA62&gt;BD62,BA62-BD62,IF(BA62&lt;=BD62,0.0000001)),"")</f>
        <v/>
      </c>
      <c r="BF62" s="310" t="str">
        <f>IF(AX62=Elektrolisis!$M$7,IF(BB62=1,-LOG(BE62),IF(BB62=2,14+LOG(BE62),7)),"")</f>
        <v/>
      </c>
    </row>
    <row r="63" spans="1:58" ht="18.95" customHeight="1" x14ac:dyDescent="0.35">
      <c r="A63">
        <v>25</v>
      </c>
      <c r="B63" s="160">
        <v>61</v>
      </c>
      <c r="C63" s="270" t="s">
        <v>193</v>
      </c>
      <c r="E63" s="256" t="s">
        <v>639</v>
      </c>
      <c r="F63" s="71"/>
      <c r="H63" s="71" t="s">
        <v>137</v>
      </c>
      <c r="I63" s="71" t="s">
        <v>435</v>
      </c>
      <c r="J63" s="71" t="s">
        <v>453</v>
      </c>
      <c r="K63" s="221" t="s">
        <v>488</v>
      </c>
      <c r="L63" s="2"/>
      <c r="M63" s="4" t="s">
        <v>234</v>
      </c>
      <c r="N63" s="4">
        <v>2</v>
      </c>
      <c r="O63" s="4">
        <v>159.80000000000001</v>
      </c>
      <c r="P63" s="4"/>
      <c r="Q63" s="92" t="s">
        <v>205</v>
      </c>
      <c r="R63" s="4">
        <v>2</v>
      </c>
      <c r="S63" s="4">
        <v>58.69</v>
      </c>
      <c r="T63" s="4"/>
      <c r="U63" s="4">
        <f t="shared" si="2"/>
        <v>0</v>
      </c>
      <c r="V63" s="4">
        <v>61</v>
      </c>
      <c r="W63" s="2" t="s">
        <v>72</v>
      </c>
      <c r="X63" s="2" t="s">
        <v>111</v>
      </c>
      <c r="Y63" s="2"/>
      <c r="Z63" s="2" t="s">
        <v>73</v>
      </c>
      <c r="AA63" s="2" t="s">
        <v>141</v>
      </c>
      <c r="AB63" s="2"/>
      <c r="AC63" s="273" t="s">
        <v>257</v>
      </c>
      <c r="AD63" s="273" t="s">
        <v>258</v>
      </c>
      <c r="AE63" s="273" t="s">
        <v>261</v>
      </c>
      <c r="AF63" s="273" t="s">
        <v>86</v>
      </c>
      <c r="AG63" s="109"/>
      <c r="AH63" s="106">
        <f t="shared" si="3"/>
        <v>0</v>
      </c>
      <c r="AI63" s="106"/>
      <c r="AJ63" s="114"/>
      <c r="AK63" s="111"/>
      <c r="AN63" s="2"/>
      <c r="AP63" s="2"/>
      <c r="AU63" s="71" t="s">
        <v>551</v>
      </c>
      <c r="AV63" s="2"/>
      <c r="AW63" s="2"/>
      <c r="AX63" s="5">
        <v>61</v>
      </c>
      <c r="AY63" s="5">
        <v>0</v>
      </c>
      <c r="AZ63" s="309">
        <f>Elektrolisis!$Q$12</f>
        <v>1</v>
      </c>
      <c r="BA63" s="314" t="str">
        <f>IF(AND(C63&lt;&gt;"HF",C63&lt;&gt;"H3PO4",AY63&gt;0),AY63*Elektrolisis!$Q$13,IF(AND(C63="HF",AY63&gt;0),(Elektrolisis!$Q$13*0.0006)^0.5,IF(AND(C63="H3PO4",AY63&gt;0),(Elektrolisis!$Q$13*0.00075)^0.5,"")))</f>
        <v/>
      </c>
      <c r="BB63" s="5">
        <v>0</v>
      </c>
      <c r="BC63" s="310" t="str">
        <f>IF(AX63=Elektrolisis!$M$7,IF(BB63=1,-LOG(BA63),IF(BB63=2,14+LOG(BA63),7)),"")</f>
        <v/>
      </c>
      <c r="BD63" s="313" t="str">
        <f>IF(AX63=Elektrolisis!$M$7,(Elektrolisis!$Q$14*Elektrolisis!$Q$15)/(96500*REAKSI!R63*REAKSI!AZ63),"")</f>
        <v/>
      </c>
      <c r="BE63" s="312" t="str">
        <f>IF(AX63=Elektrolisis!$M$7,IF(BA63&gt;BD63,BA63-BD63,IF(BA63&lt;=BD63,0.0000001)),"")</f>
        <v/>
      </c>
      <c r="BF63" s="310" t="str">
        <f>IF(AX63=Elektrolisis!$M$7,IF(BB63=1,-LOG(BE63),IF(BB63=2,14+LOG(BE63),7)),"")</f>
        <v/>
      </c>
    </row>
    <row r="64" spans="1:58" ht="18.95" customHeight="1" x14ac:dyDescent="0.35">
      <c r="A64">
        <v>26</v>
      </c>
      <c r="B64" s="160">
        <v>62</v>
      </c>
      <c r="C64" s="270" t="s">
        <v>194</v>
      </c>
      <c r="E64" s="256" t="s">
        <v>640</v>
      </c>
      <c r="F64" s="71"/>
      <c r="H64" s="71" t="s">
        <v>383</v>
      </c>
      <c r="I64" s="71" t="s">
        <v>711</v>
      </c>
      <c r="J64" s="71" t="s">
        <v>440</v>
      </c>
      <c r="K64" s="221" t="s">
        <v>712</v>
      </c>
      <c r="L64" s="2"/>
      <c r="M64" s="4" t="s">
        <v>680</v>
      </c>
      <c r="N64" s="4">
        <v>2</v>
      </c>
      <c r="O64" s="4">
        <v>253.8</v>
      </c>
      <c r="P64" s="4"/>
      <c r="Q64" s="92" t="s">
        <v>197</v>
      </c>
      <c r="R64" s="4">
        <v>2</v>
      </c>
      <c r="S64" s="4">
        <v>63.55</v>
      </c>
      <c r="T64" s="4"/>
      <c r="U64" s="4">
        <f t="shared" si="2"/>
        <v>0</v>
      </c>
      <c r="V64" s="4">
        <v>62</v>
      </c>
      <c r="W64" s="2" t="s">
        <v>72</v>
      </c>
      <c r="X64" s="2" t="s">
        <v>101</v>
      </c>
      <c r="Y64" s="2"/>
      <c r="Z64" s="2" t="s">
        <v>73</v>
      </c>
      <c r="AA64" s="2" t="s">
        <v>78</v>
      </c>
      <c r="AB64" s="2"/>
      <c r="AC64" s="273" t="s">
        <v>244</v>
      </c>
      <c r="AD64" s="273" t="s">
        <v>251</v>
      </c>
      <c r="AE64" s="273" t="s">
        <v>245</v>
      </c>
      <c r="AF64" s="273" t="s">
        <v>3</v>
      </c>
      <c r="AG64" s="109"/>
      <c r="AH64" s="106">
        <f t="shared" si="3"/>
        <v>0</v>
      </c>
      <c r="AI64" s="106"/>
      <c r="AJ64" s="114"/>
      <c r="AK64" s="111"/>
      <c r="AN64" s="2"/>
      <c r="AP64" s="2"/>
      <c r="AU64" s="71" t="s">
        <v>552</v>
      </c>
      <c r="AV64" s="2"/>
      <c r="AW64" s="2"/>
      <c r="AX64" s="5">
        <v>62</v>
      </c>
      <c r="AY64" s="5">
        <v>0</v>
      </c>
      <c r="AZ64" s="309">
        <f>Elektrolisis!$Q$12</f>
        <v>1</v>
      </c>
      <c r="BA64" s="314" t="str">
        <f>IF(AND(C64&lt;&gt;"HF",C64&lt;&gt;"H3PO4",AY64&gt;0),AY64*Elektrolisis!$Q$13,IF(AND(C64="HF",AY64&gt;0),(Elektrolisis!$Q$13*0.0006)^0.5,IF(AND(C64="H3PO4",AY64&gt;0),(Elektrolisis!$Q$13*0.00075)^0.5,"")))</f>
        <v/>
      </c>
      <c r="BB64" s="5">
        <v>0</v>
      </c>
      <c r="BC64" s="310" t="str">
        <f>IF(AX64=Elektrolisis!$M$7,IF(BB64=1,-LOG(BA64),IF(BB64=2,14+LOG(BA64),7)),"")</f>
        <v/>
      </c>
      <c r="BD64" s="313" t="str">
        <f>IF(AX64=Elektrolisis!$M$7,(Elektrolisis!$Q$14*Elektrolisis!$Q$15)/(96500*REAKSI!R64*REAKSI!AZ64),"")</f>
        <v/>
      </c>
      <c r="BE64" s="312" t="str">
        <f>IF(AX64=Elektrolisis!$M$7,IF(BA64&gt;BD64,BA64-BD64,IF(BA64&lt;=BD64,0.0000001)),"")</f>
        <v/>
      </c>
      <c r="BF64" s="310" t="str">
        <f>IF(AX64=Elektrolisis!$M$7,IF(BB64=1,-LOG(BE64),IF(BB64=2,14+LOG(BE64),7)),"")</f>
        <v/>
      </c>
    </row>
    <row r="65" spans="1:58" ht="18.95" customHeight="1" x14ac:dyDescent="0.35">
      <c r="A65">
        <v>27</v>
      </c>
      <c r="B65" s="160">
        <v>63</v>
      </c>
      <c r="C65" s="270" t="s">
        <v>18</v>
      </c>
      <c r="E65" s="256" t="s">
        <v>641</v>
      </c>
      <c r="F65" s="71"/>
      <c r="H65" s="71" t="s">
        <v>138</v>
      </c>
      <c r="I65" s="71" t="s">
        <v>436</v>
      </c>
      <c r="J65" s="71" t="s">
        <v>445</v>
      </c>
      <c r="K65" s="221" t="s">
        <v>489</v>
      </c>
      <c r="L65" s="2"/>
      <c r="M65" s="4" t="s">
        <v>231</v>
      </c>
      <c r="N65" s="4">
        <v>2</v>
      </c>
      <c r="O65" s="4">
        <v>71</v>
      </c>
      <c r="P65" s="4"/>
      <c r="Q65" s="92" t="s">
        <v>201</v>
      </c>
      <c r="R65" s="4">
        <v>2</v>
      </c>
      <c r="S65" s="4">
        <v>65.39</v>
      </c>
      <c r="T65" s="4"/>
      <c r="U65" s="4">
        <f t="shared" si="2"/>
        <v>0</v>
      </c>
      <c r="V65" s="4">
        <v>63</v>
      </c>
      <c r="W65" s="2" t="s">
        <v>72</v>
      </c>
      <c r="X65" s="2" t="s">
        <v>77</v>
      </c>
      <c r="Y65" s="2"/>
      <c r="Z65" s="2" t="s">
        <v>73</v>
      </c>
      <c r="AA65" s="2" t="s">
        <v>142</v>
      </c>
      <c r="AB65" s="2"/>
      <c r="AC65" s="273" t="s">
        <v>238</v>
      </c>
      <c r="AD65" s="273" t="s">
        <v>239</v>
      </c>
      <c r="AE65" s="273" t="s">
        <v>253</v>
      </c>
      <c r="AF65" s="273" t="s">
        <v>50</v>
      </c>
      <c r="AG65" s="109"/>
      <c r="AH65" s="106">
        <f t="shared" si="3"/>
        <v>0</v>
      </c>
      <c r="AI65" s="106"/>
      <c r="AJ65" s="114"/>
      <c r="AK65" s="111"/>
      <c r="AN65" s="2"/>
      <c r="AP65" s="2"/>
      <c r="AU65" s="71" t="s">
        <v>553</v>
      </c>
      <c r="AV65" s="2"/>
      <c r="AW65" s="2"/>
      <c r="AX65" s="5">
        <v>63</v>
      </c>
      <c r="AY65" s="5">
        <v>0</v>
      </c>
      <c r="AZ65" s="309">
        <f>Elektrolisis!$Q$12</f>
        <v>1</v>
      </c>
      <c r="BA65" s="314" t="str">
        <f>IF(AND(C65&lt;&gt;"HF",C65&lt;&gt;"H3PO4",AY65&gt;0),AY65*Elektrolisis!$Q$13,IF(AND(C65="HF",AY65&gt;0),(Elektrolisis!$Q$13*0.0006)^0.5,IF(AND(C65="H3PO4",AY65&gt;0),(Elektrolisis!$Q$13*0.00075)^0.5,"")))</f>
        <v/>
      </c>
      <c r="BB65" s="5">
        <v>0</v>
      </c>
      <c r="BC65" s="310">
        <f>IF(AX65=Elektrolisis!$M$7,IF(BB65=1,-LOG(BA65),IF(BB65=2,14+LOG(BA65),7)),"")</f>
        <v>7</v>
      </c>
      <c r="BD65" s="313">
        <f>IF(AX65=Elektrolisis!$M$7,(Elektrolisis!$Q$14*Elektrolisis!$Q$15)/(96500*REAKSI!R65*REAKSI!AZ65),"")</f>
        <v>0.37290155440414507</v>
      </c>
      <c r="BE65" s="312" t="e">
        <f>IF(AX65=Elektrolisis!$M$7,IF(BA65&gt;BD65,BA65-BD65,IF(BA65&lt;=BD65,0.0000001)),"")</f>
        <v>#VALUE!</v>
      </c>
      <c r="BF65" s="310">
        <f>IF(AX65=Elektrolisis!$M$7,IF(BB65=1,-LOG(BE65),IF(BB65=2,14+LOG(BE65),7)),"")</f>
        <v>7</v>
      </c>
    </row>
    <row r="66" spans="1:58" ht="18.95" customHeight="1" x14ac:dyDescent="0.35">
      <c r="A66">
        <v>28</v>
      </c>
      <c r="B66" s="160">
        <v>64</v>
      </c>
      <c r="C66" s="270" t="s">
        <v>17</v>
      </c>
      <c r="E66" s="256" t="s">
        <v>642</v>
      </c>
      <c r="F66" s="71"/>
      <c r="H66" s="71" t="s">
        <v>225</v>
      </c>
      <c r="I66" s="71" t="s">
        <v>436</v>
      </c>
      <c r="J66" s="71" t="s">
        <v>443</v>
      </c>
      <c r="K66" s="221" t="s">
        <v>490</v>
      </c>
      <c r="L66" s="2"/>
      <c r="M66" s="4" t="s">
        <v>231</v>
      </c>
      <c r="N66" s="4">
        <v>2</v>
      </c>
      <c r="O66" s="4">
        <v>71</v>
      </c>
      <c r="P66" s="4"/>
      <c r="Q66" s="92" t="s">
        <v>200</v>
      </c>
      <c r="R66" s="4">
        <v>3</v>
      </c>
      <c r="S66" s="4">
        <v>52</v>
      </c>
      <c r="T66" s="4"/>
      <c r="U66" s="4">
        <f t="shared" si="2"/>
        <v>0</v>
      </c>
      <c r="V66" s="4">
        <v>64</v>
      </c>
      <c r="W66" s="2" t="s">
        <v>72</v>
      </c>
      <c r="X66" s="2" t="s">
        <v>77</v>
      </c>
      <c r="Y66" s="2"/>
      <c r="Z66" s="2" t="s">
        <v>73</v>
      </c>
      <c r="AA66" s="2" t="s">
        <v>226</v>
      </c>
      <c r="AB66" s="2"/>
      <c r="AC66" s="273" t="s">
        <v>238</v>
      </c>
      <c r="AD66" s="273" t="s">
        <v>239</v>
      </c>
      <c r="AE66" s="273" t="s">
        <v>248</v>
      </c>
      <c r="AF66" s="273" t="s">
        <v>49</v>
      </c>
      <c r="AG66" s="109"/>
      <c r="AH66" s="106">
        <f t="shared" si="3"/>
        <v>0</v>
      </c>
      <c r="AI66" s="106"/>
      <c r="AJ66" s="114"/>
      <c r="AK66" s="111"/>
      <c r="AN66" s="2"/>
      <c r="AP66" s="2"/>
      <c r="AU66" s="71" t="s">
        <v>554</v>
      </c>
      <c r="AV66" s="2"/>
      <c r="AW66" s="2"/>
      <c r="AX66" s="5">
        <v>64</v>
      </c>
      <c r="AY66" s="5">
        <v>0</v>
      </c>
      <c r="AZ66" s="309">
        <f>Elektrolisis!$Q$12</f>
        <v>1</v>
      </c>
      <c r="BA66" s="314" t="str">
        <f>IF(AND(C66&lt;&gt;"HF",C66&lt;&gt;"H3PO4",AY66&gt;0),AY66*Elektrolisis!$Q$13,IF(AND(C66="HF",AY66&gt;0),(Elektrolisis!$Q$13*0.0006)^0.5,IF(AND(C66="H3PO4",AY66&gt;0),(Elektrolisis!$Q$13*0.00075)^0.5,"")))</f>
        <v/>
      </c>
      <c r="BB66" s="5">
        <v>0</v>
      </c>
      <c r="BC66" s="310" t="str">
        <f>IF(AX66=Elektrolisis!$M$7,IF(BB66=1,-LOG(BA66),IF(BB66=2,14+LOG(BA66),7)),"")</f>
        <v/>
      </c>
      <c r="BD66" s="313" t="str">
        <f>IF(AX66=Elektrolisis!$M$7,(Elektrolisis!$Q$14*Elektrolisis!$Q$15)/(96500*REAKSI!R66*REAKSI!AZ66),"")</f>
        <v/>
      </c>
      <c r="BE66" s="312" t="str">
        <f>IF(AX66=Elektrolisis!$M$7,IF(BA66&gt;BD66,BA66-BD66,IF(BA66&lt;=BD66,0.0000001)),"")</f>
        <v/>
      </c>
      <c r="BF66" s="310" t="str">
        <f>IF(AX66=Elektrolisis!$M$7,IF(BB66=1,-LOG(BE66),IF(BB66=2,14+LOG(BE66),7)),"")</f>
        <v/>
      </c>
    </row>
    <row r="67" spans="1:58" ht="18.95" customHeight="1" x14ac:dyDescent="0.35">
      <c r="A67">
        <v>29</v>
      </c>
      <c r="B67" s="160">
        <v>65</v>
      </c>
      <c r="C67" s="270" t="s">
        <v>196</v>
      </c>
      <c r="E67" s="256" t="s">
        <v>643</v>
      </c>
      <c r="F67" s="71"/>
      <c r="H67" s="71" t="s">
        <v>139</v>
      </c>
      <c r="I67" s="71" t="s">
        <v>436</v>
      </c>
      <c r="J67" s="71" t="s">
        <v>454</v>
      </c>
      <c r="K67" s="221" t="s">
        <v>491</v>
      </c>
      <c r="L67" s="2"/>
      <c r="M67" s="4" t="s">
        <v>231</v>
      </c>
      <c r="N67" s="4">
        <v>2</v>
      </c>
      <c r="O67" s="4">
        <v>71</v>
      </c>
      <c r="P67" s="4"/>
      <c r="Q67" s="92" t="s">
        <v>207</v>
      </c>
      <c r="R67" s="4">
        <v>2</v>
      </c>
      <c r="S67" s="4">
        <v>118.7</v>
      </c>
      <c r="T67" s="4"/>
      <c r="U67" s="4">
        <f t="shared" si="2"/>
        <v>0</v>
      </c>
      <c r="V67" s="4">
        <v>65</v>
      </c>
      <c r="W67" s="2" t="s">
        <v>72</v>
      </c>
      <c r="X67" s="2" t="s">
        <v>77</v>
      </c>
      <c r="Y67" s="2"/>
      <c r="Z67" s="2" t="s">
        <v>73</v>
      </c>
      <c r="AA67" s="2" t="s">
        <v>144</v>
      </c>
      <c r="AB67" s="2"/>
      <c r="AC67" s="273" t="s">
        <v>238</v>
      </c>
      <c r="AD67" s="273" t="s">
        <v>239</v>
      </c>
      <c r="AE67" s="273" t="s">
        <v>262</v>
      </c>
      <c r="AF67" s="273" t="s">
        <v>220</v>
      </c>
      <c r="AG67" s="109"/>
      <c r="AH67" s="106">
        <f t="shared" si="3"/>
        <v>0</v>
      </c>
      <c r="AI67" s="106"/>
      <c r="AJ67" s="114"/>
      <c r="AK67" s="111"/>
      <c r="AN67" s="2"/>
      <c r="AP67" s="2"/>
      <c r="AU67" s="71" t="s">
        <v>555</v>
      </c>
      <c r="AV67" s="2"/>
      <c r="AW67" s="2"/>
      <c r="AX67" s="5">
        <v>65</v>
      </c>
      <c r="AY67" s="5">
        <v>0</v>
      </c>
      <c r="AZ67" s="309">
        <f>Elektrolisis!$Q$12</f>
        <v>1</v>
      </c>
      <c r="BA67" s="314" t="str">
        <f>IF(AND(C67&lt;&gt;"HF",C67&lt;&gt;"H3PO4",AY67&gt;0),AY67*Elektrolisis!$Q$13,IF(AND(C67="HF",AY67&gt;0),(Elektrolisis!$Q$13*0.0006)^0.5,IF(AND(C67="H3PO4",AY67&gt;0),(Elektrolisis!$Q$13*0.00075)^0.5,"")))</f>
        <v/>
      </c>
      <c r="BB67" s="5">
        <v>0</v>
      </c>
      <c r="BC67" s="310" t="str">
        <f>IF(AX67=Elektrolisis!$M$7,IF(BB67=1,-LOG(BA67),IF(BB67=2,14+LOG(BA67),7)),"")</f>
        <v/>
      </c>
      <c r="BD67" s="313" t="str">
        <f>IF(AX67=Elektrolisis!$M$7,(Elektrolisis!$Q$14*Elektrolisis!$Q$15)/(96500*REAKSI!R67*REAKSI!AZ67),"")</f>
        <v/>
      </c>
      <c r="BE67" s="312" t="str">
        <f>IF(AX67=Elektrolisis!$M$7,IF(BA67&gt;BD67,BA67-BD67,IF(BA67&lt;=BD67,0.0000001)),"")</f>
        <v/>
      </c>
      <c r="BF67" s="310" t="str">
        <f>IF(AX67=Elektrolisis!$M$7,IF(BB67=1,-LOG(BE67),IF(BB67=2,14+LOG(BE67),7)),"")</f>
        <v/>
      </c>
    </row>
    <row r="68" spans="1:58" ht="18.95" customHeight="1" x14ac:dyDescent="0.35">
      <c r="A68">
        <v>30</v>
      </c>
      <c r="B68" s="160">
        <v>66</v>
      </c>
      <c r="C68" s="270" t="s">
        <v>145</v>
      </c>
      <c r="E68" s="256" t="s">
        <v>644</v>
      </c>
      <c r="F68" s="71" t="s">
        <v>105</v>
      </c>
      <c r="H68" s="71" t="s">
        <v>156</v>
      </c>
      <c r="I68" s="71" t="s">
        <v>432</v>
      </c>
      <c r="J68" s="71" t="s">
        <v>452</v>
      </c>
      <c r="K68" s="221" t="s">
        <v>492</v>
      </c>
      <c r="L68" s="2"/>
      <c r="M68" s="4" t="s">
        <v>232</v>
      </c>
      <c r="N68" s="4">
        <v>4</v>
      </c>
      <c r="O68" s="4">
        <v>32</v>
      </c>
      <c r="P68" s="4" t="s">
        <v>210</v>
      </c>
      <c r="Q68" s="92" t="s">
        <v>202</v>
      </c>
      <c r="R68" s="4">
        <v>1</v>
      </c>
      <c r="S68" s="4">
        <v>107.9</v>
      </c>
      <c r="T68" s="4"/>
      <c r="U68" s="4">
        <f>IF(P68&amp;T68="[H+] =",1,IF(P68&amp;T68="[OH-] =",2,0))</f>
        <v>1</v>
      </c>
      <c r="V68" s="4">
        <v>66</v>
      </c>
      <c r="W68" s="2" t="s">
        <v>72</v>
      </c>
      <c r="X68" s="2" t="s">
        <v>420</v>
      </c>
      <c r="Y68" s="2"/>
      <c r="Z68" s="2" t="s">
        <v>73</v>
      </c>
      <c r="AA68" s="2" t="s">
        <v>140</v>
      </c>
      <c r="AB68" s="2"/>
      <c r="AC68" s="273" t="s">
        <v>242</v>
      </c>
      <c r="AD68" s="273" t="s">
        <v>260</v>
      </c>
      <c r="AE68" s="273" t="s">
        <v>255</v>
      </c>
      <c r="AF68" s="273" t="s">
        <v>68</v>
      </c>
      <c r="AG68" s="109"/>
      <c r="AH68" s="106">
        <f t="shared" ref="AH68:AH131" si="6">U68</f>
        <v>1</v>
      </c>
      <c r="AI68" s="106"/>
      <c r="AJ68" s="114"/>
      <c r="AK68" s="111"/>
      <c r="AN68" s="2"/>
      <c r="AP68" s="2"/>
      <c r="AU68" s="71" t="s">
        <v>556</v>
      </c>
      <c r="AV68" s="2"/>
      <c r="AW68" s="2"/>
      <c r="AX68" s="5">
        <v>66</v>
      </c>
      <c r="AY68" s="5">
        <v>0</v>
      </c>
      <c r="AZ68" s="309">
        <f>Elektrolisis!$Q$12</f>
        <v>1</v>
      </c>
      <c r="BA68" s="314" t="str">
        <f>IF(AND(C68&lt;&gt;"HF",C68&lt;&gt;"H3PO4",AY68&gt;0),AY68*Elektrolisis!$Q$13,IF(AND(C68="HF",AY68&gt;0),(Elektrolisis!$Q$13*0.0006)^0.5,IF(AND(C68="H3PO4",AY68&gt;0),(Elektrolisis!$Q$13*0.00075)^0.5,"")))</f>
        <v/>
      </c>
      <c r="BB68" s="5">
        <v>0</v>
      </c>
      <c r="BC68" s="310" t="str">
        <f>IF(AX68=Elektrolisis!$M$7,IF(BB68=1,-LOG(BA68),IF(BB68=2,14+LOG(BA68),7)),"")</f>
        <v/>
      </c>
      <c r="BD68" s="313" t="str">
        <f>IF(AX68=Elektrolisis!$M$7,(Elektrolisis!$Q$14*Elektrolisis!$Q$15)/(96500*REAKSI!R68*REAKSI!AZ68),"")</f>
        <v/>
      </c>
      <c r="BE68" s="312" t="str">
        <f>IF(AX68=Elektrolisis!$M$7,IF(BA68&gt;BD68,BA68-BD68,IF(BA68&lt;=BD68,0.0000001)),"")</f>
        <v/>
      </c>
      <c r="BF68" s="310" t="str">
        <f>IF(AX68=Elektrolisis!$M$7,IF(BB68=1,-LOG(BE68),IF(BB68=2,14+LOG(BE68),7)),"")</f>
        <v/>
      </c>
    </row>
    <row r="69" spans="1:58" ht="18.95" customHeight="1" x14ac:dyDescent="0.35">
      <c r="A69">
        <v>31</v>
      </c>
      <c r="B69" s="160">
        <v>67</v>
      </c>
      <c r="C69" s="270" t="s">
        <v>146</v>
      </c>
      <c r="E69" s="256" t="s">
        <v>645</v>
      </c>
      <c r="F69" s="71" t="s">
        <v>105</v>
      </c>
      <c r="H69" s="71" t="s">
        <v>410</v>
      </c>
      <c r="I69" s="71" t="s">
        <v>432</v>
      </c>
      <c r="J69" s="71" t="s">
        <v>455</v>
      </c>
      <c r="K69" s="221" t="s">
        <v>493</v>
      </c>
      <c r="L69" s="2"/>
      <c r="M69" s="4" t="s">
        <v>232</v>
      </c>
      <c r="N69" s="4">
        <v>4</v>
      </c>
      <c r="O69" s="4">
        <v>32</v>
      </c>
      <c r="P69" s="4" t="s">
        <v>210</v>
      </c>
      <c r="Q69" s="92" t="s">
        <v>208</v>
      </c>
      <c r="R69" s="4">
        <v>3</v>
      </c>
      <c r="S69" s="4">
        <v>55.85</v>
      </c>
      <c r="T69" s="4"/>
      <c r="U69" s="4">
        <f t="shared" ref="U69:U75" si="7">IF(P69&amp;T69="[H+] =",1,IF(P69&amp;T69="[OH-] =",2,0))</f>
        <v>1</v>
      </c>
      <c r="V69" s="4">
        <v>67</v>
      </c>
      <c r="W69" s="2" t="s">
        <v>72</v>
      </c>
      <c r="X69" s="2" t="s">
        <v>421</v>
      </c>
      <c r="Y69" s="2"/>
      <c r="Z69" s="2" t="s">
        <v>73</v>
      </c>
      <c r="AA69" s="2" t="s">
        <v>165</v>
      </c>
      <c r="AB69" s="2"/>
      <c r="AC69" s="273" t="s">
        <v>242</v>
      </c>
      <c r="AD69" s="273" t="s">
        <v>260</v>
      </c>
      <c r="AE69" s="273" t="s">
        <v>263</v>
      </c>
      <c r="AF69" s="273" t="s">
        <v>218</v>
      </c>
      <c r="AG69" s="109"/>
      <c r="AH69" s="106">
        <f t="shared" si="6"/>
        <v>1</v>
      </c>
      <c r="AI69" s="106"/>
      <c r="AJ69" s="114"/>
      <c r="AK69" s="111"/>
      <c r="AN69" s="2"/>
      <c r="AP69" s="2"/>
      <c r="AU69" s="71" t="s">
        <v>717</v>
      </c>
      <c r="AV69" s="2"/>
      <c r="AW69" s="2"/>
      <c r="AX69" s="5">
        <v>67</v>
      </c>
      <c r="AY69" s="5">
        <v>0</v>
      </c>
      <c r="AZ69" s="309">
        <f>Elektrolisis!$Q$12</f>
        <v>1</v>
      </c>
      <c r="BA69" s="314" t="str">
        <f>IF(AND(C69&lt;&gt;"HF",C69&lt;&gt;"H3PO4",AY69&gt;0),AY69*Elektrolisis!$Q$13,IF(AND(C69="HF",AY69&gt;0),(Elektrolisis!$Q$13*0.0006)^0.5,IF(AND(C69="H3PO4",AY69&gt;0),(Elektrolisis!$Q$13*0.00075)^0.5,"")))</f>
        <v/>
      </c>
      <c r="BB69" s="5">
        <v>0</v>
      </c>
      <c r="BC69" s="310" t="str">
        <f>IF(AX69=Elektrolisis!$M$7,IF(BB69=1,-LOG(BA69),IF(BB69=2,14+LOG(BA69),7)),"")</f>
        <v/>
      </c>
      <c r="BD69" s="313" t="str">
        <f>IF(AX69=Elektrolisis!$M$7,(Elektrolisis!$Q$14*Elektrolisis!$Q$15)/(96500*REAKSI!R69*REAKSI!AZ69),"")</f>
        <v/>
      </c>
      <c r="BE69" s="312" t="str">
        <f>IF(AX69=Elektrolisis!$M$7,IF(BA69&gt;BD69,BA69-BD69,IF(BA69&lt;=BD69,0.0000001)),"")</f>
        <v/>
      </c>
      <c r="BF69" s="310" t="str">
        <f>IF(AX69=Elektrolisis!$M$7,IF(BB69=1,-LOG(BE69),IF(BB69=2,14+LOG(BE69),7)),"")</f>
        <v/>
      </c>
    </row>
    <row r="70" spans="1:58" ht="18.95" customHeight="1" x14ac:dyDescent="0.35">
      <c r="A70">
        <v>32</v>
      </c>
      <c r="B70" s="160">
        <v>68</v>
      </c>
      <c r="C70" s="270" t="s">
        <v>93</v>
      </c>
      <c r="E70" s="256" t="s">
        <v>646</v>
      </c>
      <c r="F70" s="71" t="s">
        <v>105</v>
      </c>
      <c r="H70" s="71" t="s">
        <v>411</v>
      </c>
      <c r="I70" s="71" t="s">
        <v>432</v>
      </c>
      <c r="J70" s="71" t="s">
        <v>456</v>
      </c>
      <c r="K70" s="221" t="s">
        <v>494</v>
      </c>
      <c r="L70" s="2"/>
      <c r="M70" s="4" t="s">
        <v>232</v>
      </c>
      <c r="N70" s="4">
        <v>4</v>
      </c>
      <c r="O70" s="4">
        <v>32</v>
      </c>
      <c r="P70" s="4" t="s">
        <v>210</v>
      </c>
      <c r="Q70" s="92" t="s">
        <v>209</v>
      </c>
      <c r="R70" s="4">
        <v>2</v>
      </c>
      <c r="S70" s="4">
        <v>58.93</v>
      </c>
      <c r="T70" s="4"/>
      <c r="U70" s="4">
        <f t="shared" si="7"/>
        <v>1</v>
      </c>
      <c r="V70" s="4">
        <v>68</v>
      </c>
      <c r="W70" s="2" t="s">
        <v>72</v>
      </c>
      <c r="X70" s="2" t="s">
        <v>420</v>
      </c>
      <c r="Y70" s="2"/>
      <c r="Z70" s="2" t="s">
        <v>73</v>
      </c>
      <c r="AA70" s="2" t="s">
        <v>166</v>
      </c>
      <c r="AB70" s="2"/>
      <c r="AC70" s="273" t="s">
        <v>242</v>
      </c>
      <c r="AD70" s="273" t="s">
        <v>260</v>
      </c>
      <c r="AE70" s="273" t="s">
        <v>264</v>
      </c>
      <c r="AF70" s="273" t="s">
        <v>94</v>
      </c>
      <c r="AG70" s="109"/>
      <c r="AH70" s="106">
        <f t="shared" si="6"/>
        <v>1</v>
      </c>
      <c r="AI70" s="106"/>
      <c r="AJ70" s="114"/>
      <c r="AK70" s="111"/>
      <c r="AN70" s="2"/>
      <c r="AP70" s="2"/>
      <c r="AU70" s="71" t="s">
        <v>557</v>
      </c>
      <c r="AV70" s="2"/>
      <c r="AW70" s="2"/>
      <c r="AX70" s="5">
        <v>68</v>
      </c>
      <c r="AY70" s="5">
        <v>0</v>
      </c>
      <c r="AZ70" s="309">
        <f>Elektrolisis!$Q$12</f>
        <v>1</v>
      </c>
      <c r="BA70" s="314" t="str">
        <f>IF(AND(C70&lt;&gt;"HF",C70&lt;&gt;"H3PO4",AY70&gt;0),AY70*Elektrolisis!$Q$13,IF(AND(C70="HF",AY70&gt;0),(Elektrolisis!$Q$13*0.0006)^0.5,IF(AND(C70="H3PO4",AY70&gt;0),(Elektrolisis!$Q$13*0.00075)^0.5,"")))</f>
        <v/>
      </c>
      <c r="BB70" s="5">
        <v>0</v>
      </c>
      <c r="BC70" s="310" t="str">
        <f>IF(AX70=Elektrolisis!$M$7,IF(BB70=1,-LOG(BA70),IF(BB70=2,14+LOG(BA70),7)),"")</f>
        <v/>
      </c>
      <c r="BD70" s="313" t="str">
        <f>IF(AX70=Elektrolisis!$M$7,(Elektrolisis!$Q$14*Elektrolisis!$Q$15)/(96500*REAKSI!R70*REAKSI!AZ70),"")</f>
        <v/>
      </c>
      <c r="BE70" s="312" t="str">
        <f>IF(AX70=Elektrolisis!$M$7,IF(BA70&gt;BD70,BA70-BD70,IF(BA70&lt;=BD70,0.0000001)),"")</f>
        <v/>
      </c>
      <c r="BF70" s="310" t="str">
        <f>IF(AX70=Elektrolisis!$M$7,IF(BB70=1,-LOG(BE70),IF(BB70=2,14+LOG(BE70),7)),"")</f>
        <v/>
      </c>
    </row>
    <row r="71" spans="1:58" ht="18.95" customHeight="1" x14ac:dyDescent="0.35">
      <c r="A71">
        <v>33</v>
      </c>
      <c r="B71" s="160">
        <v>69</v>
      </c>
      <c r="C71" s="270" t="s">
        <v>147</v>
      </c>
      <c r="E71" s="256" t="s">
        <v>647</v>
      </c>
      <c r="F71" s="71" t="s">
        <v>105</v>
      </c>
      <c r="H71" s="71" t="s">
        <v>157</v>
      </c>
      <c r="I71" s="71" t="s">
        <v>432</v>
      </c>
      <c r="J71" s="71" t="s">
        <v>453</v>
      </c>
      <c r="K71" s="221" t="s">
        <v>495</v>
      </c>
      <c r="L71" s="2"/>
      <c r="M71" s="4" t="s">
        <v>232</v>
      </c>
      <c r="N71" s="4">
        <v>4</v>
      </c>
      <c r="O71" s="4">
        <v>32</v>
      </c>
      <c r="P71" s="4" t="s">
        <v>210</v>
      </c>
      <c r="Q71" s="92" t="s">
        <v>205</v>
      </c>
      <c r="R71" s="4">
        <v>2</v>
      </c>
      <c r="S71" s="4">
        <v>58.69</v>
      </c>
      <c r="T71" s="4"/>
      <c r="U71" s="4">
        <f t="shared" si="7"/>
        <v>1</v>
      </c>
      <c r="V71" s="4">
        <v>69</v>
      </c>
      <c r="W71" s="2" t="s">
        <v>72</v>
      </c>
      <c r="X71" s="2" t="s">
        <v>419</v>
      </c>
      <c r="Y71" s="2"/>
      <c r="Z71" s="2" t="s">
        <v>73</v>
      </c>
      <c r="AA71" s="2" t="s">
        <v>141</v>
      </c>
      <c r="AB71" s="2"/>
      <c r="AC71" s="273" t="s">
        <v>242</v>
      </c>
      <c r="AD71" s="273" t="s">
        <v>260</v>
      </c>
      <c r="AE71" s="273" t="s">
        <v>261</v>
      </c>
      <c r="AF71" s="273" t="s">
        <v>86</v>
      </c>
      <c r="AG71" s="109"/>
      <c r="AH71" s="106">
        <f t="shared" si="6"/>
        <v>1</v>
      </c>
      <c r="AI71" s="106"/>
      <c r="AJ71" s="114"/>
      <c r="AK71" s="111"/>
      <c r="AN71" s="2"/>
      <c r="AP71" s="2"/>
      <c r="AU71" s="71" t="s">
        <v>558</v>
      </c>
      <c r="AV71" s="2"/>
      <c r="AW71" s="2"/>
      <c r="AX71" s="5">
        <v>69</v>
      </c>
      <c r="AY71" s="5">
        <v>0</v>
      </c>
      <c r="AZ71" s="309">
        <f>Elektrolisis!$Q$12</f>
        <v>1</v>
      </c>
      <c r="BA71" s="314" t="str">
        <f>IF(AND(C71&lt;&gt;"HF",C71&lt;&gt;"H3PO4",AY71&gt;0),AY71*Elektrolisis!$Q$13,IF(AND(C71="HF",AY71&gt;0),(Elektrolisis!$Q$13*0.0006)^0.5,IF(AND(C71="H3PO4",AY71&gt;0),(Elektrolisis!$Q$13*0.00075)^0.5,"")))</f>
        <v/>
      </c>
      <c r="BB71" s="5">
        <v>0</v>
      </c>
      <c r="BC71" s="310" t="str">
        <f>IF(AX71=Elektrolisis!$M$7,IF(BB71=1,-LOG(BA71),IF(BB71=2,14+LOG(BA71),7)),"")</f>
        <v/>
      </c>
      <c r="BD71" s="313" t="str">
        <f>IF(AX71=Elektrolisis!$M$7,(Elektrolisis!$Q$14*Elektrolisis!$Q$15)/(96500*REAKSI!R71*REAKSI!AZ71),"")</f>
        <v/>
      </c>
      <c r="BE71" s="312" t="str">
        <f>IF(AX71=Elektrolisis!$M$7,IF(BA71&gt;BD71,BA71-BD71,IF(BA71&lt;=BD71,0.0000001)),"")</f>
        <v/>
      </c>
      <c r="BF71" s="310" t="str">
        <f>IF(AX71=Elektrolisis!$M$7,IF(BB71=1,-LOG(BE71),IF(BB71=2,14+LOG(BE71),7)),"")</f>
        <v/>
      </c>
    </row>
    <row r="72" spans="1:58" ht="18.95" customHeight="1" x14ac:dyDescent="0.35">
      <c r="A72">
        <v>34</v>
      </c>
      <c r="B72" s="160">
        <v>70</v>
      </c>
      <c r="C72" s="270" t="s">
        <v>407</v>
      </c>
      <c r="E72" s="256" t="s">
        <v>648</v>
      </c>
      <c r="F72" s="71" t="s">
        <v>105</v>
      </c>
      <c r="H72" s="71" t="s">
        <v>408</v>
      </c>
      <c r="I72" s="71" t="s">
        <v>432</v>
      </c>
      <c r="J72" s="71" t="s">
        <v>445</v>
      </c>
      <c r="K72" s="221" t="s">
        <v>496</v>
      </c>
      <c r="L72" s="2"/>
      <c r="M72" s="4" t="s">
        <v>232</v>
      </c>
      <c r="N72" s="4">
        <v>4</v>
      </c>
      <c r="O72" s="4">
        <v>32</v>
      </c>
      <c r="P72" s="4" t="s">
        <v>210</v>
      </c>
      <c r="Q72" s="92" t="s">
        <v>201</v>
      </c>
      <c r="R72" s="4">
        <v>2</v>
      </c>
      <c r="S72" s="4">
        <v>65.39</v>
      </c>
      <c r="T72" s="4"/>
      <c r="U72" s="4">
        <f t="shared" si="7"/>
        <v>1</v>
      </c>
      <c r="V72" s="4">
        <v>70</v>
      </c>
      <c r="W72" s="2" t="s">
        <v>72</v>
      </c>
      <c r="X72" s="2" t="s">
        <v>419</v>
      </c>
      <c r="Y72" s="2"/>
      <c r="Z72" s="2" t="s">
        <v>73</v>
      </c>
      <c r="AA72" s="2" t="s">
        <v>142</v>
      </c>
      <c r="AB72" s="2"/>
      <c r="AC72" s="273" t="s">
        <v>242</v>
      </c>
      <c r="AD72" s="273" t="s">
        <v>260</v>
      </c>
      <c r="AE72" s="273" t="s">
        <v>253</v>
      </c>
      <c r="AF72" s="273" t="s">
        <v>50</v>
      </c>
      <c r="AG72" s="109"/>
      <c r="AH72" s="106">
        <f t="shared" si="6"/>
        <v>1</v>
      </c>
      <c r="AI72" s="106"/>
      <c r="AJ72" s="114"/>
      <c r="AK72" s="111"/>
      <c r="AN72" s="2"/>
      <c r="AP72" s="2"/>
      <c r="AU72" s="71" t="s">
        <v>559</v>
      </c>
      <c r="AV72" s="2"/>
      <c r="AW72" s="2"/>
      <c r="AX72" s="5">
        <v>70</v>
      </c>
      <c r="AY72" s="5">
        <v>0</v>
      </c>
      <c r="AZ72" s="309">
        <f>Elektrolisis!$Q$12</f>
        <v>1</v>
      </c>
      <c r="BA72" s="314" t="str">
        <f>IF(AND(C72&lt;&gt;"HF",C72&lt;&gt;"H3PO4",AY72&gt;0),AY72*Elektrolisis!$Q$13,IF(AND(C72="HF",AY72&gt;0),(Elektrolisis!$Q$13*0.0006)^0.5,IF(AND(C72="H3PO4",AY72&gt;0),(Elektrolisis!$Q$13*0.00075)^0.5,"")))</f>
        <v/>
      </c>
      <c r="BB72" s="5">
        <v>0</v>
      </c>
      <c r="BC72" s="310" t="str">
        <f>IF(AX72=Elektrolisis!$M$7,IF(BB72=1,-LOG(BA72),IF(BB72=2,14+LOG(BA72),7)),"")</f>
        <v/>
      </c>
      <c r="BD72" s="313" t="str">
        <f>IF(AX72=Elektrolisis!$M$7,(Elektrolisis!$Q$14*Elektrolisis!$Q$15)/(96500*REAKSI!R72*REAKSI!AZ72),"")</f>
        <v/>
      </c>
      <c r="BE72" s="312" t="str">
        <f>IF(AX72=Elektrolisis!$M$7,IF(BA72&gt;BD72,BA72-BD72,IF(BA72&lt;=BD72,0.0000001)),"")</f>
        <v/>
      </c>
      <c r="BF72" s="310" t="str">
        <f>IF(AX72=Elektrolisis!$M$7,IF(BB72=1,-LOG(BE72),IF(BB72=2,14+LOG(BE72),7)),"")</f>
        <v/>
      </c>
    </row>
    <row r="73" spans="1:58" ht="18.95" customHeight="1" x14ac:dyDescent="0.35">
      <c r="A73">
        <v>35</v>
      </c>
      <c r="B73" s="160">
        <v>71</v>
      </c>
      <c r="C73" s="270" t="s">
        <v>149</v>
      </c>
      <c r="E73" s="256" t="s">
        <v>649</v>
      </c>
      <c r="F73" s="71" t="s">
        <v>105</v>
      </c>
      <c r="H73" s="71" t="s">
        <v>158</v>
      </c>
      <c r="I73" s="71" t="s">
        <v>432</v>
      </c>
      <c r="J73" s="71" t="s">
        <v>454</v>
      </c>
      <c r="K73" s="221" t="s">
        <v>497</v>
      </c>
      <c r="L73" s="2"/>
      <c r="M73" s="4" t="s">
        <v>232</v>
      </c>
      <c r="N73" s="4">
        <v>4</v>
      </c>
      <c r="O73" s="4">
        <v>32</v>
      </c>
      <c r="P73" s="4" t="s">
        <v>210</v>
      </c>
      <c r="Q73" s="92" t="s">
        <v>207</v>
      </c>
      <c r="R73" s="4">
        <v>2</v>
      </c>
      <c r="S73" s="4">
        <v>118.7</v>
      </c>
      <c r="T73" s="4"/>
      <c r="U73" s="4">
        <f t="shared" si="7"/>
        <v>1</v>
      </c>
      <c r="V73" s="4">
        <v>71</v>
      </c>
      <c r="W73" s="2" t="s">
        <v>72</v>
      </c>
      <c r="X73" s="2" t="s">
        <v>420</v>
      </c>
      <c r="Y73" s="2"/>
      <c r="Z73" s="2" t="s">
        <v>73</v>
      </c>
      <c r="AA73" s="2" t="s">
        <v>144</v>
      </c>
      <c r="AB73" s="2"/>
      <c r="AC73" s="273" t="s">
        <v>242</v>
      </c>
      <c r="AD73" s="273" t="s">
        <v>260</v>
      </c>
      <c r="AE73" s="273" t="s">
        <v>262</v>
      </c>
      <c r="AF73" s="273" t="s">
        <v>220</v>
      </c>
      <c r="AG73" s="109"/>
      <c r="AH73" s="106">
        <f t="shared" si="6"/>
        <v>1</v>
      </c>
      <c r="AI73" s="106"/>
      <c r="AJ73" s="114"/>
      <c r="AK73" s="111"/>
      <c r="AN73" s="2"/>
      <c r="AP73" s="2"/>
      <c r="AU73" s="71" t="s">
        <v>549</v>
      </c>
      <c r="AV73" s="2"/>
      <c r="AW73" s="2"/>
      <c r="AX73" s="5">
        <v>71</v>
      </c>
      <c r="AY73" s="5">
        <v>0</v>
      </c>
      <c r="AZ73" s="309">
        <f>Elektrolisis!$Q$12</f>
        <v>1</v>
      </c>
      <c r="BA73" s="314" t="str">
        <f>IF(AND(C73&lt;&gt;"HF",C73&lt;&gt;"H3PO4",AY73&gt;0),AY73*Elektrolisis!$Q$13,IF(AND(C73="HF",AY73&gt;0),(Elektrolisis!$Q$13*0.0006)^0.5,IF(AND(C73="H3PO4",AY73&gt;0),(Elektrolisis!$Q$13*0.00075)^0.5,"")))</f>
        <v/>
      </c>
      <c r="BB73" s="5">
        <v>0</v>
      </c>
      <c r="BC73" s="310" t="str">
        <f>IF(AX73=Elektrolisis!$M$7,IF(BB73=1,-LOG(BA73),IF(BB73=2,14+LOG(BA73),7)),"")</f>
        <v/>
      </c>
      <c r="BD73" s="313" t="str">
        <f>IF(AX73=Elektrolisis!$M$7,(Elektrolisis!$Q$14*Elektrolisis!$Q$15)/(96500*REAKSI!R73*REAKSI!AZ73),"")</f>
        <v/>
      </c>
      <c r="BE73" s="312" t="str">
        <f>IF(AX73=Elektrolisis!$M$7,IF(BA73&gt;BD73,BA73-BD73,IF(BA73&lt;=BD73,0.0000001)),"")</f>
        <v/>
      </c>
      <c r="BF73" s="310" t="str">
        <f>IF(AX73=Elektrolisis!$M$7,IF(BB73=1,-LOG(BE73),IF(BB73=2,14+LOG(BE73),7)),"")</f>
        <v/>
      </c>
    </row>
    <row r="74" spans="1:58" ht="18.95" customHeight="1" x14ac:dyDescent="0.35">
      <c r="A74">
        <v>36</v>
      </c>
      <c r="B74" s="160">
        <v>72</v>
      </c>
      <c r="C74" s="270" t="s">
        <v>150</v>
      </c>
      <c r="E74" s="256" t="s">
        <v>650</v>
      </c>
      <c r="F74" s="71"/>
      <c r="H74" s="71" t="s">
        <v>159</v>
      </c>
      <c r="I74" s="71" t="s">
        <v>336</v>
      </c>
      <c r="J74" s="71" t="s">
        <v>456</v>
      </c>
      <c r="K74" s="221" t="s">
        <v>498</v>
      </c>
      <c r="L74" s="2"/>
      <c r="M74" s="4" t="s">
        <v>232</v>
      </c>
      <c r="N74" s="4">
        <v>4</v>
      </c>
      <c r="O74" s="4">
        <v>32</v>
      </c>
      <c r="P74" s="4"/>
      <c r="Q74" s="92" t="s">
        <v>209</v>
      </c>
      <c r="R74" s="4">
        <v>2</v>
      </c>
      <c r="S74" s="4">
        <v>58.93</v>
      </c>
      <c r="T74" s="4" t="s">
        <v>211</v>
      </c>
      <c r="U74" s="4">
        <f t="shared" si="7"/>
        <v>2</v>
      </c>
      <c r="V74" s="4">
        <v>72</v>
      </c>
      <c r="W74" s="2" t="s">
        <v>72</v>
      </c>
      <c r="X74" s="2" t="s">
        <v>76</v>
      </c>
      <c r="Y74" s="2"/>
      <c r="Z74" s="2" t="s">
        <v>73</v>
      </c>
      <c r="AA74" s="2" t="s">
        <v>166</v>
      </c>
      <c r="AB74" s="2"/>
      <c r="AC74" s="273" t="s">
        <v>249</v>
      </c>
      <c r="AD74" s="273" t="s">
        <v>260</v>
      </c>
      <c r="AE74" s="273" t="s">
        <v>264</v>
      </c>
      <c r="AF74" s="273" t="s">
        <v>94</v>
      </c>
      <c r="AG74" s="109"/>
      <c r="AH74" s="106">
        <f t="shared" si="6"/>
        <v>2</v>
      </c>
      <c r="AI74" s="106"/>
      <c r="AJ74" s="114"/>
      <c r="AK74" s="111"/>
      <c r="AN74" s="2"/>
      <c r="AP74" s="2"/>
      <c r="AU74" s="71" t="s">
        <v>531</v>
      </c>
      <c r="AV74" s="2"/>
      <c r="AW74" s="2"/>
      <c r="AX74" s="5">
        <v>72</v>
      </c>
      <c r="AY74" s="5">
        <v>2</v>
      </c>
      <c r="AZ74" s="309">
        <f>Elektrolisis!$Q$12</f>
        <v>1</v>
      </c>
      <c r="BA74" s="314">
        <f>IF(AND(C74&lt;&gt;"HF",C74&lt;&gt;"H3PO4",AY74&gt;0),AY74*Elektrolisis!$Q$13,IF(AND(C74="HF",AY74&gt;0),(Elektrolisis!$Q$13*0.0006)^0.5,IF(AND(C74="H3PO4",AY74&gt;0),(Elektrolisis!$Q$13*0.00075)^0.5,"")))</f>
        <v>2</v>
      </c>
      <c r="BB74" s="5">
        <v>2</v>
      </c>
      <c r="BC74" s="310" t="str">
        <f>IF(AX74=Elektrolisis!$M$7,IF(BB74=1,-LOG(BA74),IF(BB74=2,14+LOG(BA74),7)),"")</f>
        <v/>
      </c>
      <c r="BD74" s="313" t="str">
        <f>IF(AX74=Elektrolisis!$M$7,(Elektrolisis!$Q$14*Elektrolisis!$Q$15)/(96500*REAKSI!R74*REAKSI!AZ74),"")</f>
        <v/>
      </c>
      <c r="BE74" s="312" t="str">
        <f>IF(AX74=Elektrolisis!$M$7,IF(BA74&gt;BD74,BA74-BD74,IF(BA74&lt;=BD74,0.0000001)),"")</f>
        <v/>
      </c>
      <c r="BF74" s="310" t="str">
        <f>IF(AX74=Elektrolisis!$M$7,IF(BB74=1,-LOG(BE74),IF(BB74=2,14+LOG(BE74),7)),"")</f>
        <v/>
      </c>
    </row>
    <row r="75" spans="1:58" ht="18.95" customHeight="1" x14ac:dyDescent="0.35">
      <c r="A75">
        <v>37</v>
      </c>
      <c r="B75" s="160">
        <v>73</v>
      </c>
      <c r="C75" s="270" t="s">
        <v>151</v>
      </c>
      <c r="E75" s="256" t="s">
        <v>651</v>
      </c>
      <c r="F75" s="71"/>
      <c r="H75" s="71" t="s">
        <v>160</v>
      </c>
      <c r="I75" s="71" t="s">
        <v>336</v>
      </c>
      <c r="J75" s="71" t="s">
        <v>453</v>
      </c>
      <c r="K75" s="221" t="s">
        <v>499</v>
      </c>
      <c r="L75" s="2"/>
      <c r="M75" s="4" t="s">
        <v>232</v>
      </c>
      <c r="N75" s="4">
        <v>4</v>
      </c>
      <c r="O75" s="4">
        <v>32</v>
      </c>
      <c r="P75" s="4"/>
      <c r="Q75" s="92" t="s">
        <v>205</v>
      </c>
      <c r="R75" s="4">
        <v>2</v>
      </c>
      <c r="S75" s="4">
        <v>58.69</v>
      </c>
      <c r="T75" s="4" t="s">
        <v>211</v>
      </c>
      <c r="U75" s="4">
        <f t="shared" si="7"/>
        <v>2</v>
      </c>
      <c r="V75" s="4">
        <v>73</v>
      </c>
      <c r="W75" s="2" t="s">
        <v>72</v>
      </c>
      <c r="X75" s="2" t="s">
        <v>76</v>
      </c>
      <c r="Y75" s="2"/>
      <c r="Z75" s="2" t="s">
        <v>73</v>
      </c>
      <c r="AA75" s="2" t="s">
        <v>141</v>
      </c>
      <c r="AB75" s="2"/>
      <c r="AC75" s="273" t="s">
        <v>249</v>
      </c>
      <c r="AD75" s="273" t="s">
        <v>260</v>
      </c>
      <c r="AE75" s="273" t="s">
        <v>261</v>
      </c>
      <c r="AF75" s="273" t="s">
        <v>86</v>
      </c>
      <c r="AG75" s="109"/>
      <c r="AH75" s="106">
        <f t="shared" si="6"/>
        <v>2</v>
      </c>
      <c r="AI75" s="106"/>
      <c r="AJ75" s="114"/>
      <c r="AK75" s="111"/>
      <c r="AN75" s="2"/>
      <c r="AP75" s="2"/>
      <c r="AU75" s="71" t="s">
        <v>532</v>
      </c>
      <c r="AV75" s="2"/>
      <c r="AW75" s="2"/>
      <c r="AX75" s="5">
        <v>73</v>
      </c>
      <c r="AY75" s="5">
        <v>2</v>
      </c>
      <c r="AZ75" s="309">
        <f>Elektrolisis!$Q$12</f>
        <v>1</v>
      </c>
      <c r="BA75" s="314">
        <f>IF(AND(C75&lt;&gt;"HF",C75&lt;&gt;"H3PO4",AY75&gt;0),AY75*Elektrolisis!$Q$13,IF(AND(C75="HF",AY75&gt;0),(Elektrolisis!$Q$13*0.0006)^0.5,IF(AND(C75="H3PO4",AY75&gt;0),(Elektrolisis!$Q$13*0.00075)^0.5,"")))</f>
        <v>2</v>
      </c>
      <c r="BB75" s="5">
        <v>2</v>
      </c>
      <c r="BC75" s="310" t="str">
        <f>IF(AX75=Elektrolisis!$M$7,IF(BB75=1,-LOG(BA75),IF(BB75=2,14+LOG(BA75),7)),"")</f>
        <v/>
      </c>
      <c r="BD75" s="313" t="str">
        <f>IF(AX75=Elektrolisis!$M$7,(Elektrolisis!$Q$14*Elektrolisis!$Q$15)/(96500*REAKSI!R75*REAKSI!AZ75),"")</f>
        <v/>
      </c>
      <c r="BE75" s="312" t="str">
        <f>IF(AX75=Elektrolisis!$M$7,IF(BA75&gt;BD75,BA75-BD75,IF(BA75&lt;=BD75,0.0000001)),"")</f>
        <v/>
      </c>
      <c r="BF75" s="310" t="str">
        <f>IF(AX75=Elektrolisis!$M$7,IF(BB75=1,-LOG(BE75),IF(BB75=2,14+LOG(BE75),7)),"")</f>
        <v/>
      </c>
    </row>
    <row r="76" spans="1:58" ht="18.95" customHeight="1" x14ac:dyDescent="0.35">
      <c r="A76">
        <v>38</v>
      </c>
      <c r="B76" s="160">
        <v>74</v>
      </c>
      <c r="C76" s="270" t="s">
        <v>152</v>
      </c>
      <c r="E76" s="256" t="s">
        <v>652</v>
      </c>
      <c r="F76" s="71"/>
      <c r="H76" s="71" t="s">
        <v>161</v>
      </c>
      <c r="I76" s="71" t="s">
        <v>336</v>
      </c>
      <c r="J76" s="71" t="s">
        <v>445</v>
      </c>
      <c r="K76" s="221" t="s">
        <v>500</v>
      </c>
      <c r="L76" s="2"/>
      <c r="M76" s="4" t="s">
        <v>232</v>
      </c>
      <c r="N76" s="4">
        <v>4</v>
      </c>
      <c r="O76" s="4">
        <v>32</v>
      </c>
      <c r="P76" s="4"/>
      <c r="Q76" s="92" t="s">
        <v>201</v>
      </c>
      <c r="R76" s="4">
        <v>2</v>
      </c>
      <c r="S76" s="4">
        <v>65.39</v>
      </c>
      <c r="T76" s="4" t="s">
        <v>211</v>
      </c>
      <c r="U76" s="4">
        <f t="shared" ref="U76:U131" si="8">IF(P76&amp;T76="[H+] =",1,IF(P76&amp;T76="[OH-] =",2,0))</f>
        <v>2</v>
      </c>
      <c r="V76" s="4">
        <v>74</v>
      </c>
      <c r="W76" s="2" t="s">
        <v>72</v>
      </c>
      <c r="X76" s="2" t="s">
        <v>76</v>
      </c>
      <c r="Y76" s="2"/>
      <c r="Z76" s="2" t="s">
        <v>73</v>
      </c>
      <c r="AA76" s="2" t="s">
        <v>142</v>
      </c>
      <c r="AB76" s="2"/>
      <c r="AC76" s="273" t="s">
        <v>249</v>
      </c>
      <c r="AD76" s="273" t="s">
        <v>260</v>
      </c>
      <c r="AE76" s="273" t="s">
        <v>253</v>
      </c>
      <c r="AF76" s="273" t="s">
        <v>50</v>
      </c>
      <c r="AG76" s="109"/>
      <c r="AH76" s="106">
        <f t="shared" si="6"/>
        <v>2</v>
      </c>
      <c r="AI76" s="106"/>
      <c r="AJ76" s="114"/>
      <c r="AK76" s="111"/>
      <c r="AN76" s="2"/>
      <c r="AP76" s="2"/>
      <c r="AU76" s="71" t="s">
        <v>533</v>
      </c>
      <c r="AV76" s="2"/>
      <c r="AW76" s="2"/>
      <c r="AX76" s="5">
        <v>74</v>
      </c>
      <c r="AY76" s="5">
        <v>2</v>
      </c>
      <c r="AZ76" s="309">
        <f>Elektrolisis!$Q$12</f>
        <v>1</v>
      </c>
      <c r="BA76" s="314">
        <f>IF(AND(C76&lt;&gt;"HF",C76&lt;&gt;"H3PO4",AY76&gt;0),AY76*Elektrolisis!$Q$13,IF(AND(C76="HF",AY76&gt;0),(Elektrolisis!$Q$13*0.0006)^0.5,IF(AND(C76="H3PO4",AY76&gt;0),(Elektrolisis!$Q$13*0.00075)^0.5,"")))</f>
        <v>2</v>
      </c>
      <c r="BB76" s="5">
        <v>2</v>
      </c>
      <c r="BC76" s="310" t="str">
        <f>IF(AX76=Elektrolisis!$M$7,IF(BB76=1,-LOG(BA76),IF(BB76=2,14+LOG(BA76),7)),"")</f>
        <v/>
      </c>
      <c r="BD76" s="313" t="str">
        <f>IF(AX76=Elektrolisis!$M$7,(Elektrolisis!$Q$14*Elektrolisis!$Q$15)/(96500*REAKSI!R76*REAKSI!AZ76),"")</f>
        <v/>
      </c>
      <c r="BE76" s="312" t="str">
        <f>IF(AX76=Elektrolisis!$M$7,IF(BA76&gt;BD76,BA76-BD76,IF(BA76&lt;=BD76,0.0000001)),"")</f>
        <v/>
      </c>
      <c r="BF76" s="310" t="str">
        <f>IF(AX76=Elektrolisis!$M$7,IF(BB76=1,-LOG(BE76),IF(BB76=2,14+LOG(BE76),7)),"")</f>
        <v/>
      </c>
    </row>
    <row r="77" spans="1:58" ht="18.95" customHeight="1" x14ac:dyDescent="0.35">
      <c r="A77">
        <v>39</v>
      </c>
      <c r="B77" s="160">
        <v>75</v>
      </c>
      <c r="C77" s="270" t="s">
        <v>153</v>
      </c>
      <c r="E77" s="256" t="s">
        <v>653</v>
      </c>
      <c r="F77" s="71"/>
      <c r="H77" s="71" t="s">
        <v>162</v>
      </c>
      <c r="I77" s="71" t="s">
        <v>336</v>
      </c>
      <c r="J77" s="71" t="s">
        <v>454</v>
      </c>
      <c r="K77" s="221" t="s">
        <v>465</v>
      </c>
      <c r="L77" s="2"/>
      <c r="M77" s="4" t="s">
        <v>232</v>
      </c>
      <c r="N77" s="4">
        <v>4</v>
      </c>
      <c r="O77" s="4">
        <v>32</v>
      </c>
      <c r="P77" s="4"/>
      <c r="Q77" s="92" t="s">
        <v>207</v>
      </c>
      <c r="R77" s="4">
        <v>2</v>
      </c>
      <c r="S77" s="4">
        <v>118.7</v>
      </c>
      <c r="T77" s="4" t="s">
        <v>211</v>
      </c>
      <c r="U77" s="4">
        <f t="shared" si="8"/>
        <v>2</v>
      </c>
      <c r="V77" s="4">
        <v>75</v>
      </c>
      <c r="W77" s="2" t="s">
        <v>72</v>
      </c>
      <c r="X77" s="2" t="s">
        <v>76</v>
      </c>
      <c r="Y77" s="2"/>
      <c r="Z77" s="2" t="s">
        <v>73</v>
      </c>
      <c r="AA77" s="2" t="s">
        <v>144</v>
      </c>
      <c r="AB77" s="2"/>
      <c r="AC77" s="273" t="s">
        <v>249</v>
      </c>
      <c r="AD77" s="273" t="s">
        <v>260</v>
      </c>
      <c r="AE77" s="273" t="s">
        <v>262</v>
      </c>
      <c r="AF77" s="273" t="s">
        <v>220</v>
      </c>
      <c r="AG77" s="109"/>
      <c r="AH77" s="106">
        <f t="shared" si="6"/>
        <v>2</v>
      </c>
      <c r="AI77" s="106"/>
      <c r="AJ77" s="114"/>
      <c r="AK77" s="111"/>
      <c r="AN77" s="2"/>
      <c r="AP77" s="2"/>
      <c r="AU77" s="71" t="s">
        <v>534</v>
      </c>
      <c r="AV77" s="2"/>
      <c r="AW77" s="2"/>
      <c r="AX77" s="5">
        <v>75</v>
      </c>
      <c r="AY77" s="5">
        <v>2</v>
      </c>
      <c r="AZ77" s="309">
        <f>Elektrolisis!$Q$12</f>
        <v>1</v>
      </c>
      <c r="BA77" s="314">
        <f>IF(AND(C77&lt;&gt;"HF",C77&lt;&gt;"H3PO4",AY77&gt;0),AY77*Elektrolisis!$Q$13,IF(AND(C77="HF",AY77&gt;0),(Elektrolisis!$Q$13*0.0006)^0.5,IF(AND(C77="H3PO4",AY77&gt;0),(Elektrolisis!$Q$13*0.00075)^0.5,"")))</f>
        <v>2</v>
      </c>
      <c r="BB77" s="5">
        <v>2</v>
      </c>
      <c r="BC77" s="310" t="str">
        <f>IF(AX77=Elektrolisis!$M$7,IF(BB77=1,-LOG(BA77),IF(BB77=2,14+LOG(BA77),7)),"")</f>
        <v/>
      </c>
      <c r="BD77" s="313" t="str">
        <f>IF(AX77=Elektrolisis!$M$7,(Elektrolisis!$Q$14*Elektrolisis!$Q$15)/(96500*REAKSI!R77*REAKSI!AZ77),"")</f>
        <v/>
      </c>
      <c r="BE77" s="312" t="str">
        <f>IF(AX77=Elektrolisis!$M$7,IF(BA77&gt;BD77,BA77-BD77,IF(BA77&lt;=BD77,0.0000001)),"")</f>
        <v/>
      </c>
      <c r="BF77" s="310" t="str">
        <f>IF(AX77=Elektrolisis!$M$7,IF(BB77=1,-LOG(BE77),IF(BB77=2,14+LOG(BE77),7)),"")</f>
        <v/>
      </c>
    </row>
    <row r="78" spans="1:58" ht="18.95" customHeight="1" x14ac:dyDescent="0.35">
      <c r="A78">
        <v>40</v>
      </c>
      <c r="B78" s="160">
        <v>76</v>
      </c>
      <c r="C78" s="270" t="s">
        <v>154</v>
      </c>
      <c r="E78" s="256" t="s">
        <v>654</v>
      </c>
      <c r="F78" s="71"/>
      <c r="H78" s="71" t="s">
        <v>163</v>
      </c>
      <c r="I78" s="71" t="s">
        <v>336</v>
      </c>
      <c r="J78" s="71" t="s">
        <v>457</v>
      </c>
      <c r="K78" s="221" t="s">
        <v>466</v>
      </c>
      <c r="L78" s="2"/>
      <c r="M78" s="4" t="s">
        <v>232</v>
      </c>
      <c r="N78" s="4">
        <v>4</v>
      </c>
      <c r="O78" s="4">
        <v>32</v>
      </c>
      <c r="P78" s="4"/>
      <c r="Q78" s="92" t="s">
        <v>206</v>
      </c>
      <c r="R78" s="4">
        <v>2</v>
      </c>
      <c r="S78" s="4">
        <v>207.2</v>
      </c>
      <c r="T78" s="4" t="s">
        <v>211</v>
      </c>
      <c r="U78" s="4">
        <f t="shared" si="8"/>
        <v>2</v>
      </c>
      <c r="V78" s="4">
        <v>76</v>
      </c>
      <c r="W78" s="2" t="s">
        <v>72</v>
      </c>
      <c r="X78" s="2" t="s">
        <v>76</v>
      </c>
      <c r="Y78" s="2"/>
      <c r="Z78" s="2" t="s">
        <v>73</v>
      </c>
      <c r="AA78" s="2" t="s">
        <v>143</v>
      </c>
      <c r="AB78" s="2"/>
      <c r="AC78" s="273" t="s">
        <v>249</v>
      </c>
      <c r="AD78" s="273" t="s">
        <v>260</v>
      </c>
      <c r="AE78" s="273" t="s">
        <v>265</v>
      </c>
      <c r="AF78" s="273" t="s">
        <v>219</v>
      </c>
      <c r="AG78" s="109"/>
      <c r="AH78" s="106">
        <f t="shared" si="6"/>
        <v>2</v>
      </c>
      <c r="AI78" s="106"/>
      <c r="AJ78" s="114"/>
      <c r="AK78" s="111"/>
      <c r="AN78" s="2"/>
      <c r="AP78" s="2"/>
      <c r="AU78" s="71" t="s">
        <v>535</v>
      </c>
      <c r="AV78" s="2"/>
      <c r="AW78" s="2"/>
      <c r="AX78" s="5">
        <v>76</v>
      </c>
      <c r="AY78" s="5">
        <v>2</v>
      </c>
      <c r="AZ78" s="309">
        <f>Elektrolisis!$Q$12</f>
        <v>1</v>
      </c>
      <c r="BA78" s="314">
        <f>IF(AND(C78&lt;&gt;"HF",C78&lt;&gt;"H3PO4",AY78&gt;0),AY78*Elektrolisis!$Q$13,IF(AND(C78="HF",AY78&gt;0),(Elektrolisis!$Q$13*0.0006)^0.5,IF(AND(C78="H3PO4",AY78&gt;0),(Elektrolisis!$Q$13*0.00075)^0.5,"")))</f>
        <v>2</v>
      </c>
      <c r="BB78" s="5">
        <v>2</v>
      </c>
      <c r="BC78" s="310" t="str">
        <f>IF(AX78=Elektrolisis!$M$7,IF(BB78=1,-LOG(BA78),IF(BB78=2,14+LOG(BA78),7)),"")</f>
        <v/>
      </c>
      <c r="BD78" s="313" t="str">
        <f>IF(AX78=Elektrolisis!$M$7,(Elektrolisis!$Q$14*Elektrolisis!$Q$15)/(96500*REAKSI!R78*REAKSI!AZ78),"")</f>
        <v/>
      </c>
      <c r="BE78" s="312" t="str">
        <f>IF(AX78=Elektrolisis!$M$7,IF(BA78&gt;BD78,BA78-BD78,IF(BA78&lt;=BD78,0.0000001)),"")</f>
        <v/>
      </c>
      <c r="BF78" s="310" t="str">
        <f>IF(AX78=Elektrolisis!$M$7,IF(BB78=1,-LOG(BE78),IF(BB78=2,14+LOG(BE78),7)),"")</f>
        <v/>
      </c>
    </row>
    <row r="79" spans="1:58" ht="18.95" customHeight="1" x14ac:dyDescent="0.35">
      <c r="A79">
        <v>41</v>
      </c>
      <c r="B79" s="160">
        <v>77</v>
      </c>
      <c r="C79" s="270" t="s">
        <v>155</v>
      </c>
      <c r="E79" s="256" t="s">
        <v>655</v>
      </c>
      <c r="F79" s="71"/>
      <c r="H79" s="71" t="s">
        <v>164</v>
      </c>
      <c r="I79" s="71" t="s">
        <v>336</v>
      </c>
      <c r="J79" s="71" t="s">
        <v>458</v>
      </c>
      <c r="K79" s="221" t="s">
        <v>464</v>
      </c>
      <c r="L79" s="2"/>
      <c r="M79" s="4" t="s">
        <v>232</v>
      </c>
      <c r="N79" s="4">
        <v>4</v>
      </c>
      <c r="O79" s="4">
        <v>32</v>
      </c>
      <c r="P79" s="4"/>
      <c r="Q79" s="92" t="s">
        <v>203</v>
      </c>
      <c r="R79" s="4">
        <v>2</v>
      </c>
      <c r="S79" s="4">
        <v>112.4</v>
      </c>
      <c r="T79" s="4" t="s">
        <v>211</v>
      </c>
      <c r="U79" s="4">
        <f t="shared" si="8"/>
        <v>2</v>
      </c>
      <c r="V79" s="4">
        <v>77</v>
      </c>
      <c r="W79" s="2" t="s">
        <v>72</v>
      </c>
      <c r="X79" s="2" t="s">
        <v>76</v>
      </c>
      <c r="Y79" s="2"/>
      <c r="Z79" s="2" t="s">
        <v>73</v>
      </c>
      <c r="AA79" s="2" t="s">
        <v>167</v>
      </c>
      <c r="AB79" s="2"/>
      <c r="AC79" s="273" t="s">
        <v>249</v>
      </c>
      <c r="AD79" s="273" t="s">
        <v>260</v>
      </c>
      <c r="AE79" s="273" t="s">
        <v>254</v>
      </c>
      <c r="AF79" s="273" t="s">
        <v>51</v>
      </c>
      <c r="AG79" s="109"/>
      <c r="AH79" s="106">
        <f t="shared" si="6"/>
        <v>2</v>
      </c>
      <c r="AI79" s="106"/>
      <c r="AJ79" s="114"/>
      <c r="AK79" s="111"/>
      <c r="AN79" s="2"/>
      <c r="AP79" s="2"/>
      <c r="AU79" s="71" t="s">
        <v>536</v>
      </c>
      <c r="AV79" s="2"/>
      <c r="AW79" s="2"/>
      <c r="AX79" s="5">
        <v>77</v>
      </c>
      <c r="AY79" s="5">
        <v>2</v>
      </c>
      <c r="AZ79" s="309">
        <f>Elektrolisis!$Q$12</f>
        <v>1</v>
      </c>
      <c r="BA79" s="314">
        <f>IF(AND(C79&lt;&gt;"HF",C79&lt;&gt;"H3PO4",AY79&gt;0),AY79*Elektrolisis!$Q$13,IF(AND(C79="HF",AY79&gt;0),(Elektrolisis!$Q$13*0.0006)^0.5,IF(AND(C79="H3PO4",AY79&gt;0),(Elektrolisis!$Q$13*0.00075)^0.5,"")))</f>
        <v>2</v>
      </c>
      <c r="BB79" s="5">
        <v>2</v>
      </c>
      <c r="BC79" s="310" t="str">
        <f>IF(AX79=Elektrolisis!$M$7,IF(BB79=1,-LOG(BA79),IF(BB79=2,14+LOG(BA79),7)),"")</f>
        <v/>
      </c>
      <c r="BD79" s="313" t="str">
        <f>IF(AX79=Elektrolisis!$M$7,(Elektrolisis!$Q$14*Elektrolisis!$Q$15)/(96500*REAKSI!R79*REAKSI!AZ79),"")</f>
        <v/>
      </c>
      <c r="BE79" s="312" t="str">
        <f>IF(AX79=Elektrolisis!$M$7,IF(BA79&gt;BD79,BA79-BD79,IF(BA79&lt;=BD79,0.0000001)),"")</f>
        <v/>
      </c>
      <c r="BF79" s="310" t="str">
        <f>IF(AX79=Elektrolisis!$M$7,IF(BB79=1,-LOG(BE79),IF(BB79=2,14+LOG(BE79),7)),"")</f>
        <v/>
      </c>
    </row>
    <row r="80" spans="1:58" ht="18.95" customHeight="1" x14ac:dyDescent="0.35">
      <c r="A80">
        <v>1</v>
      </c>
      <c r="B80" s="4">
        <v>78</v>
      </c>
      <c r="C80" s="4" t="s">
        <v>5</v>
      </c>
      <c r="E80" s="256" t="s">
        <v>684</v>
      </c>
      <c r="F80" s="71"/>
      <c r="H80" s="71" t="s">
        <v>21</v>
      </c>
      <c r="I80" s="71" t="s">
        <v>433</v>
      </c>
      <c r="J80" s="71" t="s">
        <v>439</v>
      </c>
      <c r="K80" s="221" t="s">
        <v>423</v>
      </c>
      <c r="L80" s="2"/>
      <c r="M80" s="4" t="s">
        <v>233</v>
      </c>
      <c r="N80" s="4">
        <v>2</v>
      </c>
      <c r="O80" s="4">
        <v>63.55</v>
      </c>
      <c r="P80" s="4"/>
      <c r="Q80" s="92" t="s">
        <v>236</v>
      </c>
      <c r="R80" s="4">
        <v>2</v>
      </c>
      <c r="S80" s="4">
        <v>2</v>
      </c>
      <c r="T80" s="4" t="s">
        <v>210</v>
      </c>
      <c r="U80" s="4">
        <f t="shared" si="8"/>
        <v>1</v>
      </c>
      <c r="V80" s="4">
        <v>78</v>
      </c>
      <c r="W80" s="2" t="s">
        <v>72</v>
      </c>
      <c r="X80" s="2" t="s">
        <v>77</v>
      </c>
      <c r="Y80" s="2" t="s">
        <v>79</v>
      </c>
      <c r="Z80" s="2" t="s">
        <v>73</v>
      </c>
      <c r="AA80" s="2" t="s">
        <v>74</v>
      </c>
      <c r="AB80" s="2"/>
      <c r="AC80" s="273" t="s">
        <v>3</v>
      </c>
      <c r="AD80" s="273" t="s">
        <v>245</v>
      </c>
      <c r="AE80" s="273" t="s">
        <v>240</v>
      </c>
      <c r="AF80" s="273" t="s">
        <v>259</v>
      </c>
      <c r="AG80" s="109"/>
      <c r="AH80" s="106">
        <f t="shared" si="6"/>
        <v>1</v>
      </c>
      <c r="AI80" s="106"/>
      <c r="AJ80" s="114"/>
      <c r="AK80" s="111"/>
      <c r="AN80" s="2"/>
      <c r="AP80" s="2"/>
      <c r="AU80" s="71" t="s">
        <v>431</v>
      </c>
      <c r="AV80" s="2"/>
      <c r="AW80" s="2"/>
      <c r="AX80" s="5">
        <v>78</v>
      </c>
      <c r="AY80" s="5">
        <v>1</v>
      </c>
      <c r="AZ80" s="309">
        <f>Elektrolisis!$Q$12</f>
        <v>1</v>
      </c>
      <c r="BA80" s="314">
        <f>IF(AND(C80&lt;&gt;"HF",C80&lt;&gt;"H3PO4",AY80&gt;0),AY80*Elektrolisis!$Q$13,IF(AND(C80="HF",AY80&gt;0),(Elektrolisis!$Q$13*0.0006)^0.5,IF(AND(C80="H3PO4",AY80&gt;0),(Elektrolisis!$Q$13*0.00075)^0.5,"")))</f>
        <v>1</v>
      </c>
      <c r="BB80" s="5">
        <v>1</v>
      </c>
      <c r="BC80" s="310" t="str">
        <f>IF(AX80=Elektrolisis!$M$7,IF(BB80=1,-LOG(BA80),IF(BB80=2,14+LOG(BA80),7)),"")</f>
        <v/>
      </c>
      <c r="BD80" s="313" t="str">
        <f>IF(AX80=Elektrolisis!$M$7,(Elektrolisis!$Q$14*Elektrolisis!$Q$15)/(96500*REAKSI!R80*REAKSI!AZ80),"")</f>
        <v/>
      </c>
      <c r="BE80" s="312" t="str">
        <f>IF(AX80=Elektrolisis!$M$7,IF(BA80&gt;BD80,BA80-BD80,IF(BA80&lt;=BD80,0.0000001)),"")</f>
        <v/>
      </c>
      <c r="BF80" s="310" t="str">
        <f>IF(AX80=Elektrolisis!$M$7,IF(BB80=1,-LOG(BE80),IF(BB80=2,14+LOG(BE80),7)),"")</f>
        <v/>
      </c>
    </row>
    <row r="81" spans="1:58" ht="18.95" customHeight="1" x14ac:dyDescent="0.35">
      <c r="A81">
        <v>2</v>
      </c>
      <c r="B81" s="4">
        <v>79</v>
      </c>
      <c r="C81" s="4" t="s">
        <v>170</v>
      </c>
      <c r="E81" s="256" t="s">
        <v>616</v>
      </c>
      <c r="F81" s="71"/>
      <c r="H81" s="71" t="s">
        <v>108</v>
      </c>
      <c r="I81" s="71" t="s">
        <v>433</v>
      </c>
      <c r="J81" s="71" t="s">
        <v>439</v>
      </c>
      <c r="K81" s="221" t="s">
        <v>423</v>
      </c>
      <c r="L81" s="2"/>
      <c r="M81" s="4" t="s">
        <v>233</v>
      </c>
      <c r="N81" s="4">
        <v>2</v>
      </c>
      <c r="O81" s="4">
        <v>63.55</v>
      </c>
      <c r="P81" s="4"/>
      <c r="Q81" s="92" t="s">
        <v>236</v>
      </c>
      <c r="R81" s="4">
        <v>2</v>
      </c>
      <c r="S81" s="4">
        <v>2</v>
      </c>
      <c r="T81" s="4" t="s">
        <v>210</v>
      </c>
      <c r="U81" s="4">
        <v>1</v>
      </c>
      <c r="V81" s="4">
        <v>79</v>
      </c>
      <c r="W81" s="2" t="s">
        <v>72</v>
      </c>
      <c r="X81" s="2" t="s">
        <v>111</v>
      </c>
      <c r="Y81" s="2" t="s">
        <v>79</v>
      </c>
      <c r="Z81" s="2" t="s">
        <v>73</v>
      </c>
      <c r="AA81" s="2" t="s">
        <v>74</v>
      </c>
      <c r="AB81" s="2"/>
      <c r="AC81" s="273" t="s">
        <v>3</v>
      </c>
      <c r="AD81" s="273" t="s">
        <v>245</v>
      </c>
      <c r="AE81" s="273" t="s">
        <v>240</v>
      </c>
      <c r="AF81" s="273" t="s">
        <v>259</v>
      </c>
      <c r="AG81" s="109"/>
      <c r="AH81" s="106">
        <f t="shared" si="6"/>
        <v>1</v>
      </c>
      <c r="AI81" s="106"/>
      <c r="AJ81" s="114"/>
      <c r="AK81" s="111"/>
      <c r="AN81" s="2"/>
      <c r="AP81" s="2"/>
      <c r="AU81" s="71" t="s">
        <v>685</v>
      </c>
      <c r="AV81" s="2"/>
      <c r="AW81" s="2"/>
      <c r="AX81" s="5">
        <v>79</v>
      </c>
      <c r="AY81" s="5">
        <v>1</v>
      </c>
      <c r="AZ81" s="309">
        <f>Elektrolisis!$Q$12</f>
        <v>1</v>
      </c>
      <c r="BA81" s="314">
        <f>IF(AND(C81&lt;&gt;"HF",C81&lt;&gt;"H3PO4",AY81&gt;0),AY81*Elektrolisis!$Q$13,IF(AND(C81="HF",AY81&gt;0),(Elektrolisis!$Q$13*0.0006)^0.5,IF(AND(C81="H3PO4",AY81&gt;0),(Elektrolisis!$Q$13*0.00075)^0.5,"")))</f>
        <v>1</v>
      </c>
      <c r="BB81" s="5">
        <v>1</v>
      </c>
      <c r="BC81" s="310" t="str">
        <f>IF(AX81=Elektrolisis!$M$7,IF(BB81=1,-LOG(BA81),IF(BB81=2,14+LOG(BA81),7)),"")</f>
        <v/>
      </c>
      <c r="BD81" s="313" t="str">
        <f>IF(AX81=Elektrolisis!$M$7,(Elektrolisis!$Q$14*Elektrolisis!$Q$15)/(96500*REAKSI!R81*REAKSI!AZ81),"")</f>
        <v/>
      </c>
      <c r="BE81" s="312" t="str">
        <f>IF(AX81=Elektrolisis!$M$7,IF(BA81&gt;BD81,BA81-BD81,IF(BA81&lt;=BD81,0.0000001)),"")</f>
        <v/>
      </c>
      <c r="BF81" s="310" t="str">
        <f>IF(AX81=Elektrolisis!$M$7,IF(BB81=1,-LOG(BE81),IF(BB81=2,14+LOG(BE81),7)),"")</f>
        <v/>
      </c>
    </row>
    <row r="82" spans="1:58" ht="18.95" customHeight="1" x14ac:dyDescent="0.35">
      <c r="A82">
        <v>3</v>
      </c>
      <c r="B82" s="4">
        <v>80</v>
      </c>
      <c r="C82" s="4" t="s">
        <v>172</v>
      </c>
      <c r="E82" s="256" t="s">
        <v>617</v>
      </c>
      <c r="F82" s="71"/>
      <c r="H82" s="71" t="s">
        <v>221</v>
      </c>
      <c r="I82" s="71" t="s">
        <v>433</v>
      </c>
      <c r="J82" s="71" t="s">
        <v>439</v>
      </c>
      <c r="K82" s="221" t="s">
        <v>423</v>
      </c>
      <c r="L82" s="2"/>
      <c r="M82" s="4" t="s">
        <v>233</v>
      </c>
      <c r="N82" s="4">
        <v>2</v>
      </c>
      <c r="O82" s="4">
        <v>63.55</v>
      </c>
      <c r="P82" s="4"/>
      <c r="Q82" s="92" t="s">
        <v>236</v>
      </c>
      <c r="R82" s="4">
        <v>2</v>
      </c>
      <c r="S82" s="4">
        <v>2</v>
      </c>
      <c r="T82" s="4" t="s">
        <v>210</v>
      </c>
      <c r="U82" s="4">
        <f t="shared" si="8"/>
        <v>1</v>
      </c>
      <c r="V82" s="4">
        <v>80</v>
      </c>
      <c r="W82" s="2" t="s">
        <v>72</v>
      </c>
      <c r="X82" s="2" t="s">
        <v>420</v>
      </c>
      <c r="Y82" s="2" t="s">
        <v>79</v>
      </c>
      <c r="Z82" s="2" t="s">
        <v>73</v>
      </c>
      <c r="AA82" s="2" t="s">
        <v>74</v>
      </c>
      <c r="AB82" s="2"/>
      <c r="AC82" s="273" t="s">
        <v>3</v>
      </c>
      <c r="AD82" s="273" t="s">
        <v>245</v>
      </c>
      <c r="AE82" s="273" t="s">
        <v>240</v>
      </c>
      <c r="AF82" s="273" t="s">
        <v>259</v>
      </c>
      <c r="AG82" s="109"/>
      <c r="AH82" s="106">
        <f t="shared" si="6"/>
        <v>1</v>
      </c>
      <c r="AI82" s="106"/>
      <c r="AJ82" s="114"/>
      <c r="AK82" s="111"/>
      <c r="AN82" s="2"/>
      <c r="AP82" s="2"/>
      <c r="AU82" s="71" t="s">
        <v>573</v>
      </c>
      <c r="AV82" s="2"/>
      <c r="AW82" s="2"/>
      <c r="AX82" s="5">
        <v>80</v>
      </c>
      <c r="AY82" s="5">
        <v>1</v>
      </c>
      <c r="AZ82" s="309">
        <f>Elektrolisis!$Q$12</f>
        <v>1</v>
      </c>
      <c r="BA82" s="314">
        <f>IF(AND(C82&lt;&gt;"HF",C82&lt;&gt;"H3PO4",AY82&gt;0),AY82*Elektrolisis!$Q$13,IF(AND(C82="HF",AY82&gt;0),(Elektrolisis!$Q$13*0.0006)^0.5,IF(AND(C82="H3PO4",AY82&gt;0),(Elektrolisis!$Q$13*0.00075)^0.5,"")))</f>
        <v>1</v>
      </c>
      <c r="BB82" s="5">
        <v>1</v>
      </c>
      <c r="BC82" s="310" t="str">
        <f>IF(AX82=Elektrolisis!$M$7,IF(BB82=1,-LOG(BA82),IF(BB82=2,14+LOG(BA82),7)),"")</f>
        <v/>
      </c>
      <c r="BD82" s="313" t="str">
        <f>IF(AX82=Elektrolisis!$M$7,(Elektrolisis!$Q$14*Elektrolisis!$Q$15)/(96500*REAKSI!R82*REAKSI!AZ82),"")</f>
        <v/>
      </c>
      <c r="BE82" s="312" t="str">
        <f>IF(AX82=Elektrolisis!$M$7,IF(BA82&gt;BD82,BA82-BD82,IF(BA82&lt;=BD82,0.0000001)),"")</f>
        <v/>
      </c>
      <c r="BF82" s="310" t="str">
        <f>IF(AX82=Elektrolisis!$M$7,IF(BB82=1,-LOG(BE82),IF(BB82=2,14+LOG(BE82),7)),"")</f>
        <v/>
      </c>
    </row>
    <row r="83" spans="1:58" ht="18.95" customHeight="1" x14ac:dyDescent="0.35">
      <c r="A83">
        <v>4</v>
      </c>
      <c r="B83" s="4">
        <v>81</v>
      </c>
      <c r="C83" s="4" t="s">
        <v>173</v>
      </c>
      <c r="E83" s="256" t="s">
        <v>618</v>
      </c>
      <c r="F83" s="71"/>
      <c r="H83" s="71" t="s">
        <v>595</v>
      </c>
      <c r="I83" s="71" t="s">
        <v>433</v>
      </c>
      <c r="J83" s="71" t="s">
        <v>439</v>
      </c>
      <c r="K83" s="221" t="s">
        <v>423</v>
      </c>
      <c r="L83" s="2"/>
      <c r="M83" s="4" t="s">
        <v>233</v>
      </c>
      <c r="N83" s="4">
        <v>2</v>
      </c>
      <c r="O83" s="4">
        <v>63.55</v>
      </c>
      <c r="P83" s="4"/>
      <c r="Q83" s="92" t="s">
        <v>236</v>
      </c>
      <c r="R83" s="4">
        <v>2</v>
      </c>
      <c r="S83" s="4">
        <v>2</v>
      </c>
      <c r="T83" s="4" t="s">
        <v>210</v>
      </c>
      <c r="U83" s="4">
        <f t="shared" si="8"/>
        <v>1</v>
      </c>
      <c r="V83" s="4">
        <v>81</v>
      </c>
      <c r="W83" s="2" t="s">
        <v>72</v>
      </c>
      <c r="X83" s="2" t="s">
        <v>421</v>
      </c>
      <c r="Y83" s="2" t="s">
        <v>79</v>
      </c>
      <c r="Z83" s="2" t="s">
        <v>73</v>
      </c>
      <c r="AA83" s="2" t="s">
        <v>74</v>
      </c>
      <c r="AB83" s="2"/>
      <c r="AC83" s="273" t="s">
        <v>3</v>
      </c>
      <c r="AD83" s="273" t="s">
        <v>245</v>
      </c>
      <c r="AE83" s="273" t="s">
        <v>240</v>
      </c>
      <c r="AF83" s="273" t="s">
        <v>259</v>
      </c>
      <c r="AG83" s="109"/>
      <c r="AH83" s="106">
        <f t="shared" si="6"/>
        <v>1</v>
      </c>
      <c r="AI83" s="106"/>
      <c r="AJ83" s="114"/>
      <c r="AK83" s="111"/>
      <c r="AN83" s="2"/>
      <c r="AP83" s="2"/>
      <c r="AU83" s="71" t="s">
        <v>574</v>
      </c>
      <c r="AV83" s="2"/>
      <c r="AW83" s="2"/>
      <c r="AX83" s="5">
        <v>81</v>
      </c>
      <c r="AY83" s="5">
        <v>3</v>
      </c>
      <c r="AZ83" s="309">
        <f>Elektrolisis!$Q$12</f>
        <v>1</v>
      </c>
      <c r="BA83" s="314">
        <f>IF(AND(C83&lt;&gt;"HF",C83&lt;&gt;"H3PO4",AY83&gt;0),AY83*Elektrolisis!$Q$13,IF(AND(C83="HF",AY83&gt;0),(Elektrolisis!$Q$13*0.0006)^0.5,IF(AND(C83="H3PO4",AY83&gt;0),(Elektrolisis!$Q$13*0.00075)^0.5,"")))</f>
        <v>2.7386127875258306E-2</v>
      </c>
      <c r="BB83" s="5">
        <v>1</v>
      </c>
      <c r="BC83" s="310" t="str">
        <f>IF(AX83=Elektrolisis!$M$7,IF(BB83=1,-LOG(BA83),IF(BB83=2,14+LOG(BA83),7)),"")</f>
        <v/>
      </c>
      <c r="BD83" s="313" t="str">
        <f>IF(AX83=Elektrolisis!$M$7,(Elektrolisis!$Q$14*Elektrolisis!$Q$15)/(96500*REAKSI!R83*REAKSI!AZ83),"")</f>
        <v/>
      </c>
      <c r="BE83" s="312" t="str">
        <f>IF(AX83=Elektrolisis!$M$7,IF(BA83&gt;BD83,BA83-BD83,IF(BA83&lt;=BD83,0.0000001)),"")</f>
        <v/>
      </c>
      <c r="BF83" s="310" t="str">
        <f>IF(AX83=Elektrolisis!$M$7,IF(BB83=1,-LOG(BE83),IF(BB83=2,14+LOG(BE83),7)),"")</f>
        <v/>
      </c>
    </row>
    <row r="84" spans="1:58" ht="18.95" customHeight="1" x14ac:dyDescent="0.35">
      <c r="A84">
        <v>5</v>
      </c>
      <c r="B84" s="4">
        <v>82</v>
      </c>
      <c r="C84" s="4" t="s">
        <v>174</v>
      </c>
      <c r="E84" s="256" t="s">
        <v>600</v>
      </c>
      <c r="F84" s="71"/>
      <c r="H84" s="71" t="s">
        <v>594</v>
      </c>
      <c r="I84" s="71" t="s">
        <v>433</v>
      </c>
      <c r="J84" s="71" t="s">
        <v>439</v>
      </c>
      <c r="K84" s="221" t="s">
        <v>423</v>
      </c>
      <c r="L84" s="2"/>
      <c r="M84" s="4" t="s">
        <v>233</v>
      </c>
      <c r="N84" s="4">
        <v>2</v>
      </c>
      <c r="O84" s="4">
        <v>63.55</v>
      </c>
      <c r="P84" s="4"/>
      <c r="Q84" s="92" t="s">
        <v>236</v>
      </c>
      <c r="R84" s="4">
        <v>2</v>
      </c>
      <c r="S84" s="4">
        <v>2</v>
      </c>
      <c r="T84" s="4" t="s">
        <v>210</v>
      </c>
      <c r="U84" s="4">
        <f t="shared" si="8"/>
        <v>1</v>
      </c>
      <c r="V84" s="4">
        <v>82</v>
      </c>
      <c r="W84" s="2" t="s">
        <v>72</v>
      </c>
      <c r="X84" s="2" t="s">
        <v>112</v>
      </c>
      <c r="Y84" s="2" t="s">
        <v>79</v>
      </c>
      <c r="Z84" s="2" t="s">
        <v>73</v>
      </c>
      <c r="AA84" s="2" t="s">
        <v>74</v>
      </c>
      <c r="AB84" s="2"/>
      <c r="AC84" s="273" t="s">
        <v>3</v>
      </c>
      <c r="AD84" s="273" t="s">
        <v>245</v>
      </c>
      <c r="AE84" s="273" t="s">
        <v>240</v>
      </c>
      <c r="AF84" s="273" t="s">
        <v>259</v>
      </c>
      <c r="AG84" s="109"/>
      <c r="AH84" s="106">
        <f t="shared" si="6"/>
        <v>1</v>
      </c>
      <c r="AI84" s="106"/>
      <c r="AJ84" s="114"/>
      <c r="AK84" s="111"/>
      <c r="AN84" s="2"/>
      <c r="AP84" s="2"/>
      <c r="AU84" s="71" t="s">
        <v>541</v>
      </c>
      <c r="AV84" s="2"/>
      <c r="AW84" s="2"/>
      <c r="AX84" s="5">
        <v>82</v>
      </c>
      <c r="AY84" s="5">
        <v>1</v>
      </c>
      <c r="AZ84" s="309">
        <f>Elektrolisis!$Q$12</f>
        <v>1</v>
      </c>
      <c r="BA84" s="314">
        <f>IF(AND(C84&lt;&gt;"HF",C84&lt;&gt;"H3PO4",AY84&gt;0),AY84*Elektrolisis!$Q$13,IF(AND(C84="HF",AY84&gt;0),(Elektrolisis!$Q$13*0.0006)^0.5,IF(AND(C84="H3PO4",AY84&gt;0),(Elektrolisis!$Q$13*0.00075)^0.5,"")))</f>
        <v>2.4494897427831779E-2</v>
      </c>
      <c r="BB84" s="5">
        <v>1</v>
      </c>
      <c r="BC84" s="310" t="str">
        <f>IF(AX84=Elektrolisis!$M$7,IF(BB84=1,-LOG(BA84),IF(BB84=2,14+LOG(BA84),7)),"")</f>
        <v/>
      </c>
      <c r="BD84" s="313" t="str">
        <f>IF(AX84=Elektrolisis!$M$7,(Elektrolisis!$Q$14*Elektrolisis!$Q$15)/(96500*REAKSI!R84*REAKSI!AZ84),"")</f>
        <v/>
      </c>
      <c r="BE84" s="312" t="str">
        <f>IF(AX84=Elektrolisis!$M$7,IF(BA84&gt;BD84,BA84-BD84,IF(BA84&lt;=BD84,0.0000001)),"")</f>
        <v/>
      </c>
      <c r="BF84" s="310" t="str">
        <f>IF(AX84=Elektrolisis!$M$7,IF(BB84=1,-LOG(BE84),IF(BB84=2,14+LOG(BE84),7)),"")</f>
        <v/>
      </c>
    </row>
    <row r="85" spans="1:58" ht="18.95" customHeight="1" x14ac:dyDescent="0.35">
      <c r="A85">
        <v>6</v>
      </c>
      <c r="B85" s="4">
        <v>83</v>
      </c>
      <c r="C85" s="4" t="s">
        <v>175</v>
      </c>
      <c r="E85" s="256" t="s">
        <v>620</v>
      </c>
      <c r="F85" s="71" t="s">
        <v>104</v>
      </c>
      <c r="H85" s="71" t="s">
        <v>113</v>
      </c>
      <c r="I85" s="71" t="s">
        <v>433</v>
      </c>
      <c r="J85" s="71" t="s">
        <v>337</v>
      </c>
      <c r="K85" s="221" t="s">
        <v>422</v>
      </c>
      <c r="L85" s="2"/>
      <c r="M85" s="4" t="s">
        <v>233</v>
      </c>
      <c r="N85" s="4">
        <v>2</v>
      </c>
      <c r="O85" s="4">
        <v>63.55</v>
      </c>
      <c r="P85" s="4"/>
      <c r="Q85" s="92" t="s">
        <v>236</v>
      </c>
      <c r="R85" s="4">
        <v>2</v>
      </c>
      <c r="S85" s="4">
        <v>2</v>
      </c>
      <c r="T85" s="4"/>
      <c r="U85" s="4">
        <f t="shared" si="8"/>
        <v>0</v>
      </c>
      <c r="V85" s="4">
        <v>83</v>
      </c>
      <c r="W85" s="2" t="s">
        <v>72</v>
      </c>
      <c r="X85" s="2" t="s">
        <v>77</v>
      </c>
      <c r="Y85" s="2" t="s">
        <v>79</v>
      </c>
      <c r="Z85" s="2" t="s">
        <v>73</v>
      </c>
      <c r="AA85" s="2" t="s">
        <v>103</v>
      </c>
      <c r="AB85" s="2"/>
      <c r="AC85" s="273" t="s">
        <v>3</v>
      </c>
      <c r="AD85" s="273" t="s">
        <v>245</v>
      </c>
      <c r="AE85" s="273" t="s">
        <v>242</v>
      </c>
      <c r="AF85" s="273" t="s">
        <v>259</v>
      </c>
      <c r="AG85" s="109"/>
      <c r="AH85" s="106">
        <f t="shared" si="6"/>
        <v>0</v>
      </c>
      <c r="AI85" s="106"/>
      <c r="AJ85" s="114"/>
      <c r="AK85" s="111"/>
      <c r="AN85" s="2"/>
      <c r="AP85" s="2"/>
      <c r="AU85" s="230" t="s">
        <v>339</v>
      </c>
      <c r="AV85" s="2"/>
      <c r="AW85" s="2"/>
      <c r="AX85" s="5">
        <v>83</v>
      </c>
      <c r="AY85" s="5">
        <v>0</v>
      </c>
      <c r="AZ85" s="309">
        <f>Elektrolisis!$Q$12</f>
        <v>1</v>
      </c>
      <c r="BA85" s="314" t="str">
        <f>IF(AND(C85&lt;&gt;"HF",C85&lt;&gt;"H3PO4",AY85&gt;0),AY85*Elektrolisis!$Q$13,IF(AND(C85="HF",AY85&gt;0),(Elektrolisis!$Q$13*0.0006)^0.5,IF(AND(C85="H3PO4",AY85&gt;0),(Elektrolisis!$Q$13*0.00075)^0.5,"")))</f>
        <v/>
      </c>
      <c r="BB85" s="5">
        <v>0</v>
      </c>
      <c r="BC85" s="310" t="str">
        <f>IF(AX85=Elektrolisis!$M$7,IF(BB85=1,-LOG(BA85),IF(BB85=2,14+LOG(BA85),7)),"")</f>
        <v/>
      </c>
      <c r="BD85" s="313" t="str">
        <f>IF(AX85=Elektrolisis!$M$7,(Elektrolisis!$Q$14*Elektrolisis!$Q$15)/(96500*REAKSI!R85*REAKSI!AZ85),"")</f>
        <v/>
      </c>
      <c r="BE85" s="312" t="str">
        <f>IF(AX85=Elektrolisis!$M$7,IF(BA85&gt;BD85,BA85-BD85,IF(BA85&lt;=BD85,0.0000001)),"")</f>
        <v/>
      </c>
      <c r="BF85" s="310" t="str">
        <f>IF(AX85=Elektrolisis!$M$7,IF(BB85=1,-LOG(BE85),IF(BB85=2,14+LOG(BE85),7)),"")</f>
        <v/>
      </c>
    </row>
    <row r="86" spans="1:58" ht="18.95" customHeight="1" x14ac:dyDescent="0.35">
      <c r="A86">
        <v>7</v>
      </c>
      <c r="B86" s="4">
        <v>84</v>
      </c>
      <c r="C86" s="4" t="s">
        <v>222</v>
      </c>
      <c r="E86" s="256" t="s">
        <v>621</v>
      </c>
      <c r="F86" s="71" t="s">
        <v>104</v>
      </c>
      <c r="H86" s="71" t="s">
        <v>223</v>
      </c>
      <c r="I86" s="71" t="s">
        <v>433</v>
      </c>
      <c r="J86" s="71" t="s">
        <v>337</v>
      </c>
      <c r="K86" s="221" t="s">
        <v>422</v>
      </c>
      <c r="L86" s="2"/>
      <c r="M86" s="4" t="s">
        <v>233</v>
      </c>
      <c r="N86" s="4">
        <v>2</v>
      </c>
      <c r="O86" s="4">
        <v>63.55</v>
      </c>
      <c r="P86" s="4"/>
      <c r="Q86" s="92" t="s">
        <v>236</v>
      </c>
      <c r="R86" s="4">
        <v>2</v>
      </c>
      <c r="S86" s="4">
        <v>2</v>
      </c>
      <c r="T86" s="4"/>
      <c r="U86" s="4">
        <f t="shared" si="8"/>
        <v>0</v>
      </c>
      <c r="V86" s="4">
        <v>84</v>
      </c>
      <c r="W86" s="2" t="s">
        <v>72</v>
      </c>
      <c r="X86" s="2" t="s">
        <v>111</v>
      </c>
      <c r="Y86" s="2" t="s">
        <v>79</v>
      </c>
      <c r="Z86" s="2" t="s">
        <v>73</v>
      </c>
      <c r="AA86" s="2" t="s">
        <v>75</v>
      </c>
      <c r="AB86" s="2"/>
      <c r="AC86" s="273" t="s">
        <v>3</v>
      </c>
      <c r="AD86" s="273" t="s">
        <v>245</v>
      </c>
      <c r="AE86" s="273" t="s">
        <v>242</v>
      </c>
      <c r="AF86" s="273" t="s">
        <v>259</v>
      </c>
      <c r="AG86" s="109"/>
      <c r="AH86" s="106">
        <f t="shared" si="6"/>
        <v>0</v>
      </c>
      <c r="AI86" s="106"/>
      <c r="AJ86" s="114"/>
      <c r="AK86" s="111"/>
      <c r="AN86" s="2"/>
      <c r="AP86" s="2"/>
      <c r="AU86" s="230" t="s">
        <v>596</v>
      </c>
      <c r="AV86" s="2"/>
      <c r="AW86" s="2"/>
      <c r="AX86" s="5">
        <v>84</v>
      </c>
      <c r="AY86" s="5">
        <v>0</v>
      </c>
      <c r="AZ86" s="309">
        <f>Elektrolisis!$Q$12</f>
        <v>1</v>
      </c>
      <c r="BA86" s="314" t="str">
        <f>IF(AND(C86&lt;&gt;"HF",C86&lt;&gt;"H3PO4",AY86&gt;0),AY86*Elektrolisis!$Q$13,IF(AND(C86="HF",AY86&gt;0),(Elektrolisis!$Q$13*0.0006)^0.5,IF(AND(C86="H3PO4",AY86&gt;0),(Elektrolisis!$Q$13*0.00075)^0.5,"")))</f>
        <v/>
      </c>
      <c r="BB86" s="5">
        <v>0</v>
      </c>
      <c r="BC86" s="310" t="str">
        <f>IF(AX86=Elektrolisis!$M$7,IF(BB86=1,-LOG(BA86),IF(BB86=2,14+LOG(BA86),7)),"")</f>
        <v/>
      </c>
      <c r="BD86" s="313" t="str">
        <f>IF(AX86=Elektrolisis!$M$7,(Elektrolisis!$Q$14*Elektrolisis!$Q$15)/(96500*REAKSI!R86*REAKSI!AZ86),"")</f>
        <v/>
      </c>
      <c r="BE86" s="312" t="str">
        <f>IF(AX86=Elektrolisis!$M$7,IF(BA86&gt;BD86,BA86-BD86,IF(BA86&lt;=BD86,0.0000001)),"")</f>
        <v/>
      </c>
      <c r="BF86" s="310" t="str">
        <f>IF(AX86=Elektrolisis!$M$7,IF(BB86=1,-LOG(BE86),IF(BB86=2,14+LOG(BE86),7)),"")</f>
        <v/>
      </c>
    </row>
    <row r="87" spans="1:58" ht="18.95" customHeight="1" x14ac:dyDescent="0.35">
      <c r="A87">
        <v>8</v>
      </c>
      <c r="B87" s="4">
        <v>85</v>
      </c>
      <c r="C87" s="4" t="s">
        <v>8</v>
      </c>
      <c r="E87" s="256" t="s">
        <v>622</v>
      </c>
      <c r="F87" s="71" t="s">
        <v>104</v>
      </c>
      <c r="H87" s="71" t="s">
        <v>114</v>
      </c>
      <c r="I87" s="71" t="s">
        <v>433</v>
      </c>
      <c r="J87" s="71" t="s">
        <v>337</v>
      </c>
      <c r="K87" s="221" t="s">
        <v>422</v>
      </c>
      <c r="L87" s="2"/>
      <c r="M87" s="4" t="s">
        <v>233</v>
      </c>
      <c r="N87" s="4">
        <v>2</v>
      </c>
      <c r="O87" s="4">
        <v>63.55</v>
      </c>
      <c r="P87" s="4"/>
      <c r="Q87" s="92" t="s">
        <v>236</v>
      </c>
      <c r="R87" s="4">
        <v>2</v>
      </c>
      <c r="S87" s="4">
        <v>2</v>
      </c>
      <c r="T87" s="4"/>
      <c r="U87" s="4">
        <f t="shared" si="8"/>
        <v>0</v>
      </c>
      <c r="V87" s="4">
        <v>85</v>
      </c>
      <c r="W87" s="2" t="s">
        <v>72</v>
      </c>
      <c r="X87" s="2" t="s">
        <v>77</v>
      </c>
      <c r="Y87" s="2" t="s">
        <v>79</v>
      </c>
      <c r="Z87" s="2" t="s">
        <v>73</v>
      </c>
      <c r="AA87" s="2" t="s">
        <v>75</v>
      </c>
      <c r="AB87" s="2"/>
      <c r="AC87" s="273" t="s">
        <v>3</v>
      </c>
      <c r="AD87" s="273" t="s">
        <v>245</v>
      </c>
      <c r="AE87" s="273" t="s">
        <v>242</v>
      </c>
      <c r="AF87" s="273" t="s">
        <v>259</v>
      </c>
      <c r="AG87" s="109"/>
      <c r="AH87" s="106">
        <f t="shared" si="6"/>
        <v>0</v>
      </c>
      <c r="AI87" s="106"/>
      <c r="AJ87" s="114"/>
      <c r="AK87" s="111"/>
      <c r="AN87" s="2"/>
      <c r="AP87" s="2"/>
      <c r="AU87" s="230" t="s">
        <v>340</v>
      </c>
      <c r="AV87" s="2"/>
      <c r="AW87" s="2"/>
      <c r="AX87" s="5">
        <v>85</v>
      </c>
      <c r="AY87" s="5">
        <v>0</v>
      </c>
      <c r="AZ87" s="309">
        <f>Elektrolisis!$Q$12</f>
        <v>1</v>
      </c>
      <c r="BA87" s="314" t="str">
        <f>IF(AND(C87&lt;&gt;"HF",C87&lt;&gt;"H3PO4",AY87&gt;0),AY87*Elektrolisis!$Q$13,IF(AND(C87="HF",AY87&gt;0),(Elektrolisis!$Q$13*0.0006)^0.5,IF(AND(C87="H3PO4",AY87&gt;0),(Elektrolisis!$Q$13*0.00075)^0.5,"")))</f>
        <v/>
      </c>
      <c r="BB87" s="5">
        <v>0</v>
      </c>
      <c r="BC87" s="310" t="str">
        <f>IF(AX87=Elektrolisis!$M$7,IF(BB87=1,-LOG(BA87),IF(BB87=2,14+LOG(BA87),7)),"")</f>
        <v/>
      </c>
      <c r="BD87" s="313" t="str">
        <f>IF(AX87=Elektrolisis!$M$7,(Elektrolisis!$Q$14*Elektrolisis!$Q$15)/(96500*REAKSI!R87*REAKSI!AZ87),"")</f>
        <v/>
      </c>
      <c r="BE87" s="312" t="str">
        <f>IF(AX87=Elektrolisis!$M$7,IF(BA87&gt;BD87,BA87-BD87,IF(BA87&lt;=BD87,0.0000001)),"")</f>
        <v/>
      </c>
      <c r="BF87" s="310" t="str">
        <f>IF(AX87=Elektrolisis!$M$7,IF(BB87=1,-LOG(BE87),IF(BB87=2,14+LOG(BE87),7)),"")</f>
        <v/>
      </c>
    </row>
    <row r="88" spans="1:58" ht="18.95" customHeight="1" x14ac:dyDescent="0.35">
      <c r="A88">
        <v>9</v>
      </c>
      <c r="B88" s="4">
        <v>86</v>
      </c>
      <c r="C88" s="4" t="s">
        <v>177</v>
      </c>
      <c r="E88" s="256" t="s">
        <v>623</v>
      </c>
      <c r="F88" s="71" t="s">
        <v>104</v>
      </c>
      <c r="H88" s="71" t="s">
        <v>115</v>
      </c>
      <c r="I88" s="71" t="s">
        <v>433</v>
      </c>
      <c r="J88" s="71" t="s">
        <v>337</v>
      </c>
      <c r="K88" s="221" t="s">
        <v>422</v>
      </c>
      <c r="L88" s="2"/>
      <c r="M88" s="4" t="s">
        <v>233</v>
      </c>
      <c r="N88" s="4">
        <v>2</v>
      </c>
      <c r="O88" s="4">
        <v>63.55</v>
      </c>
      <c r="P88" s="4"/>
      <c r="Q88" s="92" t="s">
        <v>236</v>
      </c>
      <c r="R88" s="4">
        <v>2</v>
      </c>
      <c r="S88" s="4">
        <v>2</v>
      </c>
      <c r="T88" s="4"/>
      <c r="U88" s="4">
        <f t="shared" si="8"/>
        <v>0</v>
      </c>
      <c r="V88" s="4">
        <v>86</v>
      </c>
      <c r="W88" s="2" t="s">
        <v>72</v>
      </c>
      <c r="X88" s="2" t="s">
        <v>77</v>
      </c>
      <c r="Y88" s="2" t="s">
        <v>79</v>
      </c>
      <c r="Z88" s="2" t="s">
        <v>73</v>
      </c>
      <c r="AA88" s="2" t="s">
        <v>118</v>
      </c>
      <c r="AB88" s="2"/>
      <c r="AC88" s="273" t="s">
        <v>3</v>
      </c>
      <c r="AD88" s="273" t="s">
        <v>245</v>
      </c>
      <c r="AE88" s="273" t="s">
        <v>242</v>
      </c>
      <c r="AF88" s="273" t="s">
        <v>259</v>
      </c>
      <c r="AG88" s="109"/>
      <c r="AH88" s="106">
        <f t="shared" si="6"/>
        <v>0</v>
      </c>
      <c r="AI88" s="106"/>
      <c r="AJ88" s="114"/>
      <c r="AK88" s="111"/>
      <c r="AN88" s="2"/>
      <c r="AP88" s="2"/>
      <c r="AU88" s="230" t="s">
        <v>341</v>
      </c>
      <c r="AV88" s="2"/>
      <c r="AW88" s="2"/>
      <c r="AX88" s="5">
        <v>86</v>
      </c>
      <c r="AY88" s="5">
        <v>0</v>
      </c>
      <c r="AZ88" s="309">
        <f>Elektrolisis!$Q$12</f>
        <v>1</v>
      </c>
      <c r="BA88" s="314" t="str">
        <f>IF(AND(C88&lt;&gt;"HF",C88&lt;&gt;"H3PO4",AY88&gt;0),AY88*Elektrolisis!$Q$13,IF(AND(C88="HF",AY88&gt;0),(Elektrolisis!$Q$13*0.0006)^0.5,IF(AND(C88="H3PO4",AY88&gt;0),(Elektrolisis!$Q$13*0.00075)^0.5,"")))</f>
        <v/>
      </c>
      <c r="BB88" s="5">
        <v>0</v>
      </c>
      <c r="BC88" s="310" t="str">
        <f>IF(AX88=Elektrolisis!$M$7,IF(BB88=1,-LOG(BA88),IF(BB88=2,14+LOG(BA88),7)),"")</f>
        <v/>
      </c>
      <c r="BD88" s="313" t="str">
        <f>IF(AX88=Elektrolisis!$M$7,(Elektrolisis!$Q$14*Elektrolisis!$Q$15)/(96500*REAKSI!R88*REAKSI!AZ88),"")</f>
        <v/>
      </c>
      <c r="BE88" s="312" t="str">
        <f>IF(AX88=Elektrolisis!$M$7,IF(BA88&gt;BD88,BA88-BD88,IF(BA88&lt;=BD88,0.0000001)),"")</f>
        <v/>
      </c>
      <c r="BF88" s="310" t="str">
        <f>IF(AX88=Elektrolisis!$M$7,IF(BB88=1,-LOG(BE88),IF(BB88=2,14+LOG(BE88),7)),"")</f>
        <v/>
      </c>
    </row>
    <row r="89" spans="1:58" ht="18.95" customHeight="1" x14ac:dyDescent="0.35">
      <c r="A89">
        <v>10</v>
      </c>
      <c r="B89" s="4">
        <v>87</v>
      </c>
      <c r="C89" s="4" t="s">
        <v>178</v>
      </c>
      <c r="E89" s="256" t="s">
        <v>624</v>
      </c>
      <c r="F89" s="71" t="s">
        <v>104</v>
      </c>
      <c r="H89" s="71" t="s">
        <v>116</v>
      </c>
      <c r="I89" s="71" t="s">
        <v>433</v>
      </c>
      <c r="J89" s="71" t="s">
        <v>337</v>
      </c>
      <c r="K89" s="221" t="s">
        <v>422</v>
      </c>
      <c r="L89" s="2"/>
      <c r="M89" s="4" t="s">
        <v>233</v>
      </c>
      <c r="N89" s="4">
        <v>2</v>
      </c>
      <c r="O89" s="4">
        <v>63.55</v>
      </c>
      <c r="P89" s="4"/>
      <c r="Q89" s="92" t="s">
        <v>236</v>
      </c>
      <c r="R89" s="4">
        <v>2</v>
      </c>
      <c r="S89" s="4">
        <v>2</v>
      </c>
      <c r="T89" s="4"/>
      <c r="U89" s="4">
        <f t="shared" si="8"/>
        <v>0</v>
      </c>
      <c r="V89" s="4">
        <v>87</v>
      </c>
      <c r="W89" s="2" t="s">
        <v>72</v>
      </c>
      <c r="X89" s="2" t="s">
        <v>77</v>
      </c>
      <c r="Y89" s="2" t="s">
        <v>79</v>
      </c>
      <c r="Z89" s="2" t="s">
        <v>73</v>
      </c>
      <c r="AA89" s="2" t="s">
        <v>119</v>
      </c>
      <c r="AB89" s="2"/>
      <c r="AC89" s="273" t="s">
        <v>3</v>
      </c>
      <c r="AD89" s="273" t="s">
        <v>245</v>
      </c>
      <c r="AE89" s="273" t="s">
        <v>242</v>
      </c>
      <c r="AF89" s="273" t="s">
        <v>259</v>
      </c>
      <c r="AG89" s="109"/>
      <c r="AH89" s="106">
        <f t="shared" si="6"/>
        <v>0</v>
      </c>
      <c r="AI89" s="106"/>
      <c r="AJ89" s="114"/>
      <c r="AK89" s="111"/>
      <c r="AN89" s="2"/>
      <c r="AP89" s="2"/>
      <c r="AU89" s="230" t="s">
        <v>722</v>
      </c>
      <c r="AV89" s="2"/>
      <c r="AW89" s="2"/>
      <c r="AX89" s="5">
        <v>87</v>
      </c>
      <c r="AY89" s="5">
        <v>0</v>
      </c>
      <c r="AZ89" s="309">
        <f>Elektrolisis!$Q$12</f>
        <v>1</v>
      </c>
      <c r="BA89" s="314" t="str">
        <f>IF(AND(C89&lt;&gt;"HF",C89&lt;&gt;"H3PO4",AY89&gt;0),AY89*Elektrolisis!$Q$13,IF(AND(C89="HF",AY89&gt;0),(Elektrolisis!$Q$13*0.0006)^0.5,IF(AND(C89="H3PO4",AY89&gt;0),(Elektrolisis!$Q$13*0.00075)^0.5,"")))</f>
        <v/>
      </c>
      <c r="BB89" s="5">
        <v>0</v>
      </c>
      <c r="BC89" s="310" t="str">
        <f>IF(AX89=Elektrolisis!$M$7,IF(BB89=1,-LOG(BA89),IF(BB89=2,14+LOG(BA89),7)),"")</f>
        <v/>
      </c>
      <c r="BD89" s="313" t="str">
        <f>IF(AX89=Elektrolisis!$M$7,(Elektrolisis!$Q$14*Elektrolisis!$Q$15)/(96500*REAKSI!R89*REAKSI!AZ89),"")</f>
        <v/>
      </c>
      <c r="BE89" s="312" t="str">
        <f>IF(AX89=Elektrolisis!$M$7,IF(BA89&gt;BD89,BA89-BD89,IF(BA89&lt;=BD89,0.0000001)),"")</f>
        <v/>
      </c>
      <c r="BF89" s="310" t="str">
        <f>IF(AX89=Elektrolisis!$M$7,IF(BB89=1,-LOG(BE89),IF(BB89=2,14+LOG(BE89),7)),"")</f>
        <v/>
      </c>
    </row>
    <row r="90" spans="1:58" ht="18.95" customHeight="1" x14ac:dyDescent="0.35">
      <c r="A90">
        <v>11</v>
      </c>
      <c r="B90" s="4">
        <v>88</v>
      </c>
      <c r="C90" s="4" t="s">
        <v>179</v>
      </c>
      <c r="E90" s="256" t="s">
        <v>625</v>
      </c>
      <c r="F90" s="71" t="s">
        <v>104</v>
      </c>
      <c r="H90" s="71" t="s">
        <v>117</v>
      </c>
      <c r="I90" s="71" t="s">
        <v>433</v>
      </c>
      <c r="J90" s="71" t="s">
        <v>337</v>
      </c>
      <c r="K90" s="221" t="s">
        <v>422</v>
      </c>
      <c r="L90" s="2"/>
      <c r="M90" s="4" t="s">
        <v>233</v>
      </c>
      <c r="N90" s="4">
        <v>2</v>
      </c>
      <c r="O90" s="4">
        <v>63.55</v>
      </c>
      <c r="P90" s="4"/>
      <c r="Q90" s="92" t="s">
        <v>236</v>
      </c>
      <c r="R90" s="4">
        <v>2</v>
      </c>
      <c r="S90" s="4">
        <v>2</v>
      </c>
      <c r="T90" s="4"/>
      <c r="U90" s="4">
        <f t="shared" si="8"/>
        <v>0</v>
      </c>
      <c r="V90" s="4">
        <v>88</v>
      </c>
      <c r="W90" s="2" t="s">
        <v>72</v>
      </c>
      <c r="X90" s="2" t="s">
        <v>77</v>
      </c>
      <c r="Y90" s="2" t="s">
        <v>79</v>
      </c>
      <c r="Z90" s="2" t="s">
        <v>73</v>
      </c>
      <c r="AA90" s="2" t="s">
        <v>120</v>
      </c>
      <c r="AB90" s="2"/>
      <c r="AC90" s="273" t="s">
        <v>3</v>
      </c>
      <c r="AD90" s="273" t="s">
        <v>245</v>
      </c>
      <c r="AE90" s="273" t="s">
        <v>242</v>
      </c>
      <c r="AF90" s="273" t="s">
        <v>259</v>
      </c>
      <c r="AG90" s="109"/>
      <c r="AH90" s="106">
        <f t="shared" si="6"/>
        <v>0</v>
      </c>
      <c r="AI90" s="106"/>
      <c r="AJ90" s="114"/>
      <c r="AK90" s="111"/>
      <c r="AN90" s="2"/>
      <c r="AP90" s="2"/>
      <c r="AU90" s="230" t="s">
        <v>342</v>
      </c>
      <c r="AV90" s="2"/>
      <c r="AW90" s="2"/>
      <c r="AX90" s="5">
        <v>88</v>
      </c>
      <c r="AY90" s="5">
        <v>0</v>
      </c>
      <c r="AZ90" s="309">
        <f>Elektrolisis!$Q$12</f>
        <v>1</v>
      </c>
      <c r="BA90" s="314" t="str">
        <f>IF(AND(C90&lt;&gt;"HF",C90&lt;&gt;"H3PO4",AY90&gt;0),AY90*Elektrolisis!$Q$13,IF(AND(C90="HF",AY90&gt;0),(Elektrolisis!$Q$13*0.0006)^0.5,IF(AND(C90="H3PO4",AY90&gt;0),(Elektrolisis!$Q$13*0.00075)^0.5,"")))</f>
        <v/>
      </c>
      <c r="BB90" s="5">
        <v>0</v>
      </c>
      <c r="BC90" s="310" t="str">
        <f>IF(AX90=Elektrolisis!$M$7,IF(BB90=1,-LOG(BA90),IF(BB90=2,14+LOG(BA90),7)),"")</f>
        <v/>
      </c>
      <c r="BD90" s="313" t="str">
        <f>IF(AX90=Elektrolisis!$M$7,(Elektrolisis!$Q$14*Elektrolisis!$Q$15)/(96500*REAKSI!R90*REAKSI!AZ90),"")</f>
        <v/>
      </c>
      <c r="BE90" s="312" t="str">
        <f>IF(AX90=Elektrolisis!$M$7,IF(BA90&gt;BD90,BA90-BD90,IF(BA90&lt;=BD90,0.0000001)),"")</f>
        <v/>
      </c>
      <c r="BF90" s="310" t="str">
        <f>IF(AX90=Elektrolisis!$M$7,IF(BB90=1,-LOG(BE90),IF(BB90=2,14+LOG(BE90),7)),"")</f>
        <v/>
      </c>
    </row>
    <row r="91" spans="1:58" ht="18.75" x14ac:dyDescent="0.35">
      <c r="A91">
        <v>12</v>
      </c>
      <c r="B91" s="4">
        <v>89</v>
      </c>
      <c r="C91" s="4" t="s">
        <v>180</v>
      </c>
      <c r="E91" s="256" t="s">
        <v>656</v>
      </c>
      <c r="F91" s="71" t="s">
        <v>104</v>
      </c>
      <c r="H91" s="71" t="s">
        <v>121</v>
      </c>
      <c r="I91" s="71" t="s">
        <v>433</v>
      </c>
      <c r="J91" s="71" t="s">
        <v>337</v>
      </c>
      <c r="K91" s="221" t="s">
        <v>422</v>
      </c>
      <c r="L91" s="2"/>
      <c r="M91" s="4" t="s">
        <v>233</v>
      </c>
      <c r="N91" s="4">
        <v>2</v>
      </c>
      <c r="O91" s="4">
        <v>63.55</v>
      </c>
      <c r="P91" s="4"/>
      <c r="Q91" s="92" t="s">
        <v>236</v>
      </c>
      <c r="R91" s="4">
        <v>2</v>
      </c>
      <c r="S91" s="4">
        <v>2</v>
      </c>
      <c r="T91" s="4"/>
      <c r="U91" s="4">
        <f t="shared" si="8"/>
        <v>0</v>
      </c>
      <c r="V91" s="4">
        <v>89</v>
      </c>
      <c r="W91" s="2" t="s">
        <v>72</v>
      </c>
      <c r="X91" s="2" t="s">
        <v>420</v>
      </c>
      <c r="Y91" s="2" t="s">
        <v>79</v>
      </c>
      <c r="Z91" s="2" t="s">
        <v>73</v>
      </c>
      <c r="AA91" s="2" t="s">
        <v>127</v>
      </c>
      <c r="AB91" s="2"/>
      <c r="AC91" s="273" t="s">
        <v>3</v>
      </c>
      <c r="AD91" s="273" t="s">
        <v>245</v>
      </c>
      <c r="AE91" s="273" t="s">
        <v>242</v>
      </c>
      <c r="AF91" s="273" t="s">
        <v>259</v>
      </c>
      <c r="AG91" s="109"/>
      <c r="AH91" s="106">
        <f t="shared" si="6"/>
        <v>0</v>
      </c>
      <c r="AI91" s="106"/>
      <c r="AJ91" s="114"/>
      <c r="AK91" s="111"/>
      <c r="AN91" s="2"/>
      <c r="AP91" s="2"/>
      <c r="AU91" s="231" t="s">
        <v>344</v>
      </c>
      <c r="AV91" s="2"/>
      <c r="AW91" s="2"/>
      <c r="AX91" s="5">
        <v>89</v>
      </c>
      <c r="AY91" s="5">
        <v>0</v>
      </c>
      <c r="AZ91" s="309">
        <f>Elektrolisis!$Q$12</f>
        <v>1</v>
      </c>
      <c r="BA91" s="314" t="str">
        <f>IF(AND(C91&lt;&gt;"HF",C91&lt;&gt;"H3PO4",AY91&gt;0),AY91*Elektrolisis!$Q$13,IF(AND(C91="HF",AY91&gt;0),(Elektrolisis!$Q$13*0.0006)^0.5,IF(AND(C91="H3PO4",AY91&gt;0),(Elektrolisis!$Q$13*0.00075)^0.5,"")))</f>
        <v/>
      </c>
      <c r="BB91" s="5">
        <v>0</v>
      </c>
      <c r="BC91" s="310" t="str">
        <f>IF(AX91=Elektrolisis!$M$7,IF(BB91=1,-LOG(BA91),IF(BB91=2,14+LOG(BA91),7)),"")</f>
        <v/>
      </c>
      <c r="BD91" s="313" t="str">
        <f>IF(AX91=Elektrolisis!$M$7,(Elektrolisis!$Q$14*Elektrolisis!$Q$15)/(96500*REAKSI!R91*REAKSI!AZ91),"")</f>
        <v/>
      </c>
      <c r="BE91" s="312" t="str">
        <f>IF(AX91=Elektrolisis!$M$7,IF(BA91&gt;BD91,BA91-BD91,IF(BA91&lt;=BD91,0.0000001)),"")</f>
        <v/>
      </c>
      <c r="BF91" s="310" t="str">
        <f>IF(AX91=Elektrolisis!$M$7,IF(BB91=1,-LOG(BE91),IF(BB91=2,14+LOG(BE91),7)),"")</f>
        <v/>
      </c>
    </row>
    <row r="92" spans="1:58" ht="18.95" customHeight="1" x14ac:dyDescent="0.35">
      <c r="A92">
        <v>13</v>
      </c>
      <c r="B92" s="4">
        <v>90</v>
      </c>
      <c r="C92" s="4" t="s">
        <v>181</v>
      </c>
      <c r="E92" s="256" t="s">
        <v>627</v>
      </c>
      <c r="F92" s="71" t="s">
        <v>104</v>
      </c>
      <c r="H92" s="71" t="s">
        <v>122</v>
      </c>
      <c r="I92" s="71" t="s">
        <v>433</v>
      </c>
      <c r="J92" s="71" t="s">
        <v>337</v>
      </c>
      <c r="K92" s="221" t="s">
        <v>422</v>
      </c>
      <c r="L92" s="2"/>
      <c r="M92" s="4" t="s">
        <v>233</v>
      </c>
      <c r="N92" s="4">
        <v>2</v>
      </c>
      <c r="O92" s="4">
        <v>63.55</v>
      </c>
      <c r="P92" s="4"/>
      <c r="Q92" s="92" t="s">
        <v>236</v>
      </c>
      <c r="R92" s="4">
        <v>2</v>
      </c>
      <c r="S92" s="4">
        <v>2</v>
      </c>
      <c r="T92" s="4"/>
      <c r="U92" s="4">
        <f t="shared" si="8"/>
        <v>0</v>
      </c>
      <c r="V92" s="4">
        <v>90</v>
      </c>
      <c r="W92" s="2" t="s">
        <v>72</v>
      </c>
      <c r="X92" s="2" t="s">
        <v>421</v>
      </c>
      <c r="Y92" s="2" t="s">
        <v>79</v>
      </c>
      <c r="Z92" s="2" t="s">
        <v>73</v>
      </c>
      <c r="AA92" s="2" t="s">
        <v>75</v>
      </c>
      <c r="AB92" s="2"/>
      <c r="AC92" s="273" t="s">
        <v>3</v>
      </c>
      <c r="AD92" s="273" t="s">
        <v>245</v>
      </c>
      <c r="AE92" s="273" t="s">
        <v>242</v>
      </c>
      <c r="AF92" s="273" t="s">
        <v>259</v>
      </c>
      <c r="AG92" s="109"/>
      <c r="AH92" s="106">
        <f t="shared" si="6"/>
        <v>0</v>
      </c>
      <c r="AI92" s="106"/>
      <c r="AJ92" s="114"/>
      <c r="AK92" s="111"/>
      <c r="AN92" s="2"/>
      <c r="AP92" s="2"/>
      <c r="AU92" s="229" t="s">
        <v>345</v>
      </c>
      <c r="AV92" s="2"/>
      <c r="AW92" s="2"/>
      <c r="AX92" s="5">
        <v>90</v>
      </c>
      <c r="AY92" s="5">
        <v>0</v>
      </c>
      <c r="AZ92" s="309">
        <f>Elektrolisis!$Q$12</f>
        <v>1</v>
      </c>
      <c r="BA92" s="314" t="str">
        <f>IF(AND(C92&lt;&gt;"HF",C92&lt;&gt;"H3PO4",AY92&gt;0),AY92*Elektrolisis!$Q$13,IF(AND(C92="HF",AY92&gt;0),(Elektrolisis!$Q$13*0.0006)^0.5,IF(AND(C92="H3PO4",AY92&gt;0),(Elektrolisis!$Q$13*0.00075)^0.5,"")))</f>
        <v/>
      </c>
      <c r="BB92" s="5">
        <v>0</v>
      </c>
      <c r="BC92" s="310" t="str">
        <f>IF(AX92=Elektrolisis!$M$7,IF(BB92=1,-LOG(BA92),IF(BB92=2,14+LOG(BA92),7)),"")</f>
        <v/>
      </c>
      <c r="BD92" s="313" t="str">
        <f>IF(AX92=Elektrolisis!$M$7,(Elektrolisis!$Q$14*Elektrolisis!$Q$15)/(96500*REAKSI!R92*REAKSI!AZ92),"")</f>
        <v/>
      </c>
      <c r="BE92" s="312" t="str">
        <f>IF(AX92=Elektrolisis!$M$7,IF(BA92&gt;BD92,BA92-BD92,IF(BA92&lt;=BD92,0.0000001)),"")</f>
        <v/>
      </c>
      <c r="BF92" s="310" t="str">
        <f>IF(AX92=Elektrolisis!$M$7,IF(BB92=1,-LOG(BE92),IF(BB92=2,14+LOG(BE92),7)),"")</f>
        <v/>
      </c>
    </row>
    <row r="93" spans="1:58" ht="18.95" customHeight="1" x14ac:dyDescent="0.35">
      <c r="A93">
        <v>14</v>
      </c>
      <c r="B93" s="4">
        <v>91</v>
      </c>
      <c r="C93" s="4" t="s">
        <v>182</v>
      </c>
      <c r="E93" s="256" t="s">
        <v>628</v>
      </c>
      <c r="F93" s="71" t="s">
        <v>104</v>
      </c>
      <c r="H93" s="71" t="s">
        <v>123</v>
      </c>
      <c r="I93" s="71" t="s">
        <v>433</v>
      </c>
      <c r="J93" s="71" t="s">
        <v>337</v>
      </c>
      <c r="K93" s="221" t="s">
        <v>422</v>
      </c>
      <c r="L93" s="2"/>
      <c r="M93" s="4" t="s">
        <v>233</v>
      </c>
      <c r="N93" s="4">
        <v>2</v>
      </c>
      <c r="O93" s="4">
        <v>63.55</v>
      </c>
      <c r="P93" s="4"/>
      <c r="Q93" s="92" t="s">
        <v>236</v>
      </c>
      <c r="R93" s="4">
        <v>2</v>
      </c>
      <c r="S93" s="4">
        <v>2</v>
      </c>
      <c r="T93" s="4"/>
      <c r="U93" s="4">
        <f t="shared" si="8"/>
        <v>0</v>
      </c>
      <c r="V93" s="4">
        <v>91</v>
      </c>
      <c r="W93" s="2" t="s">
        <v>72</v>
      </c>
      <c r="X93" s="2" t="s">
        <v>420</v>
      </c>
      <c r="Y93" s="2" t="s">
        <v>79</v>
      </c>
      <c r="Z93" s="2" t="s">
        <v>73</v>
      </c>
      <c r="AA93" s="2" t="s">
        <v>118</v>
      </c>
      <c r="AB93" s="2"/>
      <c r="AC93" s="273" t="s">
        <v>3</v>
      </c>
      <c r="AD93" s="273" t="s">
        <v>245</v>
      </c>
      <c r="AE93" s="273" t="s">
        <v>242</v>
      </c>
      <c r="AF93" s="273" t="s">
        <v>259</v>
      </c>
      <c r="AG93" s="109"/>
      <c r="AH93" s="106">
        <f t="shared" si="6"/>
        <v>0</v>
      </c>
      <c r="AI93" s="106"/>
      <c r="AJ93" s="114"/>
      <c r="AK93" s="111"/>
      <c r="AN93" s="2"/>
      <c r="AP93" s="2"/>
      <c r="AU93" s="229" t="s">
        <v>742</v>
      </c>
      <c r="AV93" s="2"/>
      <c r="AW93" s="2"/>
      <c r="AX93" s="5">
        <v>91</v>
      </c>
      <c r="AY93" s="5">
        <v>0</v>
      </c>
      <c r="AZ93" s="309">
        <f>Elektrolisis!$Q$12</f>
        <v>1</v>
      </c>
      <c r="BA93" s="314" t="str">
        <f>IF(AND(C93&lt;&gt;"HF",C93&lt;&gt;"H3PO4",AY93&gt;0),AY93*Elektrolisis!$Q$13,IF(AND(C93="HF",AY93&gt;0),(Elektrolisis!$Q$13*0.0006)^0.5,IF(AND(C93="H3PO4",AY93&gt;0),(Elektrolisis!$Q$13*0.00075)^0.5,"")))</f>
        <v/>
      </c>
      <c r="BB93" s="5">
        <v>0</v>
      </c>
      <c r="BC93" s="310" t="str">
        <f>IF(AX93=Elektrolisis!$M$7,IF(BB93=1,-LOG(BA93),IF(BB93=2,14+LOG(BA93),7)),"")</f>
        <v/>
      </c>
      <c r="BD93" s="313" t="str">
        <f>IF(AX93=Elektrolisis!$M$7,(Elektrolisis!$Q$14*Elektrolisis!$Q$15)/(96500*REAKSI!R93*REAKSI!AZ93),"")</f>
        <v/>
      </c>
      <c r="BE93" s="312" t="str">
        <f>IF(AX93=Elektrolisis!$M$7,IF(BA93&gt;BD93,BA93-BD93,IF(BA93&lt;=BD93,0.0000001)),"")</f>
        <v/>
      </c>
      <c r="BF93" s="310" t="str">
        <f>IF(AX93=Elektrolisis!$M$7,IF(BB93=1,-LOG(BE93),IF(BB93=2,14+LOG(BE93),7)),"")</f>
        <v/>
      </c>
    </row>
    <row r="94" spans="1:58" ht="18.95" customHeight="1" x14ac:dyDescent="0.35">
      <c r="A94">
        <v>15</v>
      </c>
      <c r="B94" s="4">
        <v>92</v>
      </c>
      <c r="C94" s="4" t="s">
        <v>183</v>
      </c>
      <c r="E94" s="256" t="s">
        <v>629</v>
      </c>
      <c r="F94" s="71" t="s">
        <v>104</v>
      </c>
      <c r="H94" s="71" t="s">
        <v>124</v>
      </c>
      <c r="I94" s="71" t="s">
        <v>433</v>
      </c>
      <c r="J94" s="71" t="s">
        <v>337</v>
      </c>
      <c r="K94" s="221" t="s">
        <v>422</v>
      </c>
      <c r="L94" s="2"/>
      <c r="M94" s="4" t="s">
        <v>233</v>
      </c>
      <c r="N94" s="4">
        <v>2</v>
      </c>
      <c r="O94" s="4">
        <v>63.55</v>
      </c>
      <c r="P94" s="4"/>
      <c r="Q94" s="92" t="s">
        <v>236</v>
      </c>
      <c r="R94" s="4">
        <v>2</v>
      </c>
      <c r="S94" s="4">
        <v>2</v>
      </c>
      <c r="T94" s="4"/>
      <c r="U94" s="4">
        <f t="shared" si="8"/>
        <v>0</v>
      </c>
      <c r="V94" s="4">
        <v>92</v>
      </c>
      <c r="W94" s="2" t="s">
        <v>72</v>
      </c>
      <c r="X94" s="2" t="s">
        <v>419</v>
      </c>
      <c r="Y94" s="2" t="s">
        <v>79</v>
      </c>
      <c r="Z94" s="2" t="s">
        <v>73</v>
      </c>
      <c r="AA94" s="2" t="s">
        <v>118</v>
      </c>
      <c r="AB94" s="2"/>
      <c r="AC94" s="273" t="s">
        <v>3</v>
      </c>
      <c r="AD94" s="273" t="s">
        <v>245</v>
      </c>
      <c r="AE94" s="273" t="s">
        <v>242</v>
      </c>
      <c r="AF94" s="273" t="s">
        <v>259</v>
      </c>
      <c r="AG94" s="109"/>
      <c r="AH94" s="106">
        <f t="shared" si="6"/>
        <v>0</v>
      </c>
      <c r="AI94" s="106"/>
      <c r="AJ94" s="114"/>
      <c r="AK94" s="111"/>
      <c r="AN94" s="2"/>
      <c r="AP94" s="2"/>
      <c r="AU94" s="231" t="s">
        <v>346</v>
      </c>
      <c r="AV94" s="2"/>
      <c r="AW94" s="2"/>
      <c r="AX94" s="5">
        <v>92</v>
      </c>
      <c r="AY94" s="5">
        <v>0</v>
      </c>
      <c r="AZ94" s="309">
        <f>Elektrolisis!$Q$12</f>
        <v>1</v>
      </c>
      <c r="BA94" s="314" t="str">
        <f>IF(AND(C94&lt;&gt;"HF",C94&lt;&gt;"H3PO4",AY94&gt;0),AY94*Elektrolisis!$Q$13,IF(AND(C94="HF",AY94&gt;0),(Elektrolisis!$Q$13*0.0006)^0.5,IF(AND(C94="H3PO4",AY94&gt;0),(Elektrolisis!$Q$13*0.00075)^0.5,"")))</f>
        <v/>
      </c>
      <c r="BB94" s="5">
        <v>0</v>
      </c>
      <c r="BC94" s="310" t="str">
        <f>IF(AX94=Elektrolisis!$M$7,IF(BB94=1,-LOG(BA94),IF(BB94=2,14+LOG(BA94),7)),"")</f>
        <v/>
      </c>
      <c r="BD94" s="313" t="str">
        <f>IF(AX94=Elektrolisis!$M$7,(Elektrolisis!$Q$14*Elektrolisis!$Q$15)/(96500*REAKSI!R94*REAKSI!AZ94),"")</f>
        <v/>
      </c>
      <c r="BE94" s="312" t="str">
        <f>IF(AX94=Elektrolisis!$M$7,IF(BA94&gt;BD94,BA94-BD94,IF(BA94&lt;=BD94,0.0000001)),"")</f>
        <v/>
      </c>
      <c r="BF94" s="310" t="str">
        <f>IF(AX94=Elektrolisis!$M$7,IF(BB94=1,-LOG(BE94),IF(BB94=2,14+LOG(BE94),7)),"")</f>
        <v/>
      </c>
    </row>
    <row r="95" spans="1:58" ht="18.95" customHeight="1" x14ac:dyDescent="0.35">
      <c r="A95">
        <v>16</v>
      </c>
      <c r="B95" s="4">
        <v>93</v>
      </c>
      <c r="C95" s="4" t="s">
        <v>184</v>
      </c>
      <c r="E95" s="256" t="s">
        <v>630</v>
      </c>
      <c r="F95" s="71" t="s">
        <v>104</v>
      </c>
      <c r="H95" s="71" t="s">
        <v>125</v>
      </c>
      <c r="I95" s="71" t="s">
        <v>433</v>
      </c>
      <c r="J95" s="71" t="s">
        <v>337</v>
      </c>
      <c r="K95" s="221" t="s">
        <v>422</v>
      </c>
      <c r="L95" s="2"/>
      <c r="M95" s="4" t="s">
        <v>233</v>
      </c>
      <c r="N95" s="4">
        <v>2</v>
      </c>
      <c r="O95" s="4">
        <v>63.55</v>
      </c>
      <c r="P95" s="4"/>
      <c r="Q95" s="92" t="s">
        <v>236</v>
      </c>
      <c r="R95" s="4">
        <v>2</v>
      </c>
      <c r="S95" s="4">
        <v>2</v>
      </c>
      <c r="T95" s="4"/>
      <c r="U95" s="4">
        <f t="shared" si="8"/>
        <v>0</v>
      </c>
      <c r="V95" s="4">
        <v>93</v>
      </c>
      <c r="W95" s="2" t="s">
        <v>72</v>
      </c>
      <c r="X95" s="2" t="s">
        <v>421</v>
      </c>
      <c r="Y95" s="2" t="s">
        <v>79</v>
      </c>
      <c r="Z95" s="2" t="s">
        <v>73</v>
      </c>
      <c r="AA95" s="2" t="s">
        <v>119</v>
      </c>
      <c r="AB95" s="2"/>
      <c r="AC95" s="273" t="s">
        <v>3</v>
      </c>
      <c r="AD95" s="273" t="s">
        <v>245</v>
      </c>
      <c r="AE95" s="273" t="s">
        <v>242</v>
      </c>
      <c r="AF95" s="273" t="s">
        <v>259</v>
      </c>
      <c r="AG95" s="109"/>
      <c r="AH95" s="106">
        <f t="shared" si="6"/>
        <v>0</v>
      </c>
      <c r="AI95" s="106"/>
      <c r="AJ95" s="114"/>
      <c r="AK95" s="111"/>
      <c r="AN95" s="2"/>
      <c r="AP95" s="2"/>
      <c r="AU95" s="231" t="s">
        <v>347</v>
      </c>
      <c r="AV95" s="2"/>
      <c r="AW95" s="2"/>
      <c r="AX95" s="5">
        <v>93</v>
      </c>
      <c r="AY95" s="5">
        <v>0</v>
      </c>
      <c r="AZ95" s="309">
        <f>Elektrolisis!$Q$12</f>
        <v>1</v>
      </c>
      <c r="BA95" s="314" t="str">
        <f>IF(AND(C95&lt;&gt;"HF",C95&lt;&gt;"H3PO4",AY95&gt;0),AY95*Elektrolisis!$Q$13,IF(AND(C95="HF",AY95&gt;0),(Elektrolisis!$Q$13*0.0006)^0.5,IF(AND(C95="H3PO4",AY95&gt;0),(Elektrolisis!$Q$13*0.00075)^0.5,"")))</f>
        <v/>
      </c>
      <c r="BB95" s="5">
        <v>0</v>
      </c>
      <c r="BC95" s="310" t="str">
        <f>IF(AX95=Elektrolisis!$M$7,IF(BB95=1,-LOG(BA95),IF(BB95=2,14+LOG(BA95),7)),"")</f>
        <v/>
      </c>
      <c r="BD95" s="313" t="str">
        <f>IF(AX95=Elektrolisis!$M$7,(Elektrolisis!$Q$14*Elektrolisis!$Q$15)/(96500*REAKSI!R95*REAKSI!AZ95),"")</f>
        <v/>
      </c>
      <c r="BE95" s="312" t="str">
        <f>IF(AX95=Elektrolisis!$M$7,IF(BA95&gt;BD95,BA95-BD95,IF(BA95&lt;=BD95,0.0000001)),"")</f>
        <v/>
      </c>
      <c r="BF95" s="310" t="str">
        <f>IF(AX95=Elektrolisis!$M$7,IF(BB95=1,-LOG(BE95),IF(BB95=2,14+LOG(BE95),7)),"")</f>
        <v/>
      </c>
    </row>
    <row r="96" spans="1:58" ht="18.95" customHeight="1" x14ac:dyDescent="0.35">
      <c r="A96">
        <v>17</v>
      </c>
      <c r="B96" s="4">
        <v>94</v>
      </c>
      <c r="C96" s="4" t="s">
        <v>185</v>
      </c>
      <c r="E96" s="256" t="s">
        <v>631</v>
      </c>
      <c r="F96" s="71" t="s">
        <v>104</v>
      </c>
      <c r="H96" s="71" t="s">
        <v>126</v>
      </c>
      <c r="I96" s="71" t="s">
        <v>433</v>
      </c>
      <c r="J96" s="71" t="s">
        <v>337</v>
      </c>
      <c r="K96" s="221" t="s">
        <v>422</v>
      </c>
      <c r="L96" s="2"/>
      <c r="M96" s="4" t="s">
        <v>233</v>
      </c>
      <c r="N96" s="4">
        <v>2</v>
      </c>
      <c r="O96" s="4">
        <v>63.55</v>
      </c>
      <c r="P96" s="4"/>
      <c r="Q96" s="92" t="s">
        <v>236</v>
      </c>
      <c r="R96" s="4">
        <v>2</v>
      </c>
      <c r="S96" s="4">
        <v>2</v>
      </c>
      <c r="T96" s="4"/>
      <c r="U96" s="4">
        <f t="shared" si="8"/>
        <v>0</v>
      </c>
      <c r="V96" s="4">
        <v>94</v>
      </c>
      <c r="W96" s="2" t="s">
        <v>72</v>
      </c>
      <c r="X96" s="2" t="s">
        <v>419</v>
      </c>
      <c r="Y96" s="2" t="s">
        <v>79</v>
      </c>
      <c r="Z96" s="2" t="s">
        <v>73</v>
      </c>
      <c r="AA96" s="2" t="s">
        <v>120</v>
      </c>
      <c r="AB96" s="2"/>
      <c r="AC96" s="273" t="s">
        <v>3</v>
      </c>
      <c r="AD96" s="273" t="s">
        <v>245</v>
      </c>
      <c r="AE96" s="273" t="s">
        <v>242</v>
      </c>
      <c r="AF96" s="273" t="s">
        <v>259</v>
      </c>
      <c r="AG96" s="109"/>
      <c r="AH96" s="106">
        <f t="shared" si="6"/>
        <v>0</v>
      </c>
      <c r="AI96" s="106"/>
      <c r="AJ96" s="114"/>
      <c r="AK96" s="111"/>
      <c r="AN96" s="2"/>
      <c r="AP96" s="2"/>
      <c r="AU96" s="231" t="s">
        <v>348</v>
      </c>
      <c r="AV96" s="2"/>
      <c r="AW96" s="2"/>
      <c r="AX96" s="5">
        <v>94</v>
      </c>
      <c r="AY96" s="5">
        <v>0</v>
      </c>
      <c r="AZ96" s="309">
        <f>Elektrolisis!$Q$12</f>
        <v>1</v>
      </c>
      <c r="BA96" s="314" t="str">
        <f>IF(AND(C96&lt;&gt;"HF",C96&lt;&gt;"H3PO4",AY96&gt;0),AY96*Elektrolisis!$Q$13,IF(AND(C96="HF",AY96&gt;0),(Elektrolisis!$Q$13*0.0006)^0.5,IF(AND(C96="H3PO4",AY96&gt;0),(Elektrolisis!$Q$13*0.00075)^0.5,"")))</f>
        <v/>
      </c>
      <c r="BB96" s="5">
        <v>0</v>
      </c>
      <c r="BC96" s="310" t="str">
        <f>IF(AX96=Elektrolisis!$M$7,IF(BB96=1,-LOG(BA96),IF(BB96=2,14+LOG(BA96),7)),"")</f>
        <v/>
      </c>
      <c r="BD96" s="313" t="str">
        <f>IF(AX96=Elektrolisis!$M$7,(Elektrolisis!$Q$14*Elektrolisis!$Q$15)/(96500*REAKSI!R96*REAKSI!AZ96),"")</f>
        <v/>
      </c>
      <c r="BE96" s="312" t="str">
        <f>IF(AX96=Elektrolisis!$M$7,IF(BA96&gt;BD96,BA96-BD96,IF(BA96&lt;=BD96,0.0000001)),"")</f>
        <v/>
      </c>
      <c r="BF96" s="310" t="str">
        <f>IF(AX96=Elektrolisis!$M$7,IF(BB96=1,-LOG(BE96),IF(BB96=2,14+LOG(BE96),7)),"")</f>
        <v/>
      </c>
    </row>
    <row r="97" spans="1:58" ht="18.95" customHeight="1" x14ac:dyDescent="0.35">
      <c r="A97">
        <v>18</v>
      </c>
      <c r="B97" s="4">
        <v>95</v>
      </c>
      <c r="C97" s="4" t="s">
        <v>186</v>
      </c>
      <c r="E97" s="256" t="s">
        <v>632</v>
      </c>
      <c r="F97" s="71" t="s">
        <v>104</v>
      </c>
      <c r="H97" s="71" t="s">
        <v>128</v>
      </c>
      <c r="I97" s="71" t="s">
        <v>433</v>
      </c>
      <c r="J97" s="71" t="s">
        <v>337</v>
      </c>
      <c r="K97" s="221" t="s">
        <v>422</v>
      </c>
      <c r="L97" s="2"/>
      <c r="M97" s="4" t="s">
        <v>233</v>
      </c>
      <c r="N97" s="4">
        <v>2</v>
      </c>
      <c r="O97" s="4">
        <v>63.55</v>
      </c>
      <c r="P97" s="4"/>
      <c r="Q97" s="92" t="s">
        <v>236</v>
      </c>
      <c r="R97" s="4">
        <v>2</v>
      </c>
      <c r="S97" s="4">
        <v>2</v>
      </c>
      <c r="T97" s="4" t="s">
        <v>211</v>
      </c>
      <c r="U97" s="4">
        <f t="shared" si="8"/>
        <v>2</v>
      </c>
      <c r="V97" s="4">
        <v>95</v>
      </c>
      <c r="W97" s="2" t="s">
        <v>72</v>
      </c>
      <c r="X97" s="2" t="s">
        <v>76</v>
      </c>
      <c r="Y97" s="2" t="s">
        <v>79</v>
      </c>
      <c r="Z97" s="2" t="s">
        <v>73</v>
      </c>
      <c r="AA97" s="2" t="s">
        <v>127</v>
      </c>
      <c r="AB97" s="2"/>
      <c r="AC97" s="273" t="s">
        <v>3</v>
      </c>
      <c r="AD97" s="273" t="s">
        <v>245</v>
      </c>
      <c r="AE97" s="273" t="s">
        <v>242</v>
      </c>
      <c r="AF97" s="273" t="s">
        <v>259</v>
      </c>
      <c r="AG97" s="109"/>
      <c r="AH97" s="106">
        <f t="shared" si="6"/>
        <v>2</v>
      </c>
      <c r="AI97" s="106"/>
      <c r="AJ97" s="114"/>
      <c r="AK97" s="111"/>
      <c r="AN97" s="2"/>
      <c r="AP97" s="2"/>
      <c r="AU97" s="4" t="s">
        <v>350</v>
      </c>
      <c r="AV97" s="2"/>
      <c r="AW97" s="2"/>
      <c r="AX97" s="5">
        <v>95</v>
      </c>
      <c r="AY97" s="5">
        <v>1</v>
      </c>
      <c r="AZ97" s="309">
        <f>Elektrolisis!$Q$12</f>
        <v>1</v>
      </c>
      <c r="BA97" s="314">
        <f>IF(AND(C97&lt;&gt;"HF",C97&lt;&gt;"H3PO4",AY97&gt;0),AY97*Elektrolisis!$Q$13,IF(AND(C97="HF",AY97&gt;0),(Elektrolisis!$Q$13*0.0006)^0.5,IF(AND(C97="H3PO4",AY97&gt;0),(Elektrolisis!$Q$13*0.00075)^0.5,"")))</f>
        <v>1</v>
      </c>
      <c r="BB97" s="5">
        <v>2</v>
      </c>
      <c r="BC97" s="310" t="str">
        <f>IF(AX97=Elektrolisis!$M$7,IF(BB97=1,-LOG(BA97),IF(BB97=2,14+LOG(BA97),7)),"")</f>
        <v/>
      </c>
      <c r="BD97" s="313" t="str">
        <f>IF(AX97=Elektrolisis!$M$7,(Elektrolisis!$Q$14*Elektrolisis!$Q$15)/(96500*REAKSI!R97*REAKSI!AZ97),"")</f>
        <v/>
      </c>
      <c r="BE97" s="312" t="str">
        <f>IF(AX97=Elektrolisis!$M$7,IF(BA97&gt;BD97,BA97-BD97,IF(BA97&lt;=BD97,0.0000001)),"")</f>
        <v/>
      </c>
      <c r="BF97" s="310" t="str">
        <f>IF(AX97=Elektrolisis!$M$7,IF(BB97=1,-LOG(BE97),IF(BB97=2,14+LOG(BE97),7)),"")</f>
        <v/>
      </c>
    </row>
    <row r="98" spans="1:58" ht="18.95" customHeight="1" x14ac:dyDescent="0.35">
      <c r="A98">
        <v>19</v>
      </c>
      <c r="B98" s="4">
        <v>96</v>
      </c>
      <c r="C98" s="4" t="s">
        <v>187</v>
      </c>
      <c r="E98" s="256" t="s">
        <v>633</v>
      </c>
      <c r="F98" s="71" t="s">
        <v>104</v>
      </c>
      <c r="H98" s="71" t="s">
        <v>129</v>
      </c>
      <c r="I98" s="71" t="s">
        <v>433</v>
      </c>
      <c r="J98" s="71" t="s">
        <v>337</v>
      </c>
      <c r="K98" s="221" t="s">
        <v>422</v>
      </c>
      <c r="L98" s="2"/>
      <c r="M98" s="4" t="s">
        <v>233</v>
      </c>
      <c r="N98" s="4">
        <v>2</v>
      </c>
      <c r="O98" s="4">
        <v>63.55</v>
      </c>
      <c r="P98" s="4"/>
      <c r="Q98" s="92" t="s">
        <v>236</v>
      </c>
      <c r="R98" s="4">
        <v>2</v>
      </c>
      <c r="S98" s="4">
        <v>2</v>
      </c>
      <c r="T98" s="4" t="s">
        <v>211</v>
      </c>
      <c r="U98" s="4">
        <f t="shared" si="8"/>
        <v>2</v>
      </c>
      <c r="V98" s="4">
        <v>96</v>
      </c>
      <c r="W98" s="2" t="s">
        <v>72</v>
      </c>
      <c r="X98" s="2" t="s">
        <v>76</v>
      </c>
      <c r="Y98" s="2" t="s">
        <v>79</v>
      </c>
      <c r="Z98" s="2" t="s">
        <v>73</v>
      </c>
      <c r="AA98" s="2" t="s">
        <v>118</v>
      </c>
      <c r="AB98" s="2"/>
      <c r="AC98" s="273" t="s">
        <v>3</v>
      </c>
      <c r="AD98" s="273" t="s">
        <v>245</v>
      </c>
      <c r="AE98" s="273" t="s">
        <v>242</v>
      </c>
      <c r="AF98" s="273" t="s">
        <v>259</v>
      </c>
      <c r="AG98" s="109"/>
      <c r="AH98" s="106">
        <f t="shared" si="6"/>
        <v>2</v>
      </c>
      <c r="AI98" s="106"/>
      <c r="AJ98" s="114"/>
      <c r="AK98" s="111"/>
      <c r="AN98" s="2"/>
      <c r="AP98" s="2"/>
      <c r="AU98" s="4" t="s">
        <v>351</v>
      </c>
      <c r="AV98" s="2"/>
      <c r="AW98" s="2"/>
      <c r="AX98" s="5">
        <v>96</v>
      </c>
      <c r="AY98" s="5">
        <v>2</v>
      </c>
      <c r="AZ98" s="309">
        <f>Elektrolisis!$Q$12</f>
        <v>1</v>
      </c>
      <c r="BA98" s="314">
        <f>IF(AND(C98&lt;&gt;"HF",C98&lt;&gt;"H3PO4",AY98&gt;0),AY98*Elektrolisis!$Q$13,IF(AND(C98="HF",AY98&gt;0),(Elektrolisis!$Q$13*0.0006)^0.5,IF(AND(C98="H3PO4",AY98&gt;0),(Elektrolisis!$Q$13*0.00075)^0.5,"")))</f>
        <v>2</v>
      </c>
      <c r="BB98" s="5">
        <v>2</v>
      </c>
      <c r="BC98" s="310" t="str">
        <f>IF(AX98=Elektrolisis!$M$7,IF(BB98=1,-LOG(BA98),IF(BB98=2,14+LOG(BA98),7)),"")</f>
        <v/>
      </c>
      <c r="BD98" s="313" t="str">
        <f>IF(AX98=Elektrolisis!$M$7,(Elektrolisis!$Q$14*Elektrolisis!$Q$15)/(96500*REAKSI!R98*REAKSI!AZ98),"")</f>
        <v/>
      </c>
      <c r="BE98" s="312" t="str">
        <f>IF(AX98=Elektrolisis!$M$7,IF(BA98&gt;BD98,BA98-BD98,IF(BA98&lt;=BD98,0.0000001)),"")</f>
        <v/>
      </c>
      <c r="BF98" s="310" t="str">
        <f>IF(AX98=Elektrolisis!$M$7,IF(BB98=1,-LOG(BE98),IF(BB98=2,14+LOG(BE98),7)),"")</f>
        <v/>
      </c>
    </row>
    <row r="99" spans="1:58" ht="18.95" customHeight="1" x14ac:dyDescent="0.35">
      <c r="A99">
        <v>20</v>
      </c>
      <c r="B99" s="4">
        <v>97</v>
      </c>
      <c r="C99" s="4" t="s">
        <v>188</v>
      </c>
      <c r="E99" s="256" t="s">
        <v>634</v>
      </c>
      <c r="F99" s="71" t="s">
        <v>104</v>
      </c>
      <c r="H99" s="71" t="s">
        <v>130</v>
      </c>
      <c r="I99" s="71" t="s">
        <v>433</v>
      </c>
      <c r="J99" s="71" t="s">
        <v>337</v>
      </c>
      <c r="K99" s="221" t="s">
        <v>422</v>
      </c>
      <c r="L99" s="2"/>
      <c r="M99" s="4" t="s">
        <v>233</v>
      </c>
      <c r="N99" s="4">
        <v>2</v>
      </c>
      <c r="O99" s="4">
        <v>63.55</v>
      </c>
      <c r="P99" s="4"/>
      <c r="Q99" s="92" t="s">
        <v>236</v>
      </c>
      <c r="R99" s="4">
        <v>2</v>
      </c>
      <c r="S99" s="4">
        <v>2</v>
      </c>
      <c r="T99" s="4" t="s">
        <v>211</v>
      </c>
      <c r="U99" s="4">
        <f t="shared" si="8"/>
        <v>2</v>
      </c>
      <c r="V99" s="4">
        <v>97</v>
      </c>
      <c r="W99" s="2" t="s">
        <v>72</v>
      </c>
      <c r="X99" s="2" t="s">
        <v>76</v>
      </c>
      <c r="Y99" s="2" t="s">
        <v>79</v>
      </c>
      <c r="Z99" s="2" t="s">
        <v>73</v>
      </c>
      <c r="AA99" s="2" t="s">
        <v>135</v>
      </c>
      <c r="AB99" s="2"/>
      <c r="AC99" s="273" t="s">
        <v>3</v>
      </c>
      <c r="AD99" s="273" t="s">
        <v>245</v>
      </c>
      <c r="AE99" s="273" t="s">
        <v>242</v>
      </c>
      <c r="AF99" s="273" t="s">
        <v>259</v>
      </c>
      <c r="AG99" s="109"/>
      <c r="AH99" s="106">
        <f t="shared" si="6"/>
        <v>2</v>
      </c>
      <c r="AI99" s="106"/>
      <c r="AJ99" s="114"/>
      <c r="AK99" s="111"/>
      <c r="AN99" s="2"/>
      <c r="AP99" s="2"/>
      <c r="AU99" s="4" t="s">
        <v>352</v>
      </c>
      <c r="AV99" s="2"/>
      <c r="AW99" s="2"/>
      <c r="AX99" s="5">
        <v>97</v>
      </c>
      <c r="AY99" s="5">
        <v>2</v>
      </c>
      <c r="AZ99" s="309">
        <f>Elektrolisis!$Q$12</f>
        <v>1</v>
      </c>
      <c r="BA99" s="314">
        <f>IF(AND(C99&lt;&gt;"HF",C99&lt;&gt;"H3PO4",AY99&gt;0),AY99*Elektrolisis!$Q$13,IF(AND(C99="HF",AY99&gt;0),(Elektrolisis!$Q$13*0.0006)^0.5,IF(AND(C99="H3PO4",AY99&gt;0),(Elektrolisis!$Q$13*0.00075)^0.5,"")))</f>
        <v>2</v>
      </c>
      <c r="BB99" s="5">
        <v>2</v>
      </c>
      <c r="BC99" s="310" t="str">
        <f>IF(AX99=Elektrolisis!$M$7,IF(BB99=1,-LOG(BA99),IF(BB99=2,14+LOG(BA99),7)),"")</f>
        <v/>
      </c>
      <c r="BD99" s="313" t="str">
        <f>IF(AX99=Elektrolisis!$M$7,(Elektrolisis!$Q$14*Elektrolisis!$Q$15)/(96500*REAKSI!R99*REAKSI!AZ99),"")</f>
        <v/>
      </c>
      <c r="BE99" s="312" t="str">
        <f>IF(AX99=Elektrolisis!$M$7,IF(BA99&gt;BD99,BA99-BD99,IF(BA99&lt;=BD99,0.0000001)),"")</f>
        <v/>
      </c>
      <c r="BF99" s="310" t="str">
        <f>IF(AX99=Elektrolisis!$M$7,IF(BB99=1,-LOG(BE99),IF(BB99=2,14+LOG(BE99),7)),"")</f>
        <v/>
      </c>
    </row>
    <row r="100" spans="1:58" ht="18.95" customHeight="1" x14ac:dyDescent="0.35">
      <c r="A100">
        <v>21</v>
      </c>
      <c r="B100" s="4">
        <v>98</v>
      </c>
      <c r="C100" s="4" t="s">
        <v>189</v>
      </c>
      <c r="E100" s="256" t="s">
        <v>635</v>
      </c>
      <c r="F100" s="71" t="s">
        <v>104</v>
      </c>
      <c r="H100" s="71" t="s">
        <v>131</v>
      </c>
      <c r="I100" s="71" t="s">
        <v>433</v>
      </c>
      <c r="J100" s="71" t="s">
        <v>337</v>
      </c>
      <c r="K100" s="221" t="s">
        <v>422</v>
      </c>
      <c r="L100" s="2"/>
      <c r="M100" s="4" t="s">
        <v>233</v>
      </c>
      <c r="N100" s="4">
        <v>2</v>
      </c>
      <c r="O100" s="4">
        <v>63.55</v>
      </c>
      <c r="P100" s="4"/>
      <c r="Q100" s="92" t="s">
        <v>236</v>
      </c>
      <c r="R100" s="4">
        <v>2</v>
      </c>
      <c r="S100" s="4">
        <v>2</v>
      </c>
      <c r="T100" s="4" t="s">
        <v>211</v>
      </c>
      <c r="U100" s="4">
        <f t="shared" si="8"/>
        <v>2</v>
      </c>
      <c r="V100" s="4">
        <v>98</v>
      </c>
      <c r="W100" s="2" t="s">
        <v>72</v>
      </c>
      <c r="X100" s="2" t="s">
        <v>76</v>
      </c>
      <c r="Y100" s="2" t="s">
        <v>79</v>
      </c>
      <c r="Z100" s="2" t="s">
        <v>73</v>
      </c>
      <c r="AA100" s="2" t="s">
        <v>134</v>
      </c>
      <c r="AB100" s="2"/>
      <c r="AC100" s="273" t="s">
        <v>3</v>
      </c>
      <c r="AD100" s="273" t="s">
        <v>245</v>
      </c>
      <c r="AE100" s="273" t="s">
        <v>242</v>
      </c>
      <c r="AF100" s="273" t="s">
        <v>259</v>
      </c>
      <c r="AG100" s="109"/>
      <c r="AH100" s="106">
        <f t="shared" si="6"/>
        <v>2</v>
      </c>
      <c r="AI100" s="106"/>
      <c r="AJ100" s="114"/>
      <c r="AK100" s="111"/>
      <c r="AN100" s="2"/>
      <c r="AP100" s="2"/>
      <c r="AU100" s="4" t="s">
        <v>353</v>
      </c>
      <c r="AV100" s="2"/>
      <c r="AW100" s="2"/>
      <c r="AX100" s="5">
        <v>98</v>
      </c>
      <c r="AY100" s="5">
        <v>2</v>
      </c>
      <c r="AZ100" s="309">
        <f>Elektrolisis!$Q$12</f>
        <v>1</v>
      </c>
      <c r="BA100" s="314">
        <f>IF(AND(C100&lt;&gt;"HF",C100&lt;&gt;"H3PO4",AY100&gt;0),AY100*Elektrolisis!$Q$13,IF(AND(C100="HF",AY100&gt;0),(Elektrolisis!$Q$13*0.0006)^0.5,IF(AND(C100="H3PO4",AY100&gt;0),(Elektrolisis!$Q$13*0.00075)^0.5,"")))</f>
        <v>2</v>
      </c>
      <c r="BB100" s="5">
        <v>2</v>
      </c>
      <c r="BC100" s="310" t="str">
        <f>IF(AX100=Elektrolisis!$M$7,IF(BB100=1,-LOG(BA100),IF(BB100=2,14+LOG(BA100),7)),"")</f>
        <v/>
      </c>
      <c r="BD100" s="313" t="str">
        <f>IF(AX100=Elektrolisis!$M$7,(Elektrolisis!$Q$14*Elektrolisis!$Q$15)/(96500*REAKSI!R100*REAKSI!AZ100),"")</f>
        <v/>
      </c>
      <c r="BE100" s="312" t="str">
        <f>IF(AX100=Elektrolisis!$M$7,IF(BA100&gt;BD100,BA100-BD100,IF(BA100&lt;=BD100,0.0000001)),"")</f>
        <v/>
      </c>
      <c r="BF100" s="310" t="str">
        <f>IF(AX100=Elektrolisis!$M$7,IF(BB100=1,-LOG(BE100),IF(BB100=2,14+LOG(BE100),7)),"")</f>
        <v/>
      </c>
    </row>
    <row r="101" spans="1:58" ht="18.95" customHeight="1" x14ac:dyDescent="0.35">
      <c r="A101">
        <v>22</v>
      </c>
      <c r="B101" s="4">
        <v>99</v>
      </c>
      <c r="C101" s="4" t="s">
        <v>190</v>
      </c>
      <c r="E101" s="256" t="s">
        <v>636</v>
      </c>
      <c r="F101" s="71" t="s">
        <v>104</v>
      </c>
      <c r="H101" s="71" t="s">
        <v>132</v>
      </c>
      <c r="I101" s="71" t="s">
        <v>433</v>
      </c>
      <c r="J101" s="71" t="s">
        <v>337</v>
      </c>
      <c r="K101" s="221" t="s">
        <v>422</v>
      </c>
      <c r="L101" s="2"/>
      <c r="M101" s="4" t="s">
        <v>233</v>
      </c>
      <c r="N101" s="4">
        <v>2</v>
      </c>
      <c r="O101" s="4">
        <v>63.55</v>
      </c>
      <c r="P101" s="4"/>
      <c r="Q101" s="92" t="s">
        <v>236</v>
      </c>
      <c r="R101" s="4">
        <v>2</v>
      </c>
      <c r="S101" s="4">
        <v>2</v>
      </c>
      <c r="T101" s="4" t="s">
        <v>211</v>
      </c>
      <c r="U101" s="4">
        <f t="shared" si="8"/>
        <v>2</v>
      </c>
      <c r="V101" s="4">
        <v>99</v>
      </c>
      <c r="W101" s="2" t="s">
        <v>72</v>
      </c>
      <c r="X101" s="2" t="s">
        <v>76</v>
      </c>
      <c r="Y101" s="2" t="s">
        <v>79</v>
      </c>
      <c r="Z101" s="2" t="s">
        <v>73</v>
      </c>
      <c r="AA101" s="2" t="s">
        <v>119</v>
      </c>
      <c r="AB101" s="2"/>
      <c r="AC101" s="273" t="s">
        <v>3</v>
      </c>
      <c r="AD101" s="273" t="s">
        <v>245</v>
      </c>
      <c r="AE101" s="273" t="s">
        <v>242</v>
      </c>
      <c r="AF101" s="273" t="s">
        <v>259</v>
      </c>
      <c r="AG101" s="109"/>
      <c r="AH101" s="106">
        <f t="shared" si="6"/>
        <v>2</v>
      </c>
      <c r="AI101" s="106"/>
      <c r="AJ101" s="114"/>
      <c r="AK101" s="111"/>
      <c r="AN101" s="2"/>
      <c r="AP101" s="2"/>
      <c r="AU101" s="230" t="s">
        <v>355</v>
      </c>
      <c r="AV101" s="2"/>
      <c r="AW101" s="2"/>
      <c r="AX101" s="5">
        <v>99</v>
      </c>
      <c r="AY101" s="5">
        <v>3</v>
      </c>
      <c r="AZ101" s="309">
        <f>Elektrolisis!$Q$12</f>
        <v>1</v>
      </c>
      <c r="BA101" s="314">
        <f>IF(AND(C101&lt;&gt;"HF",C101&lt;&gt;"H3PO4",AY101&gt;0),AY101*Elektrolisis!$Q$13,IF(AND(C101="HF",AY101&gt;0),(Elektrolisis!$Q$13*0.0006)^0.5,IF(AND(C101="H3PO4",AY101&gt;0),(Elektrolisis!$Q$13*0.00075)^0.5,"")))</f>
        <v>3</v>
      </c>
      <c r="BB101" s="5">
        <v>2</v>
      </c>
      <c r="BC101" s="310" t="str">
        <f>IF(AX101=Elektrolisis!$M$7,IF(BB101=1,-LOG(BA101),IF(BB101=2,14+LOG(BA101),7)),"")</f>
        <v/>
      </c>
      <c r="BD101" s="313" t="str">
        <f>IF(AX101=Elektrolisis!$M$7,(Elektrolisis!$Q$14*Elektrolisis!$Q$15)/(96500*REAKSI!R101*REAKSI!AZ101),"")</f>
        <v/>
      </c>
      <c r="BE101" s="312" t="str">
        <f>IF(AX101=Elektrolisis!$M$7,IF(BA101&gt;BD101,BA101-BD101,IF(BA101&lt;=BD101,0.0000001)),"")</f>
        <v/>
      </c>
      <c r="BF101" s="310" t="str">
        <f>IF(AX101=Elektrolisis!$M$7,IF(BB101=1,-LOG(BE101),IF(BB101=2,14+LOG(BE101),7)),"")</f>
        <v/>
      </c>
    </row>
    <row r="102" spans="1:58" ht="18.95" customHeight="1" x14ac:dyDescent="0.35">
      <c r="A102">
        <v>23</v>
      </c>
      <c r="B102" s="4">
        <v>100</v>
      </c>
      <c r="C102" s="4" t="s">
        <v>191</v>
      </c>
      <c r="E102" s="256" t="s">
        <v>637</v>
      </c>
      <c r="F102" s="71" t="s">
        <v>104</v>
      </c>
      <c r="H102" s="71" t="s">
        <v>133</v>
      </c>
      <c r="I102" s="71" t="s">
        <v>433</v>
      </c>
      <c r="J102" s="71" t="s">
        <v>337</v>
      </c>
      <c r="K102" s="221" t="s">
        <v>422</v>
      </c>
      <c r="L102" s="2"/>
      <c r="M102" s="4" t="s">
        <v>233</v>
      </c>
      <c r="N102" s="4">
        <v>2</v>
      </c>
      <c r="O102" s="4">
        <v>63.55</v>
      </c>
      <c r="P102" s="4"/>
      <c r="Q102" s="92" t="s">
        <v>236</v>
      </c>
      <c r="R102" s="4">
        <v>2</v>
      </c>
      <c r="S102" s="4">
        <v>2</v>
      </c>
      <c r="T102" s="4" t="s">
        <v>211</v>
      </c>
      <c r="U102" s="4">
        <f t="shared" si="8"/>
        <v>2</v>
      </c>
      <c r="V102" s="4">
        <v>100</v>
      </c>
      <c r="W102" s="2" t="s">
        <v>72</v>
      </c>
      <c r="X102" s="2" t="s">
        <v>76</v>
      </c>
      <c r="Y102" s="2" t="s">
        <v>79</v>
      </c>
      <c r="Z102" s="2" t="s">
        <v>73</v>
      </c>
      <c r="AA102" s="2" t="s">
        <v>120</v>
      </c>
      <c r="AB102" s="2"/>
      <c r="AC102" s="273" t="s">
        <v>3</v>
      </c>
      <c r="AD102" s="273" t="s">
        <v>245</v>
      </c>
      <c r="AE102" s="273" t="s">
        <v>242</v>
      </c>
      <c r="AF102" s="273" t="s">
        <v>259</v>
      </c>
      <c r="AG102" s="109"/>
      <c r="AH102" s="106">
        <f t="shared" si="6"/>
        <v>2</v>
      </c>
      <c r="AI102" s="106"/>
      <c r="AJ102" s="114"/>
      <c r="AK102" s="111"/>
      <c r="AN102" s="2"/>
      <c r="AP102" s="2"/>
      <c r="AU102" s="4" t="s">
        <v>354</v>
      </c>
      <c r="AV102" s="2"/>
      <c r="AW102" s="2"/>
      <c r="AX102" s="5">
        <v>100</v>
      </c>
      <c r="AY102" s="5">
        <v>2</v>
      </c>
      <c r="AZ102" s="309">
        <f>Elektrolisis!$Q$12</f>
        <v>1</v>
      </c>
      <c r="BA102" s="314">
        <f>IF(AND(C102&lt;&gt;"HF",C102&lt;&gt;"H3PO4",AY102&gt;0),AY102*Elektrolisis!$Q$13,IF(AND(C102="HF",AY102&gt;0),(Elektrolisis!$Q$13*0.0006)^0.5,IF(AND(C102="H3PO4",AY102&gt;0),(Elektrolisis!$Q$13*0.00075)^0.5,"")))</f>
        <v>2</v>
      </c>
      <c r="BB102" s="5">
        <v>2</v>
      </c>
      <c r="BC102" s="310" t="str">
        <f>IF(AX102=Elektrolisis!$M$7,IF(BB102=1,-LOG(BA102),IF(BB102=2,14+LOG(BA102),7)),"")</f>
        <v/>
      </c>
      <c r="BD102" s="313" t="str">
        <f>IF(AX102=Elektrolisis!$M$7,(Elektrolisis!$Q$14*Elektrolisis!$Q$15)/(96500*REAKSI!R102*REAKSI!AZ102),"")</f>
        <v/>
      </c>
      <c r="BE102" s="312" t="str">
        <f>IF(AX102=Elektrolisis!$M$7,IF(BA102&gt;BD102,BA102-BD102,IF(BA102&lt;=BD102,0.0000001)),"")</f>
        <v/>
      </c>
      <c r="BF102" s="310" t="str">
        <f>IF(AX102=Elektrolisis!$M$7,IF(BB102=1,-LOG(BE102),IF(BB102=2,14+LOG(BE102),7)),"")</f>
        <v/>
      </c>
    </row>
    <row r="103" spans="1:58" ht="18.95" customHeight="1" x14ac:dyDescent="0.35">
      <c r="A103">
        <v>24</v>
      </c>
      <c r="B103" s="4">
        <v>101</v>
      </c>
      <c r="C103" s="4" t="s">
        <v>192</v>
      </c>
      <c r="E103" s="256" t="s">
        <v>638</v>
      </c>
      <c r="F103" s="71"/>
      <c r="H103" s="71" t="s">
        <v>136</v>
      </c>
      <c r="I103" s="71" t="s">
        <v>433</v>
      </c>
      <c r="J103" s="71" t="s">
        <v>452</v>
      </c>
      <c r="K103" s="221" t="s">
        <v>501</v>
      </c>
      <c r="L103" s="2"/>
      <c r="M103" s="4" t="s">
        <v>233</v>
      </c>
      <c r="N103" s="4">
        <v>2</v>
      </c>
      <c r="O103" s="4">
        <v>63.55</v>
      </c>
      <c r="P103" s="4"/>
      <c r="Q103" s="92" t="s">
        <v>202</v>
      </c>
      <c r="R103" s="4">
        <v>1</v>
      </c>
      <c r="S103" s="4">
        <v>107.9</v>
      </c>
      <c r="T103" s="4"/>
      <c r="U103" s="4">
        <f t="shared" si="8"/>
        <v>0</v>
      </c>
      <c r="V103" s="4">
        <v>101</v>
      </c>
      <c r="W103" s="2" t="s">
        <v>72</v>
      </c>
      <c r="X103" s="2" t="s">
        <v>77</v>
      </c>
      <c r="Y103" s="2" t="s">
        <v>79</v>
      </c>
      <c r="Z103" s="2" t="s">
        <v>73</v>
      </c>
      <c r="AA103" s="2" t="s">
        <v>140</v>
      </c>
      <c r="AB103" s="2"/>
      <c r="AC103" s="273" t="s">
        <v>3</v>
      </c>
      <c r="AD103" s="273" t="s">
        <v>245</v>
      </c>
      <c r="AE103" s="273" t="s">
        <v>255</v>
      </c>
      <c r="AF103" s="273" t="s">
        <v>68</v>
      </c>
      <c r="AG103" s="109"/>
      <c r="AH103" s="106">
        <f t="shared" si="6"/>
        <v>0</v>
      </c>
      <c r="AI103" s="106"/>
      <c r="AJ103" s="114"/>
      <c r="AK103" s="111"/>
      <c r="AN103" s="2"/>
      <c r="AP103" s="2"/>
      <c r="AU103" s="71" t="s">
        <v>731</v>
      </c>
      <c r="AV103" s="2"/>
      <c r="AW103" s="2"/>
      <c r="AX103" s="5">
        <v>101</v>
      </c>
      <c r="AY103" s="5">
        <v>0</v>
      </c>
      <c r="AZ103" s="309">
        <f>Elektrolisis!$Q$12</f>
        <v>1</v>
      </c>
      <c r="BA103" s="314" t="str">
        <f>IF(AND(C103&lt;&gt;"HF",C103&lt;&gt;"H3PO4",AY103&gt;0),AY103*Elektrolisis!$Q$13,IF(AND(C103="HF",AY103&gt;0),(Elektrolisis!$Q$13*0.0006)^0.5,IF(AND(C103="H3PO4",AY103&gt;0),(Elektrolisis!$Q$13*0.00075)^0.5,"")))</f>
        <v/>
      </c>
      <c r="BB103" s="5">
        <v>0</v>
      </c>
      <c r="BC103" s="310" t="str">
        <f>IF(AX103=Elektrolisis!$M$7,IF(BB103=1,-LOG(BA103),IF(BB103=2,14+LOG(BA103),7)),"")</f>
        <v/>
      </c>
      <c r="BD103" s="313" t="str">
        <f>IF(AX103=Elektrolisis!$M$7,(Elektrolisis!$Q$14*Elektrolisis!$Q$15)/(96500*REAKSI!R103*REAKSI!AZ103),"")</f>
        <v/>
      </c>
      <c r="BE103" s="312" t="str">
        <f>IF(AX103=Elektrolisis!$M$7,IF(BA103&gt;BD103,BA103-BD103,IF(BA103&lt;=BD103,0.0000001)),"")</f>
        <v/>
      </c>
      <c r="BF103" s="310" t="str">
        <f>IF(AX103=Elektrolisis!$M$7,IF(BB103=1,-LOG(BE103),IF(BB103=2,14+LOG(BE103),7)),"")</f>
        <v/>
      </c>
    </row>
    <row r="104" spans="1:58" ht="18.95" customHeight="1" x14ac:dyDescent="0.35">
      <c r="A104">
        <v>25</v>
      </c>
      <c r="B104" s="4">
        <v>102</v>
      </c>
      <c r="C104" s="4" t="s">
        <v>193</v>
      </c>
      <c r="E104" s="256" t="s">
        <v>639</v>
      </c>
      <c r="F104" s="71"/>
      <c r="H104" s="71" t="s">
        <v>137</v>
      </c>
      <c r="I104" s="71" t="s">
        <v>433</v>
      </c>
      <c r="J104" s="71" t="s">
        <v>453</v>
      </c>
      <c r="K104" s="221" t="s">
        <v>502</v>
      </c>
      <c r="L104" s="2"/>
      <c r="M104" s="4" t="s">
        <v>233</v>
      </c>
      <c r="N104" s="4">
        <v>2</v>
      </c>
      <c r="O104" s="4">
        <v>63.55</v>
      </c>
      <c r="P104" s="4"/>
      <c r="Q104" s="92" t="s">
        <v>205</v>
      </c>
      <c r="R104" s="4">
        <v>2</v>
      </c>
      <c r="S104" s="4">
        <v>58.69</v>
      </c>
      <c r="T104" s="4"/>
      <c r="U104" s="4">
        <f t="shared" si="8"/>
        <v>0</v>
      </c>
      <c r="V104" s="4">
        <v>102</v>
      </c>
      <c r="W104" s="2" t="s">
        <v>72</v>
      </c>
      <c r="X104" s="2" t="s">
        <v>111</v>
      </c>
      <c r="Y104" s="2" t="s">
        <v>79</v>
      </c>
      <c r="Z104" s="2" t="s">
        <v>73</v>
      </c>
      <c r="AA104" s="2" t="s">
        <v>141</v>
      </c>
      <c r="AB104" s="2"/>
      <c r="AC104" s="273" t="s">
        <v>3</v>
      </c>
      <c r="AD104" s="273" t="s">
        <v>245</v>
      </c>
      <c r="AE104" s="273" t="s">
        <v>261</v>
      </c>
      <c r="AF104" s="273" t="s">
        <v>86</v>
      </c>
      <c r="AG104" s="109"/>
      <c r="AH104" s="106">
        <f t="shared" si="6"/>
        <v>0</v>
      </c>
      <c r="AI104" s="106"/>
      <c r="AJ104" s="114"/>
      <c r="AK104" s="111"/>
      <c r="AN104" s="2"/>
      <c r="AP104" s="2"/>
      <c r="AU104" s="71" t="s">
        <v>356</v>
      </c>
      <c r="AV104" s="2"/>
      <c r="AW104" s="2"/>
      <c r="AX104" s="5">
        <v>102</v>
      </c>
      <c r="AY104" s="5">
        <v>0</v>
      </c>
      <c r="AZ104" s="309">
        <f>Elektrolisis!$Q$12</f>
        <v>1</v>
      </c>
      <c r="BA104" s="314" t="str">
        <f>IF(AND(C104&lt;&gt;"HF",C104&lt;&gt;"H3PO4",AY104&gt;0),AY104*Elektrolisis!$Q$13,IF(AND(C104="HF",AY104&gt;0),(Elektrolisis!$Q$13*0.0006)^0.5,IF(AND(C104="H3PO4",AY104&gt;0),(Elektrolisis!$Q$13*0.00075)^0.5,"")))</f>
        <v/>
      </c>
      <c r="BB104" s="5">
        <v>0</v>
      </c>
      <c r="BC104" s="310" t="str">
        <f>IF(AX104=Elektrolisis!$M$7,IF(BB104=1,-LOG(BA104),IF(BB104=2,14+LOG(BA104),7)),"")</f>
        <v/>
      </c>
      <c r="BD104" s="313" t="str">
        <f>IF(AX104=Elektrolisis!$M$7,(Elektrolisis!$Q$14*Elektrolisis!$Q$15)/(96500*REAKSI!R104*REAKSI!AZ104),"")</f>
        <v/>
      </c>
      <c r="BE104" s="312" t="str">
        <f>IF(AX104=Elektrolisis!$M$7,IF(BA104&gt;BD104,BA104-BD104,IF(BA104&lt;=BD104,0.0000001)),"")</f>
        <v/>
      </c>
      <c r="BF104" s="310" t="str">
        <f>IF(AX104=Elektrolisis!$M$7,IF(BB104=1,-LOG(BE104),IF(BB104=2,14+LOG(BE104),7)),"")</f>
        <v/>
      </c>
    </row>
    <row r="105" spans="1:58" ht="18.95" customHeight="1" x14ac:dyDescent="0.35">
      <c r="A105">
        <v>26</v>
      </c>
      <c r="B105" s="4">
        <v>103</v>
      </c>
      <c r="C105" s="4" t="s">
        <v>194</v>
      </c>
      <c r="E105" s="256" t="s">
        <v>640</v>
      </c>
      <c r="F105" s="71"/>
      <c r="H105" s="71" t="s">
        <v>335</v>
      </c>
      <c r="I105" s="71" t="s">
        <v>433</v>
      </c>
      <c r="J105" s="71" t="s">
        <v>440</v>
      </c>
      <c r="K105" s="221" t="s">
        <v>503</v>
      </c>
      <c r="L105" s="2"/>
      <c r="M105" s="4" t="s">
        <v>233</v>
      </c>
      <c r="N105" s="4">
        <v>2</v>
      </c>
      <c r="O105" s="4">
        <v>63.55</v>
      </c>
      <c r="P105" s="4"/>
      <c r="Q105" s="92" t="s">
        <v>197</v>
      </c>
      <c r="R105" s="4">
        <v>2</v>
      </c>
      <c r="S105" s="4">
        <v>63.55</v>
      </c>
      <c r="T105" s="4"/>
      <c r="U105" s="4">
        <f t="shared" si="8"/>
        <v>0</v>
      </c>
      <c r="V105" s="4">
        <v>103</v>
      </c>
      <c r="W105" s="2" t="s">
        <v>72</v>
      </c>
      <c r="X105" s="2" t="s">
        <v>101</v>
      </c>
      <c r="Y105" s="2" t="s">
        <v>79</v>
      </c>
      <c r="Z105" s="2" t="s">
        <v>73</v>
      </c>
      <c r="AA105" s="2" t="s">
        <v>78</v>
      </c>
      <c r="AB105" s="2"/>
      <c r="AC105" s="273" t="s">
        <v>3</v>
      </c>
      <c r="AD105" s="273" t="s">
        <v>245</v>
      </c>
      <c r="AE105" s="273" t="s">
        <v>245</v>
      </c>
      <c r="AF105" s="273" t="s">
        <v>3</v>
      </c>
      <c r="AG105" s="109"/>
      <c r="AH105" s="106">
        <f t="shared" si="6"/>
        <v>0</v>
      </c>
      <c r="AI105" s="106"/>
      <c r="AJ105" s="114"/>
      <c r="AK105" s="111"/>
      <c r="AN105" s="2"/>
      <c r="AP105" s="2"/>
      <c r="AU105" s="71" t="s">
        <v>357</v>
      </c>
      <c r="AV105" s="2"/>
      <c r="AW105" s="2"/>
      <c r="AX105" s="5">
        <v>103</v>
      </c>
      <c r="AY105" s="5">
        <v>0</v>
      </c>
      <c r="AZ105" s="309">
        <f>Elektrolisis!$Q$12</f>
        <v>1</v>
      </c>
      <c r="BA105" s="314" t="str">
        <f>IF(AND(C105&lt;&gt;"HF",C105&lt;&gt;"H3PO4",AY105&gt;0),AY105*Elektrolisis!$Q$13,IF(AND(C105="HF",AY105&gt;0),(Elektrolisis!$Q$13*0.0006)^0.5,IF(AND(C105="H3PO4",AY105&gt;0),(Elektrolisis!$Q$13*0.00075)^0.5,"")))</f>
        <v/>
      </c>
      <c r="BB105" s="5">
        <v>0</v>
      </c>
      <c r="BC105" s="310" t="str">
        <f>IF(AX105=Elektrolisis!$M$7,IF(BB105=1,-LOG(BA105),IF(BB105=2,14+LOG(BA105),7)),"")</f>
        <v/>
      </c>
      <c r="BD105" s="313" t="str">
        <f>IF(AX105=Elektrolisis!$M$7,(Elektrolisis!$Q$14*Elektrolisis!$Q$15)/(96500*REAKSI!R105*REAKSI!AZ105),"")</f>
        <v/>
      </c>
      <c r="BE105" s="312" t="str">
        <f>IF(AX105=Elektrolisis!$M$7,IF(BA105&gt;BD105,BA105-BD105,IF(BA105&lt;=BD105,0.0000001)),"")</f>
        <v/>
      </c>
      <c r="BF105" s="310" t="str">
        <f>IF(AX105=Elektrolisis!$M$7,IF(BB105=1,-LOG(BE105),IF(BB105=2,14+LOG(BE105),7)),"")</f>
        <v/>
      </c>
    </row>
    <row r="106" spans="1:58" ht="18.95" customHeight="1" x14ac:dyDescent="0.35">
      <c r="A106">
        <v>27</v>
      </c>
      <c r="B106" s="4">
        <v>104</v>
      </c>
      <c r="C106" s="4" t="s">
        <v>18</v>
      </c>
      <c r="E106" s="256" t="s">
        <v>641</v>
      </c>
      <c r="F106" s="71"/>
      <c r="H106" s="71" t="s">
        <v>138</v>
      </c>
      <c r="I106" s="71" t="s">
        <v>433</v>
      </c>
      <c r="J106" s="71" t="s">
        <v>445</v>
      </c>
      <c r="K106" s="221" t="s">
        <v>504</v>
      </c>
      <c r="L106" s="2"/>
      <c r="M106" s="4" t="s">
        <v>233</v>
      </c>
      <c r="N106" s="4">
        <v>2</v>
      </c>
      <c r="O106" s="4">
        <v>63.55</v>
      </c>
      <c r="P106" s="4"/>
      <c r="Q106" s="92" t="s">
        <v>201</v>
      </c>
      <c r="R106" s="4">
        <v>2</v>
      </c>
      <c r="S106" s="4">
        <v>65.39</v>
      </c>
      <c r="T106" s="4"/>
      <c r="U106" s="4">
        <f t="shared" si="8"/>
        <v>0</v>
      </c>
      <c r="V106" s="4">
        <v>104</v>
      </c>
      <c r="W106" s="2" t="s">
        <v>72</v>
      </c>
      <c r="X106" s="2" t="s">
        <v>77</v>
      </c>
      <c r="Y106" s="2" t="s">
        <v>79</v>
      </c>
      <c r="Z106" s="2" t="s">
        <v>73</v>
      </c>
      <c r="AA106" s="2" t="s">
        <v>142</v>
      </c>
      <c r="AB106" s="2"/>
      <c r="AC106" s="273" t="s">
        <v>3</v>
      </c>
      <c r="AD106" s="273" t="s">
        <v>245</v>
      </c>
      <c r="AE106" s="273" t="s">
        <v>253</v>
      </c>
      <c r="AF106" s="273" t="s">
        <v>50</v>
      </c>
      <c r="AG106" s="109"/>
      <c r="AH106" s="106">
        <f t="shared" si="6"/>
        <v>0</v>
      </c>
      <c r="AI106" s="106"/>
      <c r="AJ106" s="114"/>
      <c r="AK106" s="111"/>
      <c r="AN106" s="2"/>
      <c r="AP106" s="2"/>
      <c r="AU106" s="71" t="s">
        <v>358</v>
      </c>
      <c r="AV106" s="2"/>
      <c r="AW106" s="2"/>
      <c r="AX106" s="5">
        <v>104</v>
      </c>
      <c r="AY106" s="5">
        <v>0</v>
      </c>
      <c r="AZ106" s="309">
        <f>Elektrolisis!$Q$12</f>
        <v>1</v>
      </c>
      <c r="BA106" s="314" t="str">
        <f>IF(AND(C106&lt;&gt;"HF",C106&lt;&gt;"H3PO4",AY106&gt;0),AY106*Elektrolisis!$Q$13,IF(AND(C106="HF",AY106&gt;0),(Elektrolisis!$Q$13*0.0006)^0.5,IF(AND(C106="H3PO4",AY106&gt;0),(Elektrolisis!$Q$13*0.00075)^0.5,"")))</f>
        <v/>
      </c>
      <c r="BB106" s="5">
        <v>0</v>
      </c>
      <c r="BC106" s="310" t="str">
        <f>IF(AX106=Elektrolisis!$M$7,IF(BB106=1,-LOG(BA106),IF(BB106=2,14+LOG(BA106),7)),"")</f>
        <v/>
      </c>
      <c r="BD106" s="313" t="str">
        <f>IF(AX106=Elektrolisis!$M$7,(Elektrolisis!$Q$14*Elektrolisis!$Q$15)/(96500*REAKSI!R106*REAKSI!AZ106),"")</f>
        <v/>
      </c>
      <c r="BE106" s="312" t="str">
        <f>IF(AX106=Elektrolisis!$M$7,IF(BA106&gt;BD106,BA106-BD106,IF(BA106&lt;=BD106,0.0000001)),"")</f>
        <v/>
      </c>
      <c r="BF106" s="310" t="str">
        <f>IF(AX106=Elektrolisis!$M$7,IF(BB106=1,-LOG(BE106),IF(BB106=2,14+LOG(BE106),7)),"")</f>
        <v/>
      </c>
    </row>
    <row r="107" spans="1:58" ht="18.95" customHeight="1" x14ac:dyDescent="0.35">
      <c r="A107">
        <v>28</v>
      </c>
      <c r="B107" s="4">
        <v>105</v>
      </c>
      <c r="C107" s="4" t="s">
        <v>17</v>
      </c>
      <c r="E107" s="256" t="s">
        <v>642</v>
      </c>
      <c r="F107" s="71"/>
      <c r="H107" s="71" t="s">
        <v>225</v>
      </c>
      <c r="I107" s="71" t="s">
        <v>433</v>
      </c>
      <c r="J107" s="71" t="s">
        <v>443</v>
      </c>
      <c r="K107" s="221" t="s">
        <v>505</v>
      </c>
      <c r="L107" s="2"/>
      <c r="M107" s="4" t="s">
        <v>233</v>
      </c>
      <c r="N107" s="4">
        <v>2</v>
      </c>
      <c r="O107" s="4">
        <v>63.55</v>
      </c>
      <c r="P107" s="4"/>
      <c r="Q107" s="92" t="s">
        <v>200</v>
      </c>
      <c r="R107" s="4">
        <v>3</v>
      </c>
      <c r="S107" s="4">
        <v>52</v>
      </c>
      <c r="T107" s="4"/>
      <c r="U107" s="4">
        <f t="shared" si="8"/>
        <v>0</v>
      </c>
      <c r="V107" s="4">
        <v>105</v>
      </c>
      <c r="W107" s="2" t="s">
        <v>72</v>
      </c>
      <c r="X107" s="2" t="s">
        <v>77</v>
      </c>
      <c r="Y107" s="2" t="s">
        <v>79</v>
      </c>
      <c r="Z107" s="2" t="s">
        <v>73</v>
      </c>
      <c r="AA107" s="2" t="s">
        <v>226</v>
      </c>
      <c r="AB107" s="2"/>
      <c r="AC107" s="273" t="s">
        <v>3</v>
      </c>
      <c r="AD107" s="273" t="s">
        <v>245</v>
      </c>
      <c r="AE107" s="273" t="s">
        <v>248</v>
      </c>
      <c r="AF107" s="273" t="s">
        <v>49</v>
      </c>
      <c r="AG107" s="109"/>
      <c r="AH107" s="106">
        <f t="shared" si="6"/>
        <v>0</v>
      </c>
      <c r="AI107" s="106"/>
      <c r="AJ107" s="114"/>
      <c r="AK107" s="111"/>
      <c r="AN107" s="2"/>
      <c r="AP107" s="2"/>
      <c r="AU107" s="71" t="s">
        <v>359</v>
      </c>
      <c r="AV107" s="2"/>
      <c r="AW107" s="2"/>
      <c r="AX107" s="5">
        <v>105</v>
      </c>
      <c r="AY107" s="5">
        <v>0</v>
      </c>
      <c r="AZ107" s="309">
        <f>Elektrolisis!$Q$12</f>
        <v>1</v>
      </c>
      <c r="BA107" s="314" t="str">
        <f>IF(AND(C107&lt;&gt;"HF",C107&lt;&gt;"H3PO4",AY107&gt;0),AY107*Elektrolisis!$Q$13,IF(AND(C107="HF",AY107&gt;0),(Elektrolisis!$Q$13*0.0006)^0.5,IF(AND(C107="H3PO4",AY107&gt;0),(Elektrolisis!$Q$13*0.00075)^0.5,"")))</f>
        <v/>
      </c>
      <c r="BB107" s="5">
        <v>0</v>
      </c>
      <c r="BC107" s="310" t="str">
        <f>IF(AX107=Elektrolisis!$M$7,IF(BB107=1,-LOG(BA107),IF(BB107=2,14+LOG(BA107),7)),"")</f>
        <v/>
      </c>
      <c r="BD107" s="313" t="str">
        <f>IF(AX107=Elektrolisis!$M$7,(Elektrolisis!$Q$14*Elektrolisis!$Q$15)/(96500*REAKSI!R107*REAKSI!AZ107),"")</f>
        <v/>
      </c>
      <c r="BE107" s="312" t="str">
        <f>IF(AX107=Elektrolisis!$M$7,IF(BA107&gt;BD107,BA107-BD107,IF(BA107&lt;=BD107,0.0000001)),"")</f>
        <v/>
      </c>
      <c r="BF107" s="310" t="str">
        <f>IF(AX107=Elektrolisis!$M$7,IF(BB107=1,-LOG(BE107),IF(BB107=2,14+LOG(BE107),7)),"")</f>
        <v/>
      </c>
    </row>
    <row r="108" spans="1:58" ht="18.95" customHeight="1" x14ac:dyDescent="0.35">
      <c r="A108">
        <v>29</v>
      </c>
      <c r="B108" s="4">
        <v>106</v>
      </c>
      <c r="C108" s="4" t="s">
        <v>196</v>
      </c>
      <c r="E108" s="256" t="s">
        <v>643</v>
      </c>
      <c r="F108" s="71"/>
      <c r="H108" s="71" t="s">
        <v>139</v>
      </c>
      <c r="I108" s="71" t="s">
        <v>433</v>
      </c>
      <c r="J108" s="71" t="s">
        <v>454</v>
      </c>
      <c r="K108" s="221" t="s">
        <v>506</v>
      </c>
      <c r="L108" s="2"/>
      <c r="M108" s="4" t="s">
        <v>233</v>
      </c>
      <c r="N108" s="4">
        <v>2</v>
      </c>
      <c r="O108" s="4">
        <v>63.55</v>
      </c>
      <c r="P108" s="4"/>
      <c r="Q108" s="92" t="s">
        <v>207</v>
      </c>
      <c r="R108" s="4">
        <v>2</v>
      </c>
      <c r="S108" s="4">
        <v>118.7</v>
      </c>
      <c r="T108" s="4"/>
      <c r="U108" s="4">
        <f t="shared" si="8"/>
        <v>0</v>
      </c>
      <c r="V108" s="4">
        <v>106</v>
      </c>
      <c r="W108" s="2" t="s">
        <v>72</v>
      </c>
      <c r="X108" s="2" t="s">
        <v>77</v>
      </c>
      <c r="Y108" s="2" t="s">
        <v>79</v>
      </c>
      <c r="Z108" s="2" t="s">
        <v>73</v>
      </c>
      <c r="AA108" s="2" t="s">
        <v>144</v>
      </c>
      <c r="AB108" s="2"/>
      <c r="AC108" s="273" t="s">
        <v>3</v>
      </c>
      <c r="AD108" s="273" t="s">
        <v>245</v>
      </c>
      <c r="AE108" s="273" t="s">
        <v>262</v>
      </c>
      <c r="AF108" s="273" t="s">
        <v>220</v>
      </c>
      <c r="AG108" s="109"/>
      <c r="AH108" s="106">
        <f t="shared" si="6"/>
        <v>0</v>
      </c>
      <c r="AI108" s="106"/>
      <c r="AJ108" s="114"/>
      <c r="AK108" s="111"/>
      <c r="AN108" s="2"/>
      <c r="AP108" s="2"/>
      <c r="AU108" s="71" t="s">
        <v>360</v>
      </c>
      <c r="AV108" s="2"/>
      <c r="AW108" s="2"/>
      <c r="AX108" s="5">
        <v>106</v>
      </c>
      <c r="AY108" s="5">
        <v>0</v>
      </c>
      <c r="AZ108" s="309">
        <f>Elektrolisis!$Q$12</f>
        <v>1</v>
      </c>
      <c r="BA108" s="314" t="str">
        <f>IF(AND(C108&lt;&gt;"HF",C108&lt;&gt;"H3PO4",AY108&gt;0),AY108*Elektrolisis!$Q$13,IF(AND(C108="HF",AY108&gt;0),(Elektrolisis!$Q$13*0.0006)^0.5,IF(AND(C108="H3PO4",AY108&gt;0),(Elektrolisis!$Q$13*0.00075)^0.5,"")))</f>
        <v/>
      </c>
      <c r="BB108" s="5">
        <v>0</v>
      </c>
      <c r="BC108" s="310" t="str">
        <f>IF(AX108=Elektrolisis!$M$7,IF(BB108=1,-LOG(BA108),IF(BB108=2,14+LOG(BA108),7)),"")</f>
        <v/>
      </c>
      <c r="BD108" s="313" t="str">
        <f>IF(AX108=Elektrolisis!$M$7,(Elektrolisis!$Q$14*Elektrolisis!$Q$15)/(96500*REAKSI!R108*REAKSI!AZ108),"")</f>
        <v/>
      </c>
      <c r="BE108" s="312" t="str">
        <f>IF(AX108=Elektrolisis!$M$7,IF(BA108&gt;BD108,BA108-BD108,IF(BA108&lt;=BD108,0.0000001)),"")</f>
        <v/>
      </c>
      <c r="BF108" s="310" t="str">
        <f>IF(AX108=Elektrolisis!$M$7,IF(BB108=1,-LOG(BE108),IF(BB108=2,14+LOG(BE108),7)),"")</f>
        <v/>
      </c>
    </row>
    <row r="109" spans="1:58" ht="18.95" customHeight="1" x14ac:dyDescent="0.35">
      <c r="A109">
        <v>30</v>
      </c>
      <c r="B109" s="4">
        <v>107</v>
      </c>
      <c r="C109" s="4" t="s">
        <v>145</v>
      </c>
      <c r="E109" s="256" t="s">
        <v>644</v>
      </c>
      <c r="F109" s="71"/>
      <c r="H109" s="71" t="s">
        <v>156</v>
      </c>
      <c r="I109" s="71" t="s">
        <v>433</v>
      </c>
      <c r="J109" s="71" t="s">
        <v>452</v>
      </c>
      <c r="K109" s="221" t="s">
        <v>501</v>
      </c>
      <c r="L109" s="2"/>
      <c r="M109" s="4" t="s">
        <v>233</v>
      </c>
      <c r="N109" s="4">
        <v>2</v>
      </c>
      <c r="O109" s="4">
        <v>63.55</v>
      </c>
      <c r="P109" s="4"/>
      <c r="Q109" s="92" t="s">
        <v>202</v>
      </c>
      <c r="R109" s="4">
        <v>1</v>
      </c>
      <c r="S109" s="4">
        <v>107.9</v>
      </c>
      <c r="T109" s="4"/>
      <c r="U109" s="4">
        <f t="shared" si="8"/>
        <v>0</v>
      </c>
      <c r="V109" s="4">
        <v>107</v>
      </c>
      <c r="W109" s="2" t="s">
        <v>72</v>
      </c>
      <c r="X109" s="2" t="s">
        <v>420</v>
      </c>
      <c r="Y109" s="2" t="s">
        <v>79</v>
      </c>
      <c r="Z109" s="2" t="s">
        <v>73</v>
      </c>
      <c r="AA109" s="2" t="s">
        <v>140</v>
      </c>
      <c r="AB109" s="2"/>
      <c r="AC109" s="273" t="s">
        <v>3</v>
      </c>
      <c r="AD109" s="273" t="s">
        <v>245</v>
      </c>
      <c r="AE109" s="273" t="s">
        <v>255</v>
      </c>
      <c r="AF109" s="273" t="s">
        <v>68</v>
      </c>
      <c r="AG109" s="109"/>
      <c r="AH109" s="106">
        <f t="shared" si="6"/>
        <v>0</v>
      </c>
      <c r="AI109" s="106"/>
      <c r="AJ109" s="114"/>
      <c r="AK109" s="111"/>
      <c r="AN109" s="2"/>
      <c r="AP109" s="2"/>
      <c r="AU109" s="71" t="s">
        <v>575</v>
      </c>
      <c r="AV109" s="2"/>
      <c r="AW109" s="2"/>
      <c r="AX109" s="5">
        <v>107</v>
      </c>
      <c r="AY109" s="5">
        <v>0</v>
      </c>
      <c r="AZ109" s="309">
        <f>Elektrolisis!$Q$12</f>
        <v>1</v>
      </c>
      <c r="BA109" s="314" t="str">
        <f>IF(AND(C109&lt;&gt;"HF",C109&lt;&gt;"H3PO4",AY109&gt;0),AY109*Elektrolisis!$Q$13,IF(AND(C109="HF",AY109&gt;0),(Elektrolisis!$Q$13*0.0006)^0.5,IF(AND(C109="H3PO4",AY109&gt;0),(Elektrolisis!$Q$13*0.00075)^0.5,"")))</f>
        <v/>
      </c>
      <c r="BB109" s="5">
        <v>0</v>
      </c>
      <c r="BC109" s="310" t="str">
        <f>IF(AX109=Elektrolisis!$M$7,IF(BB109=1,-LOG(BA109),IF(BB109=2,14+LOG(BA109),7)),"")</f>
        <v/>
      </c>
      <c r="BD109" s="313" t="str">
        <f>IF(AX109=Elektrolisis!$M$7,(Elektrolisis!$Q$14*Elektrolisis!$Q$15)/(96500*REAKSI!R109*REAKSI!AZ109),"")</f>
        <v/>
      </c>
      <c r="BE109" s="312" t="str">
        <f>IF(AX109=Elektrolisis!$M$7,IF(BA109&gt;BD109,BA109-BD109,IF(BA109&lt;=BD109,0.0000001)),"")</f>
        <v/>
      </c>
      <c r="BF109" s="310" t="str">
        <f>IF(AX109=Elektrolisis!$M$7,IF(BB109=1,-LOG(BE109),IF(BB109=2,14+LOG(BE109),7)),"")</f>
        <v/>
      </c>
    </row>
    <row r="110" spans="1:58" ht="18.95" customHeight="1" x14ac:dyDescent="0.35">
      <c r="A110">
        <v>31</v>
      </c>
      <c r="B110" s="4">
        <v>108</v>
      </c>
      <c r="C110" s="4" t="s">
        <v>146</v>
      </c>
      <c r="E110" s="256" t="s">
        <v>645</v>
      </c>
      <c r="F110" s="71"/>
      <c r="H110" s="71" t="s">
        <v>410</v>
      </c>
      <c r="I110" s="71" t="s">
        <v>433</v>
      </c>
      <c r="J110" s="71" t="s">
        <v>455</v>
      </c>
      <c r="K110" s="221" t="s">
        <v>507</v>
      </c>
      <c r="L110" s="2"/>
      <c r="M110" s="4" t="s">
        <v>233</v>
      </c>
      <c r="N110" s="4">
        <v>2</v>
      </c>
      <c r="O110" s="4">
        <v>63.55</v>
      </c>
      <c r="P110" s="4"/>
      <c r="Q110" s="92" t="s">
        <v>208</v>
      </c>
      <c r="R110" s="4">
        <v>3</v>
      </c>
      <c r="S110" s="4">
        <v>55.85</v>
      </c>
      <c r="T110" s="4"/>
      <c r="U110" s="4">
        <f t="shared" si="8"/>
        <v>0</v>
      </c>
      <c r="V110" s="4">
        <v>108</v>
      </c>
      <c r="W110" s="2" t="s">
        <v>72</v>
      </c>
      <c r="X110" s="2" t="s">
        <v>421</v>
      </c>
      <c r="Y110" s="2" t="s">
        <v>79</v>
      </c>
      <c r="Z110" s="2" t="s">
        <v>73</v>
      </c>
      <c r="AA110" s="2" t="s">
        <v>165</v>
      </c>
      <c r="AB110" s="2"/>
      <c r="AC110" s="273" t="s">
        <v>3</v>
      </c>
      <c r="AD110" s="273" t="s">
        <v>245</v>
      </c>
      <c r="AE110" s="273" t="s">
        <v>263</v>
      </c>
      <c r="AF110" s="273" t="s">
        <v>218</v>
      </c>
      <c r="AG110" s="109"/>
      <c r="AH110" s="106">
        <f t="shared" si="6"/>
        <v>0</v>
      </c>
      <c r="AI110" s="106"/>
      <c r="AJ110" s="114"/>
      <c r="AK110" s="111"/>
      <c r="AN110" s="2"/>
      <c r="AP110" s="2"/>
      <c r="AU110" s="71" t="s">
        <v>576</v>
      </c>
      <c r="AV110" s="2"/>
      <c r="AW110" s="2"/>
      <c r="AX110" s="5">
        <v>108</v>
      </c>
      <c r="AY110" s="5">
        <v>0</v>
      </c>
      <c r="AZ110" s="309">
        <f>Elektrolisis!$Q$12</f>
        <v>1</v>
      </c>
      <c r="BA110" s="314" t="str">
        <f>IF(AND(C110&lt;&gt;"HF",C110&lt;&gt;"H3PO4",AY110&gt;0),AY110*Elektrolisis!$Q$13,IF(AND(C110="HF",AY110&gt;0),(Elektrolisis!$Q$13*0.0006)^0.5,IF(AND(C110="H3PO4",AY110&gt;0),(Elektrolisis!$Q$13*0.00075)^0.5,"")))</f>
        <v/>
      </c>
      <c r="BB110" s="5">
        <v>0</v>
      </c>
      <c r="BC110" s="310" t="str">
        <f>IF(AX110=Elektrolisis!$M$7,IF(BB110=1,-LOG(BA110),IF(BB110=2,14+LOG(BA110),7)),"")</f>
        <v/>
      </c>
      <c r="BD110" s="313" t="str">
        <f>IF(AX110=Elektrolisis!$M$7,(Elektrolisis!$Q$14*Elektrolisis!$Q$15)/(96500*REAKSI!R110*REAKSI!AZ110),"")</f>
        <v/>
      </c>
      <c r="BE110" s="312" t="str">
        <f>IF(AX110=Elektrolisis!$M$7,IF(BA110&gt;BD110,BA110-BD110,IF(BA110&lt;=BD110,0.0000001)),"")</f>
        <v/>
      </c>
      <c r="BF110" s="310" t="str">
        <f>IF(AX110=Elektrolisis!$M$7,IF(BB110=1,-LOG(BE110),IF(BB110=2,14+LOG(BE110),7)),"")</f>
        <v/>
      </c>
    </row>
    <row r="111" spans="1:58" ht="18.95" customHeight="1" x14ac:dyDescent="0.35">
      <c r="A111">
        <v>32</v>
      </c>
      <c r="B111" s="4">
        <v>109</v>
      </c>
      <c r="C111" s="4" t="s">
        <v>93</v>
      </c>
      <c r="E111" s="256" t="s">
        <v>646</v>
      </c>
      <c r="F111" s="71"/>
      <c r="H111" s="71" t="s">
        <v>168</v>
      </c>
      <c r="I111" s="71" t="s">
        <v>433</v>
      </c>
      <c r="J111" s="71" t="s">
        <v>456</v>
      </c>
      <c r="K111" s="221" t="s">
        <v>508</v>
      </c>
      <c r="L111" s="2"/>
      <c r="M111" s="4" t="s">
        <v>233</v>
      </c>
      <c r="N111" s="4">
        <v>2</v>
      </c>
      <c r="O111" s="4">
        <v>63.55</v>
      </c>
      <c r="P111" s="4"/>
      <c r="Q111" s="92" t="s">
        <v>209</v>
      </c>
      <c r="R111" s="4">
        <v>2</v>
      </c>
      <c r="S111" s="4">
        <v>58.93</v>
      </c>
      <c r="T111" s="4"/>
      <c r="U111" s="4">
        <f t="shared" si="8"/>
        <v>0</v>
      </c>
      <c r="V111" s="4">
        <v>109</v>
      </c>
      <c r="W111" s="2" t="s">
        <v>72</v>
      </c>
      <c r="X111" s="2" t="s">
        <v>420</v>
      </c>
      <c r="Y111" s="2" t="s">
        <v>79</v>
      </c>
      <c r="Z111" s="2" t="s">
        <v>73</v>
      </c>
      <c r="AA111" s="2" t="s">
        <v>166</v>
      </c>
      <c r="AB111" s="2"/>
      <c r="AC111" s="273" t="s">
        <v>3</v>
      </c>
      <c r="AD111" s="273" t="s">
        <v>245</v>
      </c>
      <c r="AE111" s="273" t="s">
        <v>264</v>
      </c>
      <c r="AF111" s="273" t="s">
        <v>94</v>
      </c>
      <c r="AG111" s="109"/>
      <c r="AH111" s="106">
        <f t="shared" si="6"/>
        <v>0</v>
      </c>
      <c r="AI111" s="106"/>
      <c r="AJ111" s="114"/>
      <c r="AK111" s="111"/>
      <c r="AN111" s="2"/>
      <c r="AP111" s="2"/>
      <c r="AU111" s="71" t="s">
        <v>577</v>
      </c>
      <c r="AV111" s="2"/>
      <c r="AW111" s="2"/>
      <c r="AX111" s="5">
        <v>109</v>
      </c>
      <c r="AY111" s="5">
        <v>0</v>
      </c>
      <c r="AZ111" s="309">
        <f>Elektrolisis!$Q$12</f>
        <v>1</v>
      </c>
      <c r="BA111" s="314" t="str">
        <f>IF(AND(C111&lt;&gt;"HF",C111&lt;&gt;"H3PO4",AY111&gt;0),AY111*Elektrolisis!$Q$13,IF(AND(C111="HF",AY111&gt;0),(Elektrolisis!$Q$13*0.0006)^0.5,IF(AND(C111="H3PO4",AY111&gt;0),(Elektrolisis!$Q$13*0.00075)^0.5,"")))</f>
        <v/>
      </c>
      <c r="BB111" s="5">
        <v>0</v>
      </c>
      <c r="BC111" s="310" t="str">
        <f>IF(AX111=Elektrolisis!$M$7,IF(BB111=1,-LOG(BA111),IF(BB111=2,14+LOG(BA111),7)),"")</f>
        <v/>
      </c>
      <c r="BD111" s="313" t="str">
        <f>IF(AX111=Elektrolisis!$M$7,(Elektrolisis!$Q$14*Elektrolisis!$Q$15)/(96500*REAKSI!R111*REAKSI!AZ111),"")</f>
        <v/>
      </c>
      <c r="BE111" s="312" t="str">
        <f>IF(AX111=Elektrolisis!$M$7,IF(BA111&gt;BD111,BA111-BD111,IF(BA111&lt;=BD111,0.0000001)),"")</f>
        <v/>
      </c>
      <c r="BF111" s="310" t="str">
        <f>IF(AX111=Elektrolisis!$M$7,IF(BB111=1,-LOG(BE111),IF(BB111=2,14+LOG(BE111),7)),"")</f>
        <v/>
      </c>
    </row>
    <row r="112" spans="1:58" ht="18.95" customHeight="1" x14ac:dyDescent="0.35">
      <c r="A112">
        <v>33</v>
      </c>
      <c r="B112" s="4">
        <v>110</v>
      </c>
      <c r="C112" s="4" t="s">
        <v>147</v>
      </c>
      <c r="E112" s="256" t="s">
        <v>647</v>
      </c>
      <c r="F112" s="71"/>
      <c r="H112" s="71" t="s">
        <v>157</v>
      </c>
      <c r="I112" s="71" t="s">
        <v>433</v>
      </c>
      <c r="J112" s="71" t="s">
        <v>453</v>
      </c>
      <c r="K112" s="221" t="s">
        <v>502</v>
      </c>
      <c r="L112" s="2"/>
      <c r="M112" s="4" t="s">
        <v>233</v>
      </c>
      <c r="N112" s="4">
        <v>2</v>
      </c>
      <c r="O112" s="4">
        <v>63.55</v>
      </c>
      <c r="P112" s="4"/>
      <c r="Q112" s="92" t="s">
        <v>205</v>
      </c>
      <c r="R112" s="4">
        <v>2</v>
      </c>
      <c r="S112" s="4">
        <v>58.69</v>
      </c>
      <c r="T112" s="4"/>
      <c r="U112" s="4">
        <f t="shared" si="8"/>
        <v>0</v>
      </c>
      <c r="V112" s="4">
        <v>110</v>
      </c>
      <c r="W112" s="2" t="s">
        <v>72</v>
      </c>
      <c r="X112" s="2" t="s">
        <v>419</v>
      </c>
      <c r="Y112" s="2" t="s">
        <v>79</v>
      </c>
      <c r="Z112" s="2" t="s">
        <v>73</v>
      </c>
      <c r="AA112" s="2" t="s">
        <v>141</v>
      </c>
      <c r="AB112" s="2"/>
      <c r="AC112" s="273" t="s">
        <v>3</v>
      </c>
      <c r="AD112" s="273" t="s">
        <v>245</v>
      </c>
      <c r="AE112" s="273" t="s">
        <v>261</v>
      </c>
      <c r="AF112" s="273" t="s">
        <v>86</v>
      </c>
      <c r="AG112" s="109"/>
      <c r="AH112" s="106">
        <f t="shared" si="6"/>
        <v>0</v>
      </c>
      <c r="AI112" s="106"/>
      <c r="AJ112" s="114"/>
      <c r="AK112" s="111"/>
      <c r="AN112" s="2"/>
      <c r="AP112" s="2"/>
      <c r="AU112" s="71" t="s">
        <v>578</v>
      </c>
      <c r="AV112" s="2"/>
      <c r="AW112" s="2"/>
      <c r="AX112" s="5">
        <v>110</v>
      </c>
      <c r="AY112" s="5">
        <v>0</v>
      </c>
      <c r="AZ112" s="309">
        <f>Elektrolisis!$Q$12</f>
        <v>1</v>
      </c>
      <c r="BA112" s="314" t="str">
        <f>IF(AND(C112&lt;&gt;"HF",C112&lt;&gt;"H3PO4",AY112&gt;0),AY112*Elektrolisis!$Q$13,IF(AND(C112="HF",AY112&gt;0),(Elektrolisis!$Q$13*0.0006)^0.5,IF(AND(C112="H3PO4",AY112&gt;0),(Elektrolisis!$Q$13*0.00075)^0.5,"")))</f>
        <v/>
      </c>
      <c r="BB112" s="5">
        <v>0</v>
      </c>
      <c r="BC112" s="310" t="str">
        <f>IF(AX112=Elektrolisis!$M$7,IF(BB112=1,-LOG(BA112),IF(BB112=2,14+LOG(BA112),7)),"")</f>
        <v/>
      </c>
      <c r="BD112" s="313" t="str">
        <f>IF(AX112=Elektrolisis!$M$7,(Elektrolisis!$Q$14*Elektrolisis!$Q$15)/(96500*REAKSI!R112*REAKSI!AZ112),"")</f>
        <v/>
      </c>
      <c r="BE112" s="312" t="str">
        <f>IF(AX112=Elektrolisis!$M$7,IF(BA112&gt;BD112,BA112-BD112,IF(BA112&lt;=BD112,0.0000001)),"")</f>
        <v/>
      </c>
      <c r="BF112" s="310" t="str">
        <f>IF(AX112=Elektrolisis!$M$7,IF(BB112=1,-LOG(BE112),IF(BB112=2,14+LOG(BE112),7)),"")</f>
        <v/>
      </c>
    </row>
    <row r="113" spans="1:58" ht="18.95" customHeight="1" x14ac:dyDescent="0.35">
      <c r="A113">
        <v>34</v>
      </c>
      <c r="B113" s="4">
        <v>111</v>
      </c>
      <c r="C113" s="4" t="s">
        <v>407</v>
      </c>
      <c r="E113" s="256" t="s">
        <v>728</v>
      </c>
      <c r="F113" s="71" t="s">
        <v>14</v>
      </c>
      <c r="H113" s="71" t="s">
        <v>408</v>
      </c>
      <c r="I113" s="71" t="s">
        <v>433</v>
      </c>
      <c r="J113" s="71" t="s">
        <v>445</v>
      </c>
      <c r="K113" s="221" t="s">
        <v>504</v>
      </c>
      <c r="L113" s="2"/>
      <c r="M113" s="4" t="s">
        <v>233</v>
      </c>
      <c r="N113" s="4">
        <v>2</v>
      </c>
      <c r="O113" s="4">
        <v>63.55</v>
      </c>
      <c r="P113" s="4"/>
      <c r="Q113" s="92" t="s">
        <v>201</v>
      </c>
      <c r="R113" s="4">
        <v>2</v>
      </c>
      <c r="S113" s="4">
        <v>65.39</v>
      </c>
      <c r="T113" s="4"/>
      <c r="U113" s="4">
        <f t="shared" si="8"/>
        <v>0</v>
      </c>
      <c r="V113" s="4">
        <v>111</v>
      </c>
      <c r="W113" s="2" t="s">
        <v>72</v>
      </c>
      <c r="X113" s="2" t="s">
        <v>419</v>
      </c>
      <c r="Y113" s="2" t="s">
        <v>79</v>
      </c>
      <c r="Z113" s="2" t="s">
        <v>73</v>
      </c>
      <c r="AA113" s="2" t="s">
        <v>142</v>
      </c>
      <c r="AB113" s="2"/>
      <c r="AC113" s="273" t="s">
        <v>3</v>
      </c>
      <c r="AD113" s="273" t="s">
        <v>245</v>
      </c>
      <c r="AE113" s="273" t="s">
        <v>253</v>
      </c>
      <c r="AF113" s="273" t="s">
        <v>50</v>
      </c>
      <c r="AG113" s="109"/>
      <c r="AH113" s="106">
        <f t="shared" si="6"/>
        <v>0</v>
      </c>
      <c r="AI113" s="106"/>
      <c r="AJ113" s="114"/>
      <c r="AK113" s="111"/>
      <c r="AN113" s="2"/>
      <c r="AP113" s="2"/>
      <c r="AU113" s="71" t="s">
        <v>729</v>
      </c>
      <c r="AV113" s="2"/>
      <c r="AW113" s="2"/>
      <c r="AX113" s="5">
        <v>111</v>
      </c>
      <c r="AY113" s="5">
        <v>0</v>
      </c>
      <c r="AZ113" s="309">
        <f>Elektrolisis!$Q$12</f>
        <v>1</v>
      </c>
      <c r="BA113" s="314" t="str">
        <f>IF(AND(C113&lt;&gt;"HF",C113&lt;&gt;"H3PO4",AY113&gt;0),AY113*Elektrolisis!$Q$13,IF(AND(C113="HF",AY113&gt;0),(Elektrolisis!$Q$13*0.0006)^0.5,IF(AND(C113="H3PO4",AY113&gt;0),(Elektrolisis!$Q$13*0.00075)^0.5,"")))</f>
        <v/>
      </c>
      <c r="BB113" s="5">
        <v>0</v>
      </c>
      <c r="BC113" s="310" t="str">
        <f>IF(AX113=Elektrolisis!$M$7,IF(BB113=1,-LOG(BA113),IF(BB113=2,14+LOG(BA113),7)),"")</f>
        <v/>
      </c>
      <c r="BD113" s="313" t="str">
        <f>IF(AX113=Elektrolisis!$M$7,(Elektrolisis!$Q$14*Elektrolisis!$Q$15)/(96500*REAKSI!R113*REAKSI!AZ113),"")</f>
        <v/>
      </c>
      <c r="BE113" s="312" t="str">
        <f>IF(AX113=Elektrolisis!$M$7,IF(BA113&gt;BD113,BA113-BD113,IF(BA113&lt;=BD113,0.0000001)),"")</f>
        <v/>
      </c>
      <c r="BF113" s="310" t="str">
        <f>IF(AX113=Elektrolisis!$M$7,IF(BB113=1,-LOG(BE113),IF(BB113=2,14+LOG(BE113),7)),"")</f>
        <v/>
      </c>
    </row>
    <row r="114" spans="1:58" ht="18.95" customHeight="1" x14ac:dyDescent="0.35">
      <c r="A114">
        <v>35</v>
      </c>
      <c r="B114" s="4">
        <v>112</v>
      </c>
      <c r="C114" s="4" t="s">
        <v>149</v>
      </c>
      <c r="E114" s="256" t="s">
        <v>649</v>
      </c>
      <c r="F114" s="71"/>
      <c r="H114" s="71" t="s">
        <v>158</v>
      </c>
      <c r="I114" s="71" t="s">
        <v>433</v>
      </c>
      <c r="J114" s="71" t="s">
        <v>454</v>
      </c>
      <c r="K114" s="221" t="s">
        <v>506</v>
      </c>
      <c r="L114" s="2"/>
      <c r="M114" s="4" t="s">
        <v>233</v>
      </c>
      <c r="N114" s="4">
        <v>2</v>
      </c>
      <c r="O114" s="4">
        <v>63.55</v>
      </c>
      <c r="P114" s="4"/>
      <c r="Q114" s="92" t="s">
        <v>207</v>
      </c>
      <c r="R114" s="4">
        <v>2</v>
      </c>
      <c r="S114" s="4">
        <v>118.7</v>
      </c>
      <c r="T114" s="4"/>
      <c r="U114" s="4">
        <f t="shared" si="8"/>
        <v>0</v>
      </c>
      <c r="V114" s="4">
        <v>112</v>
      </c>
      <c r="W114" s="2" t="s">
        <v>72</v>
      </c>
      <c r="X114" s="2" t="s">
        <v>420</v>
      </c>
      <c r="Y114" s="2" t="s">
        <v>79</v>
      </c>
      <c r="Z114" s="2" t="s">
        <v>73</v>
      </c>
      <c r="AA114" s="2" t="s">
        <v>144</v>
      </c>
      <c r="AB114" s="2"/>
      <c r="AC114" s="273" t="s">
        <v>3</v>
      </c>
      <c r="AD114" s="273" t="s">
        <v>245</v>
      </c>
      <c r="AE114" s="273" t="s">
        <v>262</v>
      </c>
      <c r="AF114" s="273" t="s">
        <v>220</v>
      </c>
      <c r="AG114" s="109"/>
      <c r="AH114" s="106">
        <f t="shared" si="6"/>
        <v>0</v>
      </c>
      <c r="AI114" s="106"/>
      <c r="AJ114" s="114"/>
      <c r="AK114" s="111"/>
      <c r="AN114" s="2"/>
      <c r="AP114" s="2"/>
      <c r="AU114" s="71" t="s">
        <v>579</v>
      </c>
      <c r="AV114" s="2"/>
      <c r="AW114" s="2"/>
      <c r="AX114" s="5">
        <v>112</v>
      </c>
      <c r="AY114" s="5">
        <v>0</v>
      </c>
      <c r="AZ114" s="309">
        <f>Elektrolisis!$Q$12</f>
        <v>1</v>
      </c>
      <c r="BA114" s="314" t="str">
        <f>IF(AND(C114&lt;&gt;"HF",C114&lt;&gt;"H3PO4",AY114&gt;0),AY114*Elektrolisis!$Q$13,IF(AND(C114="HF",AY114&gt;0),(Elektrolisis!$Q$13*0.0006)^0.5,IF(AND(C114="H3PO4",AY114&gt;0),(Elektrolisis!$Q$13*0.00075)^0.5,"")))</f>
        <v/>
      </c>
      <c r="BB114" s="5">
        <v>0</v>
      </c>
      <c r="BC114" s="310" t="str">
        <f>IF(AX114=Elektrolisis!$M$7,IF(BB114=1,-LOG(BA114),IF(BB114=2,14+LOG(BA114),7)),"")</f>
        <v/>
      </c>
      <c r="BD114" s="313" t="str">
        <f>IF(AX114=Elektrolisis!$M$7,(Elektrolisis!$Q$14*Elektrolisis!$Q$15)/(96500*REAKSI!R114*REAKSI!AZ114),"")</f>
        <v/>
      </c>
      <c r="BE114" s="312" t="str">
        <f>IF(AX114=Elektrolisis!$M$7,IF(BA114&gt;BD114,BA114-BD114,IF(BA114&lt;=BD114,0.0000001)),"")</f>
        <v/>
      </c>
      <c r="BF114" s="310" t="str">
        <f>IF(AX114=Elektrolisis!$M$7,IF(BB114=1,-LOG(BE114),IF(BB114=2,14+LOG(BE114),7)),"")</f>
        <v/>
      </c>
    </row>
    <row r="115" spans="1:58" ht="18.95" customHeight="1" x14ac:dyDescent="0.35">
      <c r="A115">
        <v>36</v>
      </c>
      <c r="B115" s="4">
        <v>113</v>
      </c>
      <c r="C115" s="4" t="s">
        <v>150</v>
      </c>
      <c r="E115" s="256" t="s">
        <v>650</v>
      </c>
      <c r="F115" s="71" t="s">
        <v>104</v>
      </c>
      <c r="H115" s="71" t="s">
        <v>159</v>
      </c>
      <c r="I115" s="71" t="s">
        <v>433</v>
      </c>
      <c r="J115" s="71" t="s">
        <v>456</v>
      </c>
      <c r="K115" s="221" t="s">
        <v>508</v>
      </c>
      <c r="L115" s="2"/>
      <c r="M115" s="4" t="s">
        <v>233</v>
      </c>
      <c r="N115" s="4">
        <v>2</v>
      </c>
      <c r="O115" s="4">
        <v>63.55</v>
      </c>
      <c r="P115" s="4"/>
      <c r="Q115" s="92" t="s">
        <v>209</v>
      </c>
      <c r="R115" s="4">
        <v>2</v>
      </c>
      <c r="S115" s="4">
        <v>58.93</v>
      </c>
      <c r="T115" s="4" t="s">
        <v>211</v>
      </c>
      <c r="U115" s="4">
        <f t="shared" si="8"/>
        <v>2</v>
      </c>
      <c r="V115" s="4">
        <v>113</v>
      </c>
      <c r="W115" s="2" t="s">
        <v>72</v>
      </c>
      <c r="X115" s="2" t="s">
        <v>76</v>
      </c>
      <c r="Y115" s="2" t="s">
        <v>79</v>
      </c>
      <c r="Z115" s="2" t="s">
        <v>73</v>
      </c>
      <c r="AA115" s="2" t="s">
        <v>166</v>
      </c>
      <c r="AB115" s="2"/>
      <c r="AC115" s="273" t="s">
        <v>3</v>
      </c>
      <c r="AD115" s="273" t="s">
        <v>245</v>
      </c>
      <c r="AE115" s="273" t="s">
        <v>264</v>
      </c>
      <c r="AF115" s="273" t="s">
        <v>94</v>
      </c>
      <c r="AG115" s="109"/>
      <c r="AH115" s="106">
        <f t="shared" si="6"/>
        <v>2</v>
      </c>
      <c r="AI115" s="106"/>
      <c r="AJ115" s="114"/>
      <c r="AK115" s="111"/>
      <c r="AN115" s="2"/>
      <c r="AP115" s="2"/>
      <c r="AU115" s="71" t="s">
        <v>580</v>
      </c>
      <c r="AV115" s="2"/>
      <c r="AW115" s="2"/>
      <c r="AX115" s="5">
        <v>113</v>
      </c>
      <c r="AY115" s="5">
        <v>2</v>
      </c>
      <c r="AZ115" s="309">
        <f>Elektrolisis!$Q$12</f>
        <v>1</v>
      </c>
      <c r="BA115" s="314">
        <f>IF(AND(C115&lt;&gt;"HF",C115&lt;&gt;"H3PO4",AY115&gt;0),AY115*Elektrolisis!$Q$13,IF(AND(C115="HF",AY115&gt;0),(Elektrolisis!$Q$13*0.0006)^0.5,IF(AND(C115="H3PO4",AY115&gt;0),(Elektrolisis!$Q$13*0.00075)^0.5,"")))</f>
        <v>2</v>
      </c>
      <c r="BB115" s="5">
        <v>2</v>
      </c>
      <c r="BC115" s="310" t="str">
        <f>IF(AX115=Elektrolisis!$M$7,IF(BB115=1,-LOG(BA115),IF(BB115=2,14+LOG(BA115),7)),"")</f>
        <v/>
      </c>
      <c r="BD115" s="313" t="str">
        <f>IF(AX115=Elektrolisis!$M$7,(Elektrolisis!$Q$14*Elektrolisis!$Q$15)/(96500*REAKSI!R115*REAKSI!AZ115),"")</f>
        <v/>
      </c>
      <c r="BE115" s="312" t="str">
        <f>IF(AX115=Elektrolisis!$M$7,IF(BA115&gt;BD115,BA115-BD115,IF(BA115&lt;=BD115,0.0000001)),"")</f>
        <v/>
      </c>
      <c r="BF115" s="310" t="str">
        <f>IF(AX115=Elektrolisis!$M$7,IF(BB115=1,-LOG(BE115),IF(BB115=2,14+LOG(BE115),7)),"")</f>
        <v/>
      </c>
    </row>
    <row r="116" spans="1:58" ht="18.95" customHeight="1" x14ac:dyDescent="0.35">
      <c r="A116">
        <v>37</v>
      </c>
      <c r="B116" s="4">
        <v>114</v>
      </c>
      <c r="C116" s="4" t="s">
        <v>151</v>
      </c>
      <c r="E116" s="256" t="s">
        <v>651</v>
      </c>
      <c r="F116" s="71" t="s">
        <v>104</v>
      </c>
      <c r="H116" s="71" t="s">
        <v>160</v>
      </c>
      <c r="I116" s="71" t="s">
        <v>433</v>
      </c>
      <c r="J116" s="71" t="s">
        <v>453</v>
      </c>
      <c r="K116" s="221" t="s">
        <v>510</v>
      </c>
      <c r="L116" s="2"/>
      <c r="M116" s="4" t="s">
        <v>233</v>
      </c>
      <c r="N116" s="4">
        <v>2</v>
      </c>
      <c r="O116" s="4">
        <v>63.55</v>
      </c>
      <c r="P116" s="4"/>
      <c r="Q116" s="92" t="s">
        <v>205</v>
      </c>
      <c r="R116" s="4">
        <v>2</v>
      </c>
      <c r="S116" s="4">
        <v>58.69</v>
      </c>
      <c r="T116" s="4" t="s">
        <v>211</v>
      </c>
      <c r="U116" s="4">
        <f t="shared" si="8"/>
        <v>2</v>
      </c>
      <c r="V116" s="4">
        <v>114</v>
      </c>
      <c r="W116" s="2" t="s">
        <v>72</v>
      </c>
      <c r="X116" s="2" t="s">
        <v>76</v>
      </c>
      <c r="Y116" s="2" t="s">
        <v>79</v>
      </c>
      <c r="Z116" s="2" t="s">
        <v>73</v>
      </c>
      <c r="AA116" s="2" t="s">
        <v>141</v>
      </c>
      <c r="AB116" s="2"/>
      <c r="AC116" s="273" t="s">
        <v>3</v>
      </c>
      <c r="AD116" s="273" t="s">
        <v>245</v>
      </c>
      <c r="AE116" s="273" t="s">
        <v>261</v>
      </c>
      <c r="AF116" s="273" t="s">
        <v>86</v>
      </c>
      <c r="AG116" s="109"/>
      <c r="AH116" s="106">
        <f t="shared" si="6"/>
        <v>2</v>
      </c>
      <c r="AI116" s="106"/>
      <c r="AJ116" s="114"/>
      <c r="AK116" s="111"/>
      <c r="AN116" s="2"/>
      <c r="AP116" s="2"/>
      <c r="AU116" s="71" t="s">
        <v>581</v>
      </c>
      <c r="AV116" s="2"/>
      <c r="AW116" s="2"/>
      <c r="AX116" s="5">
        <v>114</v>
      </c>
      <c r="AY116" s="5">
        <v>2</v>
      </c>
      <c r="AZ116" s="309">
        <f>Elektrolisis!$Q$12</f>
        <v>1</v>
      </c>
      <c r="BA116" s="314">
        <f>IF(AND(C116&lt;&gt;"HF",C116&lt;&gt;"H3PO4",AY116&gt;0),AY116*Elektrolisis!$Q$13,IF(AND(C116="HF",AY116&gt;0),(Elektrolisis!$Q$13*0.0006)^0.5,IF(AND(C116="H3PO4",AY116&gt;0),(Elektrolisis!$Q$13*0.00075)^0.5,"")))</f>
        <v>2</v>
      </c>
      <c r="BB116" s="5">
        <v>2</v>
      </c>
      <c r="BC116" s="310" t="str">
        <f>IF(AX116=Elektrolisis!$M$7,IF(BB116=1,-LOG(BA116),IF(BB116=2,14+LOG(BA116),7)),"")</f>
        <v/>
      </c>
      <c r="BD116" s="313" t="str">
        <f>IF(AX116=Elektrolisis!$M$7,(Elektrolisis!$Q$14*Elektrolisis!$Q$15)/(96500*REAKSI!R116*REAKSI!AZ116),"")</f>
        <v/>
      </c>
      <c r="BE116" s="312" t="str">
        <f>IF(AX116=Elektrolisis!$M$7,IF(BA116&gt;BD116,BA116-BD116,IF(BA116&lt;=BD116,0.0000001)),"")</f>
        <v/>
      </c>
      <c r="BF116" s="310" t="str">
        <f>IF(AX116=Elektrolisis!$M$7,IF(BB116=1,-LOG(BE116),IF(BB116=2,14+LOG(BE116),7)),"")</f>
        <v/>
      </c>
    </row>
    <row r="117" spans="1:58" ht="18.95" customHeight="1" x14ac:dyDescent="0.35">
      <c r="A117">
        <v>38</v>
      </c>
      <c r="B117" s="4">
        <v>115</v>
      </c>
      <c r="C117" s="4" t="s">
        <v>152</v>
      </c>
      <c r="E117" s="256" t="s">
        <v>652</v>
      </c>
      <c r="F117" s="71" t="s">
        <v>104</v>
      </c>
      <c r="H117" s="71" t="s">
        <v>161</v>
      </c>
      <c r="I117" s="71" t="s">
        <v>433</v>
      </c>
      <c r="J117" s="71" t="s">
        <v>445</v>
      </c>
      <c r="K117" s="221" t="s">
        <v>511</v>
      </c>
      <c r="L117" s="2"/>
      <c r="M117" s="4" t="s">
        <v>233</v>
      </c>
      <c r="N117" s="4">
        <v>2</v>
      </c>
      <c r="O117" s="4">
        <v>63.55</v>
      </c>
      <c r="P117" s="4"/>
      <c r="Q117" s="92" t="s">
        <v>201</v>
      </c>
      <c r="R117" s="4">
        <v>2</v>
      </c>
      <c r="S117" s="4">
        <v>65.39</v>
      </c>
      <c r="T117" s="4" t="s">
        <v>211</v>
      </c>
      <c r="U117" s="4">
        <f t="shared" si="8"/>
        <v>2</v>
      </c>
      <c r="V117" s="4">
        <v>115</v>
      </c>
      <c r="W117" s="2" t="s">
        <v>72</v>
      </c>
      <c r="X117" s="2" t="s">
        <v>76</v>
      </c>
      <c r="Y117" s="2" t="s">
        <v>79</v>
      </c>
      <c r="Z117" s="2" t="s">
        <v>73</v>
      </c>
      <c r="AA117" s="2" t="s">
        <v>142</v>
      </c>
      <c r="AB117" s="2"/>
      <c r="AC117" s="273" t="s">
        <v>3</v>
      </c>
      <c r="AD117" s="273" t="s">
        <v>245</v>
      </c>
      <c r="AE117" s="273" t="s">
        <v>253</v>
      </c>
      <c r="AF117" s="273" t="s">
        <v>50</v>
      </c>
      <c r="AG117" s="109"/>
      <c r="AH117" s="106">
        <f t="shared" si="6"/>
        <v>2</v>
      </c>
      <c r="AI117" s="106"/>
      <c r="AJ117" s="114"/>
      <c r="AK117" s="111"/>
      <c r="AN117" s="2"/>
      <c r="AP117" s="2"/>
      <c r="AU117" s="71" t="s">
        <v>582</v>
      </c>
      <c r="AV117" s="2"/>
      <c r="AW117" s="2"/>
      <c r="AX117" s="5">
        <v>115</v>
      </c>
      <c r="AY117" s="5">
        <v>2</v>
      </c>
      <c r="AZ117" s="309">
        <f>Elektrolisis!$Q$12</f>
        <v>1</v>
      </c>
      <c r="BA117" s="314">
        <f>IF(AND(C117&lt;&gt;"HF",C117&lt;&gt;"H3PO4",AY117&gt;0),AY117*Elektrolisis!$Q$13,IF(AND(C117="HF",AY117&gt;0),(Elektrolisis!$Q$13*0.0006)^0.5,IF(AND(C117="H3PO4",AY117&gt;0),(Elektrolisis!$Q$13*0.00075)^0.5,"")))</f>
        <v>2</v>
      </c>
      <c r="BB117" s="5">
        <v>2</v>
      </c>
      <c r="BC117" s="310" t="str">
        <f>IF(AX117=Elektrolisis!$M$7,IF(BB117=1,-LOG(BA117),IF(BB117=2,14+LOG(BA117),7)),"")</f>
        <v/>
      </c>
      <c r="BD117" s="313" t="str">
        <f>IF(AX117=Elektrolisis!$M$7,(Elektrolisis!$Q$14*Elektrolisis!$Q$15)/(96500*REAKSI!R117*REAKSI!AZ117),"")</f>
        <v/>
      </c>
      <c r="BE117" s="312" t="str">
        <f>IF(AX117=Elektrolisis!$M$7,IF(BA117&gt;BD117,BA117-BD117,IF(BA117&lt;=BD117,0.0000001)),"")</f>
        <v/>
      </c>
      <c r="BF117" s="310" t="str">
        <f>IF(AX117=Elektrolisis!$M$7,IF(BB117=1,-LOG(BE117),IF(BB117=2,14+LOG(BE117),7)),"")</f>
        <v/>
      </c>
    </row>
    <row r="118" spans="1:58" ht="18.95" customHeight="1" x14ac:dyDescent="0.35">
      <c r="A118">
        <v>39</v>
      </c>
      <c r="B118" s="4">
        <v>116</v>
      </c>
      <c r="C118" s="4" t="s">
        <v>153</v>
      </c>
      <c r="E118" s="256" t="s">
        <v>653</v>
      </c>
      <c r="F118" s="71" t="s">
        <v>104</v>
      </c>
      <c r="H118" s="71" t="s">
        <v>162</v>
      </c>
      <c r="I118" s="71" t="s">
        <v>433</v>
      </c>
      <c r="J118" s="71" t="s">
        <v>454</v>
      </c>
      <c r="K118" s="221" t="s">
        <v>512</v>
      </c>
      <c r="L118" s="2"/>
      <c r="M118" s="4" t="s">
        <v>233</v>
      </c>
      <c r="N118" s="4">
        <v>2</v>
      </c>
      <c r="O118" s="4">
        <v>63.55</v>
      </c>
      <c r="P118" s="4"/>
      <c r="Q118" s="92" t="s">
        <v>207</v>
      </c>
      <c r="R118" s="4">
        <v>2</v>
      </c>
      <c r="S118" s="4">
        <v>118.7</v>
      </c>
      <c r="T118" s="4" t="s">
        <v>211</v>
      </c>
      <c r="U118" s="4">
        <f t="shared" si="8"/>
        <v>2</v>
      </c>
      <c r="V118" s="4">
        <v>116</v>
      </c>
      <c r="W118" s="2" t="s">
        <v>72</v>
      </c>
      <c r="X118" s="2" t="s">
        <v>76</v>
      </c>
      <c r="Y118" s="2" t="s">
        <v>79</v>
      </c>
      <c r="Z118" s="2" t="s">
        <v>73</v>
      </c>
      <c r="AA118" s="2" t="s">
        <v>144</v>
      </c>
      <c r="AB118" s="2"/>
      <c r="AC118" s="273" t="s">
        <v>3</v>
      </c>
      <c r="AD118" s="273" t="s">
        <v>245</v>
      </c>
      <c r="AE118" s="273" t="s">
        <v>262</v>
      </c>
      <c r="AF118" s="273" t="s">
        <v>220</v>
      </c>
      <c r="AG118" s="109"/>
      <c r="AH118" s="106">
        <f t="shared" si="6"/>
        <v>2</v>
      </c>
      <c r="AI118" s="106"/>
      <c r="AJ118" s="114"/>
      <c r="AK118" s="111"/>
      <c r="AN118" s="2"/>
      <c r="AP118" s="2"/>
      <c r="AU118" s="71" t="s">
        <v>583</v>
      </c>
      <c r="AV118" s="2"/>
      <c r="AW118" s="2"/>
      <c r="AX118" s="5">
        <v>116</v>
      </c>
      <c r="AY118" s="5">
        <v>2</v>
      </c>
      <c r="AZ118" s="309">
        <f>Elektrolisis!$Q$12</f>
        <v>1</v>
      </c>
      <c r="BA118" s="314">
        <f>IF(AND(C118&lt;&gt;"HF",C118&lt;&gt;"H3PO4",AY118&gt;0),AY118*Elektrolisis!$Q$13,IF(AND(C118="HF",AY118&gt;0),(Elektrolisis!$Q$13*0.0006)^0.5,IF(AND(C118="H3PO4",AY118&gt;0),(Elektrolisis!$Q$13*0.00075)^0.5,"")))</f>
        <v>2</v>
      </c>
      <c r="BB118" s="5">
        <v>2</v>
      </c>
      <c r="BC118" s="310" t="str">
        <f>IF(AX118=Elektrolisis!$M$7,IF(BB118=1,-LOG(BA118),IF(BB118=2,14+LOG(BA118),7)),"")</f>
        <v/>
      </c>
      <c r="BD118" s="313" t="str">
        <f>IF(AX118=Elektrolisis!$M$7,(Elektrolisis!$Q$14*Elektrolisis!$Q$15)/(96500*REAKSI!R118*REAKSI!AZ118),"")</f>
        <v/>
      </c>
      <c r="BE118" s="312" t="str">
        <f>IF(AX118=Elektrolisis!$M$7,IF(BA118&gt;BD118,BA118-BD118,IF(BA118&lt;=BD118,0.0000001)),"")</f>
        <v/>
      </c>
      <c r="BF118" s="310" t="str">
        <f>IF(AX118=Elektrolisis!$M$7,IF(BB118=1,-LOG(BE118),IF(BB118=2,14+LOG(BE118),7)),"")</f>
        <v/>
      </c>
    </row>
    <row r="119" spans="1:58" ht="18.95" customHeight="1" x14ac:dyDescent="0.35">
      <c r="A119">
        <v>40</v>
      </c>
      <c r="B119" s="4">
        <v>117</v>
      </c>
      <c r="C119" s="4" t="s">
        <v>154</v>
      </c>
      <c r="E119" s="256" t="s">
        <v>654</v>
      </c>
      <c r="F119" s="71" t="s">
        <v>104</v>
      </c>
      <c r="H119" s="71" t="s">
        <v>163</v>
      </c>
      <c r="I119" s="71" t="s">
        <v>433</v>
      </c>
      <c r="J119" s="71" t="s">
        <v>457</v>
      </c>
      <c r="K119" s="221" t="s">
        <v>513</v>
      </c>
      <c r="L119" s="2"/>
      <c r="M119" s="4" t="s">
        <v>233</v>
      </c>
      <c r="N119" s="4">
        <v>2</v>
      </c>
      <c r="O119" s="4">
        <v>63.55</v>
      </c>
      <c r="P119" s="4"/>
      <c r="Q119" s="92" t="s">
        <v>206</v>
      </c>
      <c r="R119" s="4">
        <v>2</v>
      </c>
      <c r="S119" s="4">
        <v>207.2</v>
      </c>
      <c r="T119" s="4" t="s">
        <v>211</v>
      </c>
      <c r="U119" s="4">
        <f t="shared" si="8"/>
        <v>2</v>
      </c>
      <c r="V119" s="4">
        <v>117</v>
      </c>
      <c r="W119" s="2" t="s">
        <v>72</v>
      </c>
      <c r="X119" s="2" t="s">
        <v>76</v>
      </c>
      <c r="Y119" s="2" t="s">
        <v>79</v>
      </c>
      <c r="Z119" s="2" t="s">
        <v>73</v>
      </c>
      <c r="AA119" s="2" t="s">
        <v>143</v>
      </c>
      <c r="AB119" s="2"/>
      <c r="AC119" s="273" t="s">
        <v>3</v>
      </c>
      <c r="AD119" s="273" t="s">
        <v>245</v>
      </c>
      <c r="AE119" s="273" t="s">
        <v>265</v>
      </c>
      <c r="AF119" s="273" t="s">
        <v>219</v>
      </c>
      <c r="AG119" s="109"/>
      <c r="AH119" s="106">
        <f t="shared" si="6"/>
        <v>2</v>
      </c>
      <c r="AI119" s="106"/>
      <c r="AJ119" s="114"/>
      <c r="AK119" s="111"/>
      <c r="AN119" s="2"/>
      <c r="AP119" s="2"/>
      <c r="AU119" s="71" t="s">
        <v>584</v>
      </c>
      <c r="AV119" s="2"/>
      <c r="AW119" s="2"/>
      <c r="AX119" s="5">
        <v>117</v>
      </c>
      <c r="AY119" s="5">
        <v>2</v>
      </c>
      <c r="AZ119" s="309">
        <f>Elektrolisis!$Q$12</f>
        <v>1</v>
      </c>
      <c r="BA119" s="314">
        <f>IF(AND(C119&lt;&gt;"HF",C119&lt;&gt;"H3PO4",AY119&gt;0),AY119*Elektrolisis!$Q$13,IF(AND(C119="HF",AY119&gt;0),(Elektrolisis!$Q$13*0.0006)^0.5,IF(AND(C119="H3PO4",AY119&gt;0),(Elektrolisis!$Q$13*0.00075)^0.5,"")))</f>
        <v>2</v>
      </c>
      <c r="BB119" s="5">
        <v>2</v>
      </c>
      <c r="BC119" s="310" t="str">
        <f>IF(AX119=Elektrolisis!$M$7,IF(BB119=1,-LOG(BA119),IF(BB119=2,14+LOG(BA119),7)),"")</f>
        <v/>
      </c>
      <c r="BD119" s="313" t="str">
        <f>IF(AX119=Elektrolisis!$M$7,(Elektrolisis!$Q$14*Elektrolisis!$Q$15)/(96500*REAKSI!R119*REAKSI!AZ119),"")</f>
        <v/>
      </c>
      <c r="BE119" s="312" t="str">
        <f>IF(AX119=Elektrolisis!$M$7,IF(BA119&gt;BD119,BA119-BD119,IF(BA119&lt;=BD119,0.0000001)),"")</f>
        <v/>
      </c>
      <c r="BF119" s="310" t="str">
        <f>IF(AX119=Elektrolisis!$M$7,IF(BB119=1,-LOG(BE119),IF(BB119=2,14+LOG(BE119),7)),"")</f>
        <v/>
      </c>
    </row>
    <row r="120" spans="1:58" ht="18.95" customHeight="1" x14ac:dyDescent="0.35">
      <c r="A120">
        <v>41</v>
      </c>
      <c r="B120" s="4">
        <v>118</v>
      </c>
      <c r="C120" s="4" t="s">
        <v>155</v>
      </c>
      <c r="E120" s="256" t="s">
        <v>655</v>
      </c>
      <c r="F120" s="71" t="s">
        <v>104</v>
      </c>
      <c r="H120" s="71" t="s">
        <v>164</v>
      </c>
      <c r="I120" s="71" t="s">
        <v>433</v>
      </c>
      <c r="J120" s="71" t="s">
        <v>458</v>
      </c>
      <c r="K120" s="221" t="s">
        <v>509</v>
      </c>
      <c r="L120" s="2"/>
      <c r="M120" s="4" t="s">
        <v>233</v>
      </c>
      <c r="N120" s="4">
        <v>2</v>
      </c>
      <c r="O120" s="4">
        <v>63.55</v>
      </c>
      <c r="P120" s="4"/>
      <c r="Q120" s="92" t="s">
        <v>203</v>
      </c>
      <c r="R120" s="4">
        <v>2</v>
      </c>
      <c r="S120" s="4">
        <v>112.4</v>
      </c>
      <c r="T120" s="4" t="s">
        <v>211</v>
      </c>
      <c r="U120" s="4">
        <f t="shared" si="8"/>
        <v>2</v>
      </c>
      <c r="V120" s="4">
        <v>118</v>
      </c>
      <c r="W120" s="2" t="s">
        <v>72</v>
      </c>
      <c r="X120" s="2" t="s">
        <v>76</v>
      </c>
      <c r="Y120" s="2" t="s">
        <v>79</v>
      </c>
      <c r="Z120" s="2" t="s">
        <v>73</v>
      </c>
      <c r="AA120" s="2" t="s">
        <v>167</v>
      </c>
      <c r="AB120" s="2"/>
      <c r="AC120" s="273" t="s">
        <v>3</v>
      </c>
      <c r="AD120" s="273" t="s">
        <v>245</v>
      </c>
      <c r="AE120" s="273" t="s">
        <v>254</v>
      </c>
      <c r="AF120" s="273" t="s">
        <v>51</v>
      </c>
      <c r="AG120" s="109"/>
      <c r="AH120" s="106">
        <f t="shared" si="6"/>
        <v>2</v>
      </c>
      <c r="AI120" s="106"/>
      <c r="AJ120" s="114"/>
      <c r="AK120" s="111"/>
      <c r="AN120" s="2"/>
      <c r="AP120" s="2"/>
      <c r="AU120" s="71" t="s">
        <v>585</v>
      </c>
      <c r="AV120" s="2"/>
      <c r="AW120" s="2"/>
      <c r="AX120" s="5">
        <v>118</v>
      </c>
      <c r="AY120" s="5">
        <v>2</v>
      </c>
      <c r="AZ120" s="309">
        <f>Elektrolisis!$Q$12</f>
        <v>1</v>
      </c>
      <c r="BA120" s="314">
        <f>IF(AND(C120&lt;&gt;"HF",C120&lt;&gt;"H3PO4",AY120&gt;0),AY120*Elektrolisis!$Q$13,IF(AND(C120="HF",AY120&gt;0),(Elektrolisis!$Q$13*0.0006)^0.5,IF(AND(C120="H3PO4",AY120&gt;0),(Elektrolisis!$Q$13*0.00075)^0.5,"")))</f>
        <v>2</v>
      </c>
      <c r="BB120" s="5">
        <v>2</v>
      </c>
      <c r="BC120" s="310" t="str">
        <f>IF(AX120=Elektrolisis!$M$7,IF(BB120=1,-LOG(BA120),IF(BB120=2,14+LOG(BA120),7)),"")</f>
        <v/>
      </c>
      <c r="BD120" s="313" t="str">
        <f>IF(AX120=Elektrolisis!$M$7,(Elektrolisis!$Q$14*Elektrolisis!$Q$15)/(96500*REAKSI!R120*REAKSI!AZ120),"")</f>
        <v/>
      </c>
      <c r="BE120" s="312" t="str">
        <f>IF(AX120=Elektrolisis!$M$7,IF(BA120&gt;BD120,BA120-BD120,IF(BA120&lt;=BD120,0.0000001)),"")</f>
        <v/>
      </c>
      <c r="BF120" s="310" t="str">
        <f>IF(AX120=Elektrolisis!$M$7,IF(BB120=1,-LOG(BE120),IF(BB120=2,14+LOG(BE120),7)),"")</f>
        <v/>
      </c>
    </row>
    <row r="121" spans="1:58" ht="18.95" customHeight="1" x14ac:dyDescent="0.35">
      <c r="A121">
        <v>1</v>
      </c>
      <c r="B121" s="4">
        <v>119</v>
      </c>
      <c r="C121" s="4" t="s">
        <v>174</v>
      </c>
      <c r="E121" s="256" t="s">
        <v>600</v>
      </c>
      <c r="F121" s="71"/>
      <c r="H121" s="71" t="s">
        <v>594</v>
      </c>
      <c r="I121" s="71" t="s">
        <v>434</v>
      </c>
      <c r="J121" s="71" t="s">
        <v>439</v>
      </c>
      <c r="K121" s="221" t="s">
        <v>429</v>
      </c>
      <c r="L121" s="2"/>
      <c r="M121" s="4" t="s">
        <v>235</v>
      </c>
      <c r="N121" s="4">
        <v>1</v>
      </c>
      <c r="O121" s="4">
        <v>107.9</v>
      </c>
      <c r="P121" s="4"/>
      <c r="Q121" s="92" t="s">
        <v>236</v>
      </c>
      <c r="R121" s="4">
        <v>2</v>
      </c>
      <c r="S121" s="4">
        <v>2</v>
      </c>
      <c r="T121" s="4" t="s">
        <v>210</v>
      </c>
      <c r="U121" s="4">
        <f t="shared" si="8"/>
        <v>1</v>
      </c>
      <c r="V121" s="4">
        <v>119</v>
      </c>
      <c r="W121" s="2" t="s">
        <v>72</v>
      </c>
      <c r="X121" s="2" t="s">
        <v>112</v>
      </c>
      <c r="Y121" s="2" t="s">
        <v>110</v>
      </c>
      <c r="Z121" s="2" t="s">
        <v>73</v>
      </c>
      <c r="AA121" s="2" t="s">
        <v>74</v>
      </c>
      <c r="AB121" s="2"/>
      <c r="AC121" s="273" t="s">
        <v>68</v>
      </c>
      <c r="AD121" s="273" t="s">
        <v>255</v>
      </c>
      <c r="AE121" s="273" t="s">
        <v>240</v>
      </c>
      <c r="AF121" s="273" t="s">
        <v>259</v>
      </c>
      <c r="AG121" s="109"/>
      <c r="AH121" s="106">
        <f t="shared" si="6"/>
        <v>1</v>
      </c>
      <c r="AI121" s="106"/>
      <c r="AJ121" s="114"/>
      <c r="AK121" s="111"/>
      <c r="AN121" s="2"/>
      <c r="AP121" s="2"/>
      <c r="AU121" s="71" t="s">
        <v>686</v>
      </c>
      <c r="AV121" s="2"/>
      <c r="AW121" s="2"/>
      <c r="AX121" s="5">
        <v>119</v>
      </c>
      <c r="AY121" s="5">
        <v>1</v>
      </c>
      <c r="AZ121" s="309">
        <f>Elektrolisis!$Q$12</f>
        <v>1</v>
      </c>
      <c r="BA121" s="314">
        <f>IF(AND(C121&lt;&gt;"HF",C121&lt;&gt;"H3PO4",AY121&gt;0),AY121*Elektrolisis!$Q$13,IF(AND(C121="HF",AY121&gt;0),(Elektrolisis!$Q$13*0.0006)^0.5,IF(AND(C121="H3PO4",AY121&gt;0),(Elektrolisis!$Q$13*0.00075)^0.5,"")))</f>
        <v>2.4494897427831779E-2</v>
      </c>
      <c r="BB121" s="5">
        <v>1</v>
      </c>
      <c r="BC121" s="310" t="str">
        <f>IF(AX121=Elektrolisis!$M$7,IF(BB121=1,-LOG(BA121),IF(BB121=2,14+LOG(BA121),7)),"")</f>
        <v/>
      </c>
      <c r="BD121" s="313" t="str">
        <f>IF(AX121=Elektrolisis!$M$7,(Elektrolisis!$Q$14*Elektrolisis!$Q$15)/(96500*REAKSI!R121*REAKSI!AZ121),"")</f>
        <v/>
      </c>
      <c r="BE121" s="312" t="str">
        <f>IF(AX121=Elektrolisis!$M$7,IF(BA121&gt;BD121,BA121-BD121,IF(BA121&lt;=BD121,0.0000001)),"")</f>
        <v/>
      </c>
      <c r="BF121" s="310" t="str">
        <f>IF(AX121=Elektrolisis!$M$7,IF(BB121=1,-LOG(BE121),IF(BB121=2,14+LOG(BE121),7)),"")</f>
        <v/>
      </c>
    </row>
    <row r="122" spans="1:58" ht="18.95" customHeight="1" x14ac:dyDescent="0.35">
      <c r="A122">
        <v>2</v>
      </c>
      <c r="B122" s="4">
        <v>120</v>
      </c>
      <c r="C122" s="4" t="s">
        <v>5</v>
      </c>
      <c r="E122" s="256" t="s">
        <v>657</v>
      </c>
      <c r="F122" s="71"/>
      <c r="H122" s="71" t="s">
        <v>21</v>
      </c>
      <c r="I122" s="71" t="s">
        <v>434</v>
      </c>
      <c r="J122" s="71" t="s">
        <v>439</v>
      </c>
      <c r="K122" s="221" t="s">
        <v>429</v>
      </c>
      <c r="L122" s="2"/>
      <c r="M122" s="4" t="s">
        <v>235</v>
      </c>
      <c r="N122" s="4">
        <v>1</v>
      </c>
      <c r="O122" s="4">
        <v>107.9</v>
      </c>
      <c r="P122" s="4"/>
      <c r="Q122" s="92" t="s">
        <v>236</v>
      </c>
      <c r="R122" s="4">
        <v>2</v>
      </c>
      <c r="S122" s="4">
        <v>2</v>
      </c>
      <c r="T122" s="4" t="s">
        <v>210</v>
      </c>
      <c r="U122" s="4">
        <f t="shared" ref="U122:U123" si="9">IF(P122&amp;T122="[H+] =",1,IF(P122&amp;T122="[OH-] =",2,0))</f>
        <v>1</v>
      </c>
      <c r="V122" s="4">
        <v>120</v>
      </c>
      <c r="W122" s="2" t="s">
        <v>72</v>
      </c>
      <c r="X122" s="2" t="s">
        <v>77</v>
      </c>
      <c r="Y122" s="2" t="s">
        <v>110</v>
      </c>
      <c r="Z122" s="2" t="s">
        <v>73</v>
      </c>
      <c r="AA122" s="2" t="s">
        <v>74</v>
      </c>
      <c r="AB122" s="2"/>
      <c r="AC122" s="273" t="s">
        <v>68</v>
      </c>
      <c r="AD122" s="273" t="s">
        <v>255</v>
      </c>
      <c r="AE122" s="273" t="s">
        <v>240</v>
      </c>
      <c r="AF122" s="273" t="s">
        <v>259</v>
      </c>
      <c r="AG122" s="109"/>
      <c r="AH122" s="106">
        <f t="shared" ref="AH122:AH123" si="10">U122</f>
        <v>1</v>
      </c>
      <c r="AI122" s="106"/>
      <c r="AJ122" s="114"/>
      <c r="AK122" s="111"/>
      <c r="AN122" s="2"/>
      <c r="AP122" s="2"/>
      <c r="AU122" s="71" t="s">
        <v>586</v>
      </c>
      <c r="AV122" s="2"/>
      <c r="AW122" s="2"/>
      <c r="AX122" s="5">
        <v>120</v>
      </c>
      <c r="AY122" s="5">
        <v>1</v>
      </c>
      <c r="AZ122" s="309">
        <f>Elektrolisis!$Q$12</f>
        <v>1</v>
      </c>
      <c r="BA122" s="314">
        <f>IF(AND(C122&lt;&gt;"HF",C122&lt;&gt;"H3PO4",AY122&gt;0),AY122*Elektrolisis!$Q$13,IF(AND(C122="HF",AY122&gt;0),(Elektrolisis!$Q$13*0.0006)^0.5,IF(AND(C122="H3PO4",AY122&gt;0),(Elektrolisis!$Q$13*0.00075)^0.5,"")))</f>
        <v>1</v>
      </c>
      <c r="BB122" s="5">
        <v>1</v>
      </c>
      <c r="BC122" s="310" t="str">
        <f>IF(AX122=Elektrolisis!$M$7,IF(BB122=1,-LOG(BA122),IF(BB122=2,14+LOG(BA122),7)),"")</f>
        <v/>
      </c>
      <c r="BD122" s="313" t="str">
        <f>IF(AX122=Elektrolisis!$M$7,(Elektrolisis!$Q$14*Elektrolisis!$Q$15)/(96500*REAKSI!R122*REAKSI!AZ122),"")</f>
        <v/>
      </c>
      <c r="BE122" s="312" t="str">
        <f>IF(AX122=Elektrolisis!$M$7,IF(BA122&gt;BD122,BA122-BD122,IF(BA122&lt;=BD122,0.0000001)),"")</f>
        <v/>
      </c>
      <c r="BF122" s="310" t="str">
        <f>IF(AX122=Elektrolisis!$M$7,IF(BB122=1,-LOG(BE122),IF(BB122=2,14+LOG(BE122),7)),"")</f>
        <v/>
      </c>
    </row>
    <row r="123" spans="1:58" ht="18.95" customHeight="1" x14ac:dyDescent="0.35">
      <c r="A123">
        <v>3</v>
      </c>
      <c r="B123" s="4">
        <v>121</v>
      </c>
      <c r="C123" s="4" t="s">
        <v>170</v>
      </c>
      <c r="E123" s="256" t="s">
        <v>616</v>
      </c>
      <c r="F123" s="71"/>
      <c r="H123" s="71" t="s">
        <v>108</v>
      </c>
      <c r="I123" s="71" t="s">
        <v>434</v>
      </c>
      <c r="J123" s="71" t="s">
        <v>439</v>
      </c>
      <c r="K123" s="221" t="s">
        <v>429</v>
      </c>
      <c r="L123" s="2"/>
      <c r="M123" s="4" t="s">
        <v>235</v>
      </c>
      <c r="N123" s="4">
        <v>1</v>
      </c>
      <c r="O123" s="4">
        <v>107.9</v>
      </c>
      <c r="P123" s="4"/>
      <c r="Q123" s="92" t="s">
        <v>236</v>
      </c>
      <c r="R123" s="4">
        <v>2</v>
      </c>
      <c r="S123" s="4">
        <v>2</v>
      </c>
      <c r="T123" s="4" t="s">
        <v>210</v>
      </c>
      <c r="U123" s="4">
        <f t="shared" si="9"/>
        <v>1</v>
      </c>
      <c r="V123" s="4">
        <v>121</v>
      </c>
      <c r="W123" s="2" t="s">
        <v>72</v>
      </c>
      <c r="X123" s="2" t="s">
        <v>111</v>
      </c>
      <c r="Y123" s="2" t="s">
        <v>110</v>
      </c>
      <c r="Z123" s="2" t="s">
        <v>73</v>
      </c>
      <c r="AA123" s="2" t="s">
        <v>74</v>
      </c>
      <c r="AB123" s="2"/>
      <c r="AC123" s="273" t="s">
        <v>68</v>
      </c>
      <c r="AD123" s="273" t="s">
        <v>255</v>
      </c>
      <c r="AE123" s="273" t="s">
        <v>240</v>
      </c>
      <c r="AF123" s="273" t="s">
        <v>259</v>
      </c>
      <c r="AG123" s="109"/>
      <c r="AH123" s="106">
        <f t="shared" si="10"/>
        <v>1</v>
      </c>
      <c r="AI123" s="106"/>
      <c r="AJ123" s="114"/>
      <c r="AK123" s="111"/>
      <c r="AN123" s="2"/>
      <c r="AP123" s="2"/>
      <c r="AU123" s="71" t="s">
        <v>587</v>
      </c>
      <c r="AV123" s="2"/>
      <c r="AW123" s="2"/>
      <c r="AX123" s="5">
        <v>121</v>
      </c>
      <c r="AY123" s="5">
        <v>1</v>
      </c>
      <c r="AZ123" s="309">
        <f>Elektrolisis!$Q$12</f>
        <v>1</v>
      </c>
      <c r="BA123" s="314">
        <f>IF(AND(C123&lt;&gt;"HF",C123&lt;&gt;"H3PO4",AY123&gt;0),AY123*Elektrolisis!$Q$13,IF(AND(C123="HF",AY123&gt;0),(Elektrolisis!$Q$13*0.0006)^0.5,IF(AND(C123="H3PO4",AY123&gt;0),(Elektrolisis!$Q$13*0.00075)^0.5,"")))</f>
        <v>1</v>
      </c>
      <c r="BB123" s="5">
        <v>1</v>
      </c>
      <c r="BC123" s="310" t="str">
        <f>IF(AX123=Elektrolisis!$M$7,IF(BB123=1,-LOG(BA123),IF(BB123=2,14+LOG(BA123),7)),"")</f>
        <v/>
      </c>
      <c r="BD123" s="313" t="str">
        <f>IF(AX123=Elektrolisis!$M$7,(Elektrolisis!$Q$14*Elektrolisis!$Q$15)/(96500*REAKSI!R123*REAKSI!AZ123),"")</f>
        <v/>
      </c>
      <c r="BE123" s="312" t="str">
        <f>IF(AX123=Elektrolisis!$M$7,IF(BA123&gt;BD123,BA123-BD123,IF(BA123&lt;=BD123,0.0000001)),"")</f>
        <v/>
      </c>
      <c r="BF123" s="310" t="str">
        <f>IF(AX123=Elektrolisis!$M$7,IF(BB123=1,-LOG(BE123),IF(BB123=2,14+LOG(BE123),7)),"")</f>
        <v/>
      </c>
    </row>
    <row r="124" spans="1:58" ht="18.95" customHeight="1" x14ac:dyDescent="0.35">
      <c r="A124">
        <v>4</v>
      </c>
      <c r="B124" s="4">
        <v>122</v>
      </c>
      <c r="C124" s="4" t="s">
        <v>6</v>
      </c>
      <c r="E124" s="256" t="s">
        <v>658</v>
      </c>
      <c r="F124" s="71"/>
      <c r="H124" s="71" t="s">
        <v>22</v>
      </c>
      <c r="I124" s="71" t="s">
        <v>434</v>
      </c>
      <c r="J124" s="71" t="s">
        <v>439</v>
      </c>
      <c r="K124" s="221" t="s">
        <v>429</v>
      </c>
      <c r="L124" s="2"/>
      <c r="M124" s="4" t="s">
        <v>235</v>
      </c>
      <c r="N124" s="4">
        <v>1</v>
      </c>
      <c r="O124" s="4">
        <v>107.9</v>
      </c>
      <c r="P124" s="4"/>
      <c r="Q124" s="92" t="s">
        <v>236</v>
      </c>
      <c r="R124" s="4">
        <v>2</v>
      </c>
      <c r="S124" s="4">
        <v>2</v>
      </c>
      <c r="T124" s="4" t="s">
        <v>210</v>
      </c>
      <c r="U124" s="4">
        <f t="shared" si="8"/>
        <v>1</v>
      </c>
      <c r="V124" s="4">
        <v>122</v>
      </c>
      <c r="W124" s="2" t="s">
        <v>72</v>
      </c>
      <c r="X124" s="2" t="s">
        <v>419</v>
      </c>
      <c r="Y124" s="2" t="s">
        <v>110</v>
      </c>
      <c r="Z124" s="2" t="s">
        <v>73</v>
      </c>
      <c r="AA124" s="2" t="s">
        <v>74</v>
      </c>
      <c r="AB124" s="2"/>
      <c r="AC124" s="273" t="s">
        <v>68</v>
      </c>
      <c r="AD124" s="273" t="s">
        <v>255</v>
      </c>
      <c r="AE124" s="273" t="s">
        <v>240</v>
      </c>
      <c r="AF124" s="273" t="s">
        <v>259</v>
      </c>
      <c r="AG124" s="109"/>
      <c r="AH124" s="106">
        <f t="shared" si="6"/>
        <v>1</v>
      </c>
      <c r="AI124" s="106"/>
      <c r="AJ124" s="114"/>
      <c r="AK124" s="111"/>
      <c r="AN124" s="2"/>
      <c r="AP124" s="2"/>
      <c r="AU124" s="71" t="s">
        <v>588</v>
      </c>
      <c r="AV124" s="2"/>
      <c r="AW124" s="2"/>
      <c r="AX124" s="5">
        <v>122</v>
      </c>
      <c r="AY124" s="5">
        <v>2</v>
      </c>
      <c r="AZ124" s="309">
        <f>Elektrolisis!$Q$12</f>
        <v>1</v>
      </c>
      <c r="BA124" s="314">
        <f>IF(AND(C124&lt;&gt;"HF",C124&lt;&gt;"H3PO4",AY124&gt;0),AY124*Elektrolisis!$Q$13,IF(AND(C124="HF",AY124&gt;0),(Elektrolisis!$Q$13*0.0006)^0.5,IF(AND(C124="H3PO4",AY124&gt;0),(Elektrolisis!$Q$13*0.00075)^0.5,"")))</f>
        <v>2</v>
      </c>
      <c r="BB124" s="5">
        <v>1</v>
      </c>
      <c r="BC124" s="310" t="str">
        <f>IF(AX124=Elektrolisis!$M$7,IF(BB124=1,-LOG(BA124),IF(BB124=2,14+LOG(BA124),7)),"")</f>
        <v/>
      </c>
      <c r="BD124" s="313" t="str">
        <f>IF(AX124=Elektrolisis!$M$7,(Elektrolisis!$Q$14*Elektrolisis!$Q$15)/(96500*REAKSI!R124*REAKSI!AZ124),"")</f>
        <v/>
      </c>
      <c r="BE124" s="312" t="str">
        <f>IF(AX124=Elektrolisis!$M$7,IF(BA124&gt;BD124,BA124-BD124,IF(BA124&lt;=BD124,0.0000001)),"")</f>
        <v/>
      </c>
      <c r="BF124" s="310" t="str">
        <f>IF(AX124=Elektrolisis!$M$7,IF(BB124=1,-LOG(BE124),IF(BB124=2,14+LOG(BE124),7)),"")</f>
        <v/>
      </c>
    </row>
    <row r="125" spans="1:58" ht="18.95" customHeight="1" x14ac:dyDescent="0.35">
      <c r="A125">
        <v>5</v>
      </c>
      <c r="B125" s="4">
        <v>123</v>
      </c>
      <c r="C125" s="4" t="s">
        <v>172</v>
      </c>
      <c r="E125" s="256" t="s">
        <v>617</v>
      </c>
      <c r="F125" s="71"/>
      <c r="H125" s="71" t="s">
        <v>221</v>
      </c>
      <c r="I125" s="71" t="s">
        <v>434</v>
      </c>
      <c r="J125" s="71" t="s">
        <v>439</v>
      </c>
      <c r="K125" s="221" t="s">
        <v>429</v>
      </c>
      <c r="L125" s="2"/>
      <c r="M125" s="4" t="s">
        <v>235</v>
      </c>
      <c r="N125" s="4">
        <v>1</v>
      </c>
      <c r="O125" s="4">
        <v>107.9</v>
      </c>
      <c r="P125" s="4"/>
      <c r="Q125" s="92" t="s">
        <v>236</v>
      </c>
      <c r="R125" s="4">
        <v>2</v>
      </c>
      <c r="S125" s="4">
        <v>2</v>
      </c>
      <c r="T125" s="4" t="s">
        <v>210</v>
      </c>
      <c r="U125" s="4">
        <f t="shared" si="8"/>
        <v>1</v>
      </c>
      <c r="V125" s="4">
        <v>123</v>
      </c>
      <c r="W125" s="2" t="s">
        <v>72</v>
      </c>
      <c r="X125" s="2" t="s">
        <v>420</v>
      </c>
      <c r="Y125" s="2" t="s">
        <v>110</v>
      </c>
      <c r="Z125" s="2" t="s">
        <v>73</v>
      </c>
      <c r="AA125" s="2" t="s">
        <v>74</v>
      </c>
      <c r="AB125" s="2"/>
      <c r="AC125" s="273" t="s">
        <v>68</v>
      </c>
      <c r="AD125" s="273" t="s">
        <v>255</v>
      </c>
      <c r="AE125" s="273" t="s">
        <v>240</v>
      </c>
      <c r="AF125" s="273" t="s">
        <v>259</v>
      </c>
      <c r="AG125" s="109"/>
      <c r="AH125" s="106">
        <f t="shared" si="6"/>
        <v>1</v>
      </c>
      <c r="AI125" s="106"/>
      <c r="AJ125" s="114"/>
      <c r="AK125" s="111"/>
      <c r="AN125" s="2"/>
      <c r="AP125" s="2"/>
      <c r="AU125" s="71" t="s">
        <v>589</v>
      </c>
      <c r="AV125" s="2"/>
      <c r="AW125" s="2"/>
      <c r="AX125" s="5">
        <v>123</v>
      </c>
      <c r="AY125" s="5">
        <v>1</v>
      </c>
      <c r="AZ125" s="309">
        <f>Elektrolisis!$Q$12</f>
        <v>1</v>
      </c>
      <c r="BA125" s="314">
        <f>IF(AND(C125&lt;&gt;"HF",C125&lt;&gt;"H3PO4",AY125&gt;0),AY125*Elektrolisis!$Q$13,IF(AND(C125="HF",AY125&gt;0),(Elektrolisis!$Q$13*0.0006)^0.5,IF(AND(C125="H3PO4",AY125&gt;0),(Elektrolisis!$Q$13*0.00075)^0.5,"")))</f>
        <v>1</v>
      </c>
      <c r="BB125" s="5">
        <v>1</v>
      </c>
      <c r="BC125" s="310" t="str">
        <f>IF(AX125=Elektrolisis!$M$7,IF(BB125=1,-LOG(BA125),IF(BB125=2,14+LOG(BA125),7)),"")</f>
        <v/>
      </c>
      <c r="BD125" s="313" t="str">
        <f>IF(AX125=Elektrolisis!$M$7,(Elektrolisis!$Q$14*Elektrolisis!$Q$15)/(96500*REAKSI!R125*REAKSI!AZ125),"")</f>
        <v/>
      </c>
      <c r="BE125" s="312" t="str">
        <f>IF(AX125=Elektrolisis!$M$7,IF(BA125&gt;BD125,BA125-BD125,IF(BA125&lt;=BD125,0.0000001)),"")</f>
        <v/>
      </c>
      <c r="BF125" s="310" t="str">
        <f>IF(AX125=Elektrolisis!$M$7,IF(BB125=1,-LOG(BE125),IF(BB125=2,14+LOG(BE125),7)),"")</f>
        <v/>
      </c>
    </row>
    <row r="126" spans="1:58" ht="18.95" customHeight="1" x14ac:dyDescent="0.35">
      <c r="A126">
        <v>6</v>
      </c>
      <c r="B126" s="4">
        <v>124</v>
      </c>
      <c r="C126" s="4" t="s">
        <v>173</v>
      </c>
      <c r="E126" s="256" t="s">
        <v>618</v>
      </c>
      <c r="F126" s="71"/>
      <c r="H126" s="71" t="s">
        <v>595</v>
      </c>
      <c r="I126" s="71" t="s">
        <v>434</v>
      </c>
      <c r="J126" s="71" t="s">
        <v>439</v>
      </c>
      <c r="K126" s="221" t="s">
        <v>429</v>
      </c>
      <c r="L126" s="2"/>
      <c r="M126" s="4" t="s">
        <v>235</v>
      </c>
      <c r="N126" s="4">
        <v>1</v>
      </c>
      <c r="O126" s="4">
        <v>107.9</v>
      </c>
      <c r="P126" s="4"/>
      <c r="Q126" s="92" t="s">
        <v>236</v>
      </c>
      <c r="R126" s="4">
        <v>2</v>
      </c>
      <c r="S126" s="4">
        <v>2</v>
      </c>
      <c r="T126" s="4" t="s">
        <v>210</v>
      </c>
      <c r="U126" s="4">
        <f t="shared" si="8"/>
        <v>1</v>
      </c>
      <c r="V126" s="4">
        <v>124</v>
      </c>
      <c r="W126" s="2" t="s">
        <v>72</v>
      </c>
      <c r="X126" s="2" t="s">
        <v>421</v>
      </c>
      <c r="Y126" s="2" t="s">
        <v>110</v>
      </c>
      <c r="Z126" s="2" t="s">
        <v>73</v>
      </c>
      <c r="AA126" s="2" t="s">
        <v>74</v>
      </c>
      <c r="AB126" s="2"/>
      <c r="AC126" s="273" t="s">
        <v>68</v>
      </c>
      <c r="AD126" s="273" t="s">
        <v>255</v>
      </c>
      <c r="AE126" s="273" t="s">
        <v>240</v>
      </c>
      <c r="AF126" s="273" t="s">
        <v>259</v>
      </c>
      <c r="AG126" s="109"/>
      <c r="AH126" s="106">
        <f t="shared" si="6"/>
        <v>1</v>
      </c>
      <c r="AI126" s="106"/>
      <c r="AJ126" s="114"/>
      <c r="AK126" s="111"/>
      <c r="AN126" s="2"/>
      <c r="AP126" s="2"/>
      <c r="AU126" s="71" t="s">
        <v>590</v>
      </c>
      <c r="AV126" s="2"/>
      <c r="AW126" s="2"/>
      <c r="AX126" s="5">
        <v>124</v>
      </c>
      <c r="AY126" s="5">
        <v>3</v>
      </c>
      <c r="AZ126" s="309">
        <f>Elektrolisis!$Q$12</f>
        <v>1</v>
      </c>
      <c r="BA126" s="314">
        <f>IF(AND(C126&lt;&gt;"HF",C126&lt;&gt;"H3PO4",AY126&gt;0),AY126*Elektrolisis!$Q$13,IF(AND(C126="HF",AY126&gt;0),(Elektrolisis!$Q$13*0.0006)^0.5,IF(AND(C126="H3PO4",AY126&gt;0),(Elektrolisis!$Q$13*0.00075)^0.5,"")))</f>
        <v>2.7386127875258306E-2</v>
      </c>
      <c r="BB126" s="5">
        <v>1</v>
      </c>
      <c r="BC126" s="310" t="str">
        <f>IF(AX126=Elektrolisis!$M$7,IF(BB126=1,-LOG(BA126),IF(BB126=2,14+LOG(BA126),7)),"")</f>
        <v/>
      </c>
      <c r="BD126" s="313" t="str">
        <f>IF(AX126=Elektrolisis!$M$7,(Elektrolisis!$Q$14*Elektrolisis!$Q$15)/(96500*REAKSI!R126*REAKSI!AZ126),"")</f>
        <v/>
      </c>
      <c r="BE126" s="312" t="str">
        <f>IF(AX126=Elektrolisis!$M$7,IF(BA126&gt;BD126,BA126-BD126,IF(BA126&lt;=BD126,0.0000001)),"")</f>
        <v/>
      </c>
      <c r="BF126" s="310" t="str">
        <f>IF(AX126=Elektrolisis!$M$7,IF(BB126=1,-LOG(BE126),IF(BB126=2,14+LOG(BE126),7)),"")</f>
        <v/>
      </c>
    </row>
    <row r="127" spans="1:58" ht="18.95" customHeight="1" x14ac:dyDescent="0.35">
      <c r="A127">
        <v>7</v>
      </c>
      <c r="B127" s="121">
        <v>125</v>
      </c>
      <c r="C127" s="121" t="s">
        <v>174</v>
      </c>
      <c r="D127" s="121"/>
      <c r="E127" s="256" t="s">
        <v>600</v>
      </c>
      <c r="F127" s="276"/>
      <c r="G127" s="114"/>
      <c r="H127" s="71" t="s">
        <v>594</v>
      </c>
      <c r="I127" s="276" t="s">
        <v>434</v>
      </c>
      <c r="J127" s="276" t="s">
        <v>439</v>
      </c>
      <c r="K127" s="277" t="s">
        <v>429</v>
      </c>
      <c r="L127" s="114"/>
      <c r="M127" s="121" t="s">
        <v>235</v>
      </c>
      <c r="N127" s="121">
        <v>1</v>
      </c>
      <c r="O127" s="121">
        <v>107.9</v>
      </c>
      <c r="P127" s="121"/>
      <c r="Q127" s="278" t="s">
        <v>236</v>
      </c>
      <c r="R127" s="121">
        <v>2</v>
      </c>
      <c r="S127" s="121">
        <v>2</v>
      </c>
      <c r="T127" s="4" t="s">
        <v>210</v>
      </c>
      <c r="U127" s="121">
        <f t="shared" si="8"/>
        <v>1</v>
      </c>
      <c r="V127" s="121">
        <v>125</v>
      </c>
      <c r="W127" s="114" t="s">
        <v>72</v>
      </c>
      <c r="X127" s="114"/>
      <c r="Y127" s="114" t="s">
        <v>110</v>
      </c>
      <c r="Z127" s="114" t="s">
        <v>73</v>
      </c>
      <c r="AA127" s="114" t="s">
        <v>74</v>
      </c>
      <c r="AB127" s="114"/>
      <c r="AC127" s="279" t="s">
        <v>68</v>
      </c>
      <c r="AD127" s="279" t="s">
        <v>255</v>
      </c>
      <c r="AE127" s="279" t="s">
        <v>240</v>
      </c>
      <c r="AF127" s="279" t="s">
        <v>259</v>
      </c>
      <c r="AG127" s="115"/>
      <c r="AH127" s="280">
        <f t="shared" si="6"/>
        <v>1</v>
      </c>
      <c r="AI127" s="280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276" t="s">
        <v>591</v>
      </c>
      <c r="AV127" s="114"/>
      <c r="AW127" s="114"/>
      <c r="AX127" s="121">
        <v>125</v>
      </c>
      <c r="AY127" s="121">
        <v>1</v>
      </c>
      <c r="AZ127" s="309">
        <f>Elektrolisis!$Q$12</f>
        <v>1</v>
      </c>
      <c r="BA127" s="314">
        <f>IF(AND(C127&lt;&gt;"HF",C127&lt;&gt;"H3PO4",AY127&gt;0),AY127*Elektrolisis!$Q$13,IF(AND(C127="HF",AY127&gt;0),(Elektrolisis!$Q$13*0.0006)^0.5,IF(AND(C127="H3PO4",AY127&gt;0),(Elektrolisis!$Q$13*0.00075)^0.5,"")))</f>
        <v>2.4494897427831779E-2</v>
      </c>
      <c r="BB127" s="5">
        <v>1</v>
      </c>
      <c r="BC127" s="310" t="str">
        <f>IF(AX127=Elektrolisis!$M$7,IF(BB127=1,-LOG(BA127),IF(BB127=2,14+LOG(BA127),7)),"")</f>
        <v/>
      </c>
      <c r="BD127" s="313" t="str">
        <f>IF(AX127=Elektrolisis!$M$7,(Elektrolisis!$Q$14*Elektrolisis!$Q$15)/(96500*REAKSI!R127*REAKSI!AZ127),"")</f>
        <v/>
      </c>
      <c r="BE127" s="312" t="str">
        <f>IF(AX127=Elektrolisis!$M$7,IF(BA127&gt;BD127,BA127-BD127,IF(BA127&lt;=BD127,0.0000001)),"")</f>
        <v/>
      </c>
      <c r="BF127" s="310" t="str">
        <f>IF(AX127=Elektrolisis!$M$7,IF(BB127=1,-LOG(BE127),IF(BB127=2,14+LOG(BE127),7)),"")</f>
        <v/>
      </c>
    </row>
    <row r="128" spans="1:58" ht="18.95" customHeight="1" x14ac:dyDescent="0.35">
      <c r="A128">
        <v>8</v>
      </c>
      <c r="B128" s="4">
        <v>126</v>
      </c>
      <c r="C128" s="4" t="s">
        <v>100</v>
      </c>
      <c r="E128" s="256" t="s">
        <v>659</v>
      </c>
      <c r="F128" s="71" t="s">
        <v>104</v>
      </c>
      <c r="H128" s="71" t="s">
        <v>99</v>
      </c>
      <c r="I128" s="71" t="s">
        <v>434</v>
      </c>
      <c r="J128" s="71" t="s">
        <v>337</v>
      </c>
      <c r="K128" s="221" t="s">
        <v>428</v>
      </c>
      <c r="L128" s="2"/>
      <c r="M128" s="4" t="s">
        <v>235</v>
      </c>
      <c r="N128" s="4">
        <v>1</v>
      </c>
      <c r="O128" s="4">
        <v>107.9</v>
      </c>
      <c r="P128" s="4"/>
      <c r="Q128" s="92" t="s">
        <v>236</v>
      </c>
      <c r="R128" s="4">
        <v>2</v>
      </c>
      <c r="S128" s="4">
        <v>2</v>
      </c>
      <c r="T128" s="160"/>
      <c r="U128" s="4">
        <f t="shared" si="8"/>
        <v>0</v>
      </c>
      <c r="V128" s="4">
        <v>126</v>
      </c>
      <c r="W128" s="2" t="s">
        <v>72</v>
      </c>
      <c r="X128" s="2" t="s">
        <v>101</v>
      </c>
      <c r="Y128" s="2" t="s">
        <v>110</v>
      </c>
      <c r="Z128" s="2" t="s">
        <v>73</v>
      </c>
      <c r="AA128" s="2" t="s">
        <v>103</v>
      </c>
      <c r="AB128" s="2"/>
      <c r="AC128" s="273" t="s">
        <v>68</v>
      </c>
      <c r="AD128" s="273" t="s">
        <v>255</v>
      </c>
      <c r="AE128" s="273" t="s">
        <v>242</v>
      </c>
      <c r="AF128" s="273" t="s">
        <v>259</v>
      </c>
      <c r="AG128" s="109"/>
      <c r="AH128" s="106">
        <f t="shared" si="6"/>
        <v>0</v>
      </c>
      <c r="AI128" s="106"/>
      <c r="AJ128" s="114"/>
      <c r="AK128" s="111"/>
      <c r="AN128" s="2"/>
      <c r="AP128" s="2"/>
      <c r="AU128" s="229" t="s">
        <v>361</v>
      </c>
      <c r="AV128" s="2"/>
      <c r="AW128" s="2"/>
      <c r="AX128" s="5">
        <v>126</v>
      </c>
      <c r="AY128" s="5">
        <v>0</v>
      </c>
      <c r="AZ128" s="309">
        <f>Elektrolisis!$Q$12</f>
        <v>1</v>
      </c>
      <c r="BA128" s="314" t="str">
        <f>IF(AND(C128&lt;&gt;"HF",C128&lt;&gt;"H3PO4",AY128&gt;0),AY128*Elektrolisis!$Q$13,IF(AND(C128="HF",AY128&gt;0),(Elektrolisis!$Q$13*0.0006)^0.5,IF(AND(C128="H3PO4",AY128&gt;0),(Elektrolisis!$Q$13*0.00075)^0.5,"")))</f>
        <v/>
      </c>
      <c r="BB128" s="5">
        <v>0</v>
      </c>
      <c r="BC128" s="310" t="str">
        <f>IF(AX128=Elektrolisis!$M$7,IF(BB128=1,-LOG(BA128),IF(BB128=2,14+LOG(BA128),7)),"")</f>
        <v/>
      </c>
      <c r="BD128" s="313" t="str">
        <f>IF(AX128=Elektrolisis!$M$7,(Elektrolisis!$Q$14*Elektrolisis!$Q$15)/(96500*REAKSI!R128*REAKSI!AZ128),"")</f>
        <v/>
      </c>
      <c r="BE128" s="312" t="str">
        <f>IF(AX128=Elektrolisis!$M$7,IF(BA128&gt;BD128,BA128-BD128,IF(BA128&lt;=BD128,0.0000001)),"")</f>
        <v/>
      </c>
      <c r="BF128" s="310" t="str">
        <f>IF(AX128=Elektrolisis!$M$7,IF(BB128=1,-LOG(BE128),IF(BB128=2,14+LOG(BE128),7)),"")</f>
        <v/>
      </c>
    </row>
    <row r="129" spans="1:58" ht="18.95" customHeight="1" x14ac:dyDescent="0.35">
      <c r="A129">
        <v>9</v>
      </c>
      <c r="B129" s="4">
        <v>127</v>
      </c>
      <c r="C129" s="4" t="s">
        <v>175</v>
      </c>
      <c r="E129" s="256" t="s">
        <v>620</v>
      </c>
      <c r="F129" s="71" t="s">
        <v>104</v>
      </c>
      <c r="H129" s="71" t="s">
        <v>113</v>
      </c>
      <c r="I129" s="71" t="s">
        <v>434</v>
      </c>
      <c r="J129" s="71" t="s">
        <v>337</v>
      </c>
      <c r="K129" s="221" t="s">
        <v>428</v>
      </c>
      <c r="L129" s="2"/>
      <c r="M129" s="4" t="s">
        <v>235</v>
      </c>
      <c r="N129" s="4">
        <v>1</v>
      </c>
      <c r="O129" s="4">
        <v>107.9</v>
      </c>
      <c r="P129" s="4"/>
      <c r="Q129" s="92" t="s">
        <v>236</v>
      </c>
      <c r="R129" s="4">
        <v>2</v>
      </c>
      <c r="S129" s="4">
        <v>2</v>
      </c>
      <c r="T129" s="160"/>
      <c r="U129" s="4">
        <f t="shared" si="8"/>
        <v>0</v>
      </c>
      <c r="V129" s="4">
        <v>127</v>
      </c>
      <c r="W129" s="2" t="s">
        <v>72</v>
      </c>
      <c r="X129" s="2" t="s">
        <v>77</v>
      </c>
      <c r="Y129" s="2" t="s">
        <v>110</v>
      </c>
      <c r="Z129" s="2" t="s">
        <v>73</v>
      </c>
      <c r="AA129" s="2" t="s">
        <v>103</v>
      </c>
      <c r="AB129" s="2"/>
      <c r="AC129" s="273" t="s">
        <v>68</v>
      </c>
      <c r="AD129" s="273" t="s">
        <v>255</v>
      </c>
      <c r="AE129" s="273" t="s">
        <v>242</v>
      </c>
      <c r="AF129" s="273" t="s">
        <v>259</v>
      </c>
      <c r="AG129" s="109"/>
      <c r="AH129" s="106">
        <f t="shared" si="6"/>
        <v>0</v>
      </c>
      <c r="AI129" s="106"/>
      <c r="AJ129" s="114"/>
      <c r="AK129" s="111"/>
      <c r="AN129" s="2"/>
      <c r="AP129" s="2"/>
      <c r="AU129" s="229" t="s">
        <v>362</v>
      </c>
      <c r="AV129" s="2"/>
      <c r="AW129" s="2"/>
      <c r="AX129" s="5">
        <v>127</v>
      </c>
      <c r="AY129" s="5">
        <v>0</v>
      </c>
      <c r="AZ129" s="309">
        <f>Elektrolisis!$Q$12</f>
        <v>1</v>
      </c>
      <c r="BA129" s="314" t="str">
        <f>IF(AND(C129&lt;&gt;"HF",C129&lt;&gt;"H3PO4",AY129&gt;0),AY129*Elektrolisis!$Q$13,IF(AND(C129="HF",AY129&gt;0),(Elektrolisis!$Q$13*0.0006)^0.5,IF(AND(C129="H3PO4",AY129&gt;0),(Elektrolisis!$Q$13*0.00075)^0.5,"")))</f>
        <v/>
      </c>
      <c r="BB129" s="5">
        <v>0</v>
      </c>
      <c r="BC129" s="310" t="str">
        <f>IF(AX129=Elektrolisis!$M$7,IF(BB129=1,-LOG(BA129),IF(BB129=2,14+LOG(BA129),7)),"")</f>
        <v/>
      </c>
      <c r="BD129" s="313" t="str">
        <f>IF(AX129=Elektrolisis!$M$7,(Elektrolisis!$Q$14*Elektrolisis!$Q$15)/(96500*REAKSI!R129*REAKSI!AZ129),"")</f>
        <v/>
      </c>
      <c r="BE129" s="312" t="str">
        <f>IF(AX129=Elektrolisis!$M$7,IF(BA129&gt;BD129,BA129-BD129,IF(BA129&lt;=BD129,0.0000001)),"")</f>
        <v/>
      </c>
      <c r="BF129" s="310" t="str">
        <f>IF(AX129=Elektrolisis!$M$7,IF(BB129=1,-LOG(BE129),IF(BB129=2,14+LOG(BE129),7)),"")</f>
        <v/>
      </c>
    </row>
    <row r="130" spans="1:58" ht="18.95" customHeight="1" x14ac:dyDescent="0.35">
      <c r="A130">
        <v>10</v>
      </c>
      <c r="B130" s="4">
        <v>128</v>
      </c>
      <c r="C130" s="160" t="s">
        <v>222</v>
      </c>
      <c r="E130" s="256" t="s">
        <v>621</v>
      </c>
      <c r="F130" s="71" t="s">
        <v>104</v>
      </c>
      <c r="H130" s="71" t="s">
        <v>223</v>
      </c>
      <c r="I130" s="71" t="s">
        <v>434</v>
      </c>
      <c r="J130" s="71" t="s">
        <v>337</v>
      </c>
      <c r="K130" s="221" t="s">
        <v>428</v>
      </c>
      <c r="L130" s="2"/>
      <c r="M130" s="4" t="s">
        <v>235</v>
      </c>
      <c r="N130" s="4">
        <v>1</v>
      </c>
      <c r="O130" s="4">
        <v>107.9</v>
      </c>
      <c r="P130" s="4"/>
      <c r="Q130" s="92" t="s">
        <v>236</v>
      </c>
      <c r="R130" s="4">
        <v>2</v>
      </c>
      <c r="S130" s="4">
        <v>2</v>
      </c>
      <c r="T130" s="160"/>
      <c r="U130" s="4">
        <f t="shared" si="8"/>
        <v>0</v>
      </c>
      <c r="V130" s="4">
        <v>128</v>
      </c>
      <c r="W130" s="2" t="s">
        <v>72</v>
      </c>
      <c r="X130" s="2" t="s">
        <v>111</v>
      </c>
      <c r="Y130" s="2" t="s">
        <v>110</v>
      </c>
      <c r="Z130" s="2" t="s">
        <v>73</v>
      </c>
      <c r="AA130" s="2" t="s">
        <v>75</v>
      </c>
      <c r="AB130" s="2"/>
      <c r="AC130" s="273" t="s">
        <v>68</v>
      </c>
      <c r="AD130" s="273" t="s">
        <v>255</v>
      </c>
      <c r="AE130" s="273" t="s">
        <v>242</v>
      </c>
      <c r="AF130" s="273" t="s">
        <v>259</v>
      </c>
      <c r="AG130" s="109"/>
      <c r="AH130" s="106">
        <f t="shared" si="6"/>
        <v>0</v>
      </c>
      <c r="AI130" s="106"/>
      <c r="AJ130" s="114"/>
      <c r="AK130" s="111"/>
      <c r="AN130" s="2"/>
      <c r="AP130" s="2"/>
      <c r="AU130" s="229" t="s">
        <v>363</v>
      </c>
      <c r="AV130" s="2"/>
      <c r="AW130" s="2"/>
      <c r="AX130" s="5">
        <v>128</v>
      </c>
      <c r="AY130" s="5">
        <v>0</v>
      </c>
      <c r="AZ130" s="309">
        <f>Elektrolisis!$Q$12</f>
        <v>1</v>
      </c>
      <c r="BA130" s="314" t="str">
        <f>IF(AND(C130&lt;&gt;"HF",C130&lt;&gt;"H3PO4",AY130&gt;0),AY130*Elektrolisis!$Q$13,IF(AND(C130="HF",AY130&gt;0),(Elektrolisis!$Q$13*0.0006)^0.5,IF(AND(C130="H3PO4",AY130&gt;0),(Elektrolisis!$Q$13*0.00075)^0.5,"")))</f>
        <v/>
      </c>
      <c r="BB130" s="5">
        <v>0</v>
      </c>
      <c r="BC130" s="310" t="str">
        <f>IF(AX130=Elektrolisis!$M$7,IF(BB130=1,-LOG(BA130),IF(BB130=2,14+LOG(BA130),7)),"")</f>
        <v/>
      </c>
      <c r="BD130" s="313" t="str">
        <f>IF(AX130=Elektrolisis!$M$7,(Elektrolisis!$Q$14*Elektrolisis!$Q$15)/(96500*REAKSI!R130*REAKSI!AZ130),"")</f>
        <v/>
      </c>
      <c r="BE130" s="312" t="str">
        <f>IF(AX130=Elektrolisis!$M$7,IF(BA130&gt;BD130,BA130-BD130,IF(BA130&lt;=BD130,0.0000001)),"")</f>
        <v/>
      </c>
      <c r="BF130" s="310" t="str">
        <f>IF(AX130=Elektrolisis!$M$7,IF(BB130=1,-LOG(BE130),IF(BB130=2,14+LOG(BE130),7)),"")</f>
        <v/>
      </c>
    </row>
    <row r="131" spans="1:58" ht="18.95" customHeight="1" x14ac:dyDescent="0.35">
      <c r="A131">
        <v>11</v>
      </c>
      <c r="B131" s="4">
        <v>129</v>
      </c>
      <c r="C131" s="4" t="s">
        <v>8</v>
      </c>
      <c r="E131" s="256" t="s">
        <v>622</v>
      </c>
      <c r="F131" s="71" t="s">
        <v>104</v>
      </c>
      <c r="H131" s="71" t="s">
        <v>114</v>
      </c>
      <c r="I131" s="71" t="s">
        <v>434</v>
      </c>
      <c r="J131" s="71" t="s">
        <v>337</v>
      </c>
      <c r="K131" s="221" t="s">
        <v>428</v>
      </c>
      <c r="L131" s="2"/>
      <c r="M131" s="4" t="s">
        <v>235</v>
      </c>
      <c r="N131" s="4">
        <v>1</v>
      </c>
      <c r="O131" s="4">
        <v>107.9</v>
      </c>
      <c r="P131" s="4"/>
      <c r="Q131" s="92" t="s">
        <v>236</v>
      </c>
      <c r="R131" s="4">
        <v>2</v>
      </c>
      <c r="S131" s="4">
        <v>2</v>
      </c>
      <c r="T131" s="160"/>
      <c r="U131" s="4">
        <f t="shared" si="8"/>
        <v>0</v>
      </c>
      <c r="V131" s="4">
        <v>129</v>
      </c>
      <c r="W131" s="2" t="s">
        <v>72</v>
      </c>
      <c r="X131" s="2" t="s">
        <v>77</v>
      </c>
      <c r="Y131" s="2" t="s">
        <v>110</v>
      </c>
      <c r="Z131" s="2" t="s">
        <v>73</v>
      </c>
      <c r="AA131" s="2" t="s">
        <v>75</v>
      </c>
      <c r="AB131" s="2"/>
      <c r="AC131" s="273" t="s">
        <v>68</v>
      </c>
      <c r="AD131" s="273" t="s">
        <v>255</v>
      </c>
      <c r="AE131" s="273" t="s">
        <v>242</v>
      </c>
      <c r="AF131" s="273" t="s">
        <v>259</v>
      </c>
      <c r="AG131" s="109"/>
      <c r="AH131" s="106">
        <f t="shared" si="6"/>
        <v>0</v>
      </c>
      <c r="AI131" s="106"/>
      <c r="AJ131" s="114"/>
      <c r="AK131" s="111"/>
      <c r="AN131" s="2"/>
      <c r="AP131" s="2"/>
      <c r="AU131" s="229" t="s">
        <v>364</v>
      </c>
      <c r="AV131" s="2"/>
      <c r="AW131" s="2"/>
      <c r="AX131" s="5">
        <v>129</v>
      </c>
      <c r="AY131" s="5">
        <v>0</v>
      </c>
      <c r="AZ131" s="309">
        <f>Elektrolisis!$Q$12</f>
        <v>1</v>
      </c>
      <c r="BA131" s="314" t="str">
        <f>IF(AND(C131&lt;&gt;"HF",C131&lt;&gt;"H3PO4",AY131&gt;0),AY131*Elektrolisis!$Q$13,IF(AND(C131="HF",AY131&gt;0),(Elektrolisis!$Q$13*0.0006)^0.5,IF(AND(C131="H3PO4",AY131&gt;0),(Elektrolisis!$Q$13*0.00075)^0.5,"")))</f>
        <v/>
      </c>
      <c r="BB131" s="5">
        <v>0</v>
      </c>
      <c r="BC131" s="310" t="str">
        <f>IF(AX131=Elektrolisis!$M$7,IF(BB131=1,-LOG(BA131),IF(BB131=2,14+LOG(BA131),7)),"")</f>
        <v/>
      </c>
      <c r="BD131" s="313" t="str">
        <f>IF(AX131=Elektrolisis!$M$7,(Elektrolisis!$Q$14*Elektrolisis!$Q$15)/(96500*REAKSI!R131*REAKSI!AZ131),"")</f>
        <v/>
      </c>
      <c r="BE131" s="312" t="str">
        <f>IF(AX131=Elektrolisis!$M$7,IF(BA131&gt;BD131,BA131-BD131,IF(BA131&lt;=BD131,0.0000001)),"")</f>
        <v/>
      </c>
      <c r="BF131" s="310" t="str">
        <f>IF(AX131=Elektrolisis!$M$7,IF(BB131=1,-LOG(BE131),IF(BB131=2,14+LOG(BE131),7)),"")</f>
        <v/>
      </c>
    </row>
    <row r="132" spans="1:58" ht="18.95" customHeight="1" x14ac:dyDescent="0.35">
      <c r="A132">
        <v>12</v>
      </c>
      <c r="B132" s="4">
        <v>130</v>
      </c>
      <c r="C132" s="4" t="s">
        <v>177</v>
      </c>
      <c r="E132" s="256" t="s">
        <v>623</v>
      </c>
      <c r="F132" s="71" t="s">
        <v>104</v>
      </c>
      <c r="H132" s="71" t="s">
        <v>115</v>
      </c>
      <c r="I132" s="71" t="s">
        <v>434</v>
      </c>
      <c r="J132" s="71" t="s">
        <v>337</v>
      </c>
      <c r="K132" s="221" t="s">
        <v>428</v>
      </c>
      <c r="L132" s="2"/>
      <c r="M132" s="4" t="s">
        <v>235</v>
      </c>
      <c r="N132" s="4">
        <v>1</v>
      </c>
      <c r="O132" s="4">
        <v>107.9</v>
      </c>
      <c r="P132" s="4"/>
      <c r="Q132" s="92" t="s">
        <v>236</v>
      </c>
      <c r="R132" s="4">
        <v>2</v>
      </c>
      <c r="S132" s="4">
        <v>2</v>
      </c>
      <c r="T132" s="160"/>
      <c r="U132" s="4">
        <f t="shared" ref="U132:U172" si="11">IF(P132&amp;T132="[H+] =",1,IF(P132&amp;T132="[OH-] =",2,0))</f>
        <v>0</v>
      </c>
      <c r="V132" s="4">
        <v>130</v>
      </c>
      <c r="W132" s="2" t="s">
        <v>72</v>
      </c>
      <c r="X132" s="2" t="s">
        <v>77</v>
      </c>
      <c r="Y132" s="2" t="s">
        <v>110</v>
      </c>
      <c r="Z132" s="2" t="s">
        <v>73</v>
      </c>
      <c r="AA132" s="2" t="s">
        <v>118</v>
      </c>
      <c r="AB132" s="2"/>
      <c r="AC132" s="273" t="s">
        <v>68</v>
      </c>
      <c r="AD132" s="273" t="s">
        <v>255</v>
      </c>
      <c r="AE132" s="273" t="s">
        <v>242</v>
      </c>
      <c r="AF132" s="273" t="s">
        <v>259</v>
      </c>
      <c r="AG132" s="109"/>
      <c r="AH132" s="106">
        <f t="shared" ref="AH132:AH172" si="12">U132</f>
        <v>0</v>
      </c>
      <c r="AI132" s="106"/>
      <c r="AJ132" s="114"/>
      <c r="AK132" s="111"/>
      <c r="AN132" s="2"/>
      <c r="AP132" s="2"/>
      <c r="AU132" s="229" t="s">
        <v>365</v>
      </c>
      <c r="AV132" s="2"/>
      <c r="AW132" s="2"/>
      <c r="AX132" s="5">
        <v>130</v>
      </c>
      <c r="AY132" s="5">
        <v>0</v>
      </c>
      <c r="AZ132" s="309">
        <f>Elektrolisis!$Q$12</f>
        <v>1</v>
      </c>
      <c r="BA132" s="314" t="str">
        <f>IF(AND(C132&lt;&gt;"HF",C132&lt;&gt;"H3PO4",AY132&gt;0),AY132*Elektrolisis!$Q$13,IF(AND(C132="HF",AY132&gt;0),(Elektrolisis!$Q$13*0.0006)^0.5,IF(AND(C132="H3PO4",AY132&gt;0),(Elektrolisis!$Q$13*0.00075)^0.5,"")))</f>
        <v/>
      </c>
      <c r="BB132" s="5">
        <v>0</v>
      </c>
      <c r="BC132" s="310" t="str">
        <f>IF(AX132=Elektrolisis!$M$7,IF(BB132=1,-LOG(BA132),IF(BB132=2,14+LOG(BA132),7)),"")</f>
        <v/>
      </c>
      <c r="BD132" s="313" t="str">
        <f>IF(AX132=Elektrolisis!$M$7,(Elektrolisis!$Q$14*Elektrolisis!$Q$15)/(96500*REAKSI!R132*REAKSI!AZ132),"")</f>
        <v/>
      </c>
      <c r="BE132" s="312" t="str">
        <f>IF(AX132=Elektrolisis!$M$7,IF(BA132&gt;BD132,BA132-BD132,IF(BA132&lt;=BD132,0.0000001)),"")</f>
        <v/>
      </c>
      <c r="BF132" s="310" t="str">
        <f>IF(AX132=Elektrolisis!$M$7,IF(BB132=1,-LOG(BE132),IF(BB132=2,14+LOG(BE132),7)),"")</f>
        <v/>
      </c>
    </row>
    <row r="133" spans="1:58" ht="18.95" customHeight="1" x14ac:dyDescent="0.35">
      <c r="A133">
        <v>13</v>
      </c>
      <c r="B133" s="4">
        <v>131</v>
      </c>
      <c r="C133" s="4" t="s">
        <v>178</v>
      </c>
      <c r="E133" s="256" t="s">
        <v>624</v>
      </c>
      <c r="F133" s="71" t="s">
        <v>104</v>
      </c>
      <c r="H133" s="71" t="s">
        <v>116</v>
      </c>
      <c r="I133" s="71" t="s">
        <v>434</v>
      </c>
      <c r="J133" s="71" t="s">
        <v>337</v>
      </c>
      <c r="K133" s="221" t="s">
        <v>428</v>
      </c>
      <c r="L133" s="2"/>
      <c r="M133" s="4" t="s">
        <v>235</v>
      </c>
      <c r="N133" s="4">
        <v>1</v>
      </c>
      <c r="O133" s="4">
        <v>107.9</v>
      </c>
      <c r="P133" s="4"/>
      <c r="Q133" s="92" t="s">
        <v>236</v>
      </c>
      <c r="R133" s="4">
        <v>2</v>
      </c>
      <c r="S133" s="4">
        <v>2</v>
      </c>
      <c r="T133" s="160"/>
      <c r="U133" s="4">
        <f t="shared" si="11"/>
        <v>0</v>
      </c>
      <c r="V133" s="4">
        <v>131</v>
      </c>
      <c r="W133" s="2" t="s">
        <v>72</v>
      </c>
      <c r="X133" s="2" t="s">
        <v>77</v>
      </c>
      <c r="Y133" s="2" t="s">
        <v>110</v>
      </c>
      <c r="Z133" s="2" t="s">
        <v>73</v>
      </c>
      <c r="AA133" s="2" t="s">
        <v>119</v>
      </c>
      <c r="AB133" s="2"/>
      <c r="AC133" s="273" t="s">
        <v>68</v>
      </c>
      <c r="AD133" s="273" t="s">
        <v>255</v>
      </c>
      <c r="AE133" s="273" t="s">
        <v>242</v>
      </c>
      <c r="AF133" s="273" t="s">
        <v>259</v>
      </c>
      <c r="AG133" s="109"/>
      <c r="AH133" s="106">
        <f t="shared" si="12"/>
        <v>0</v>
      </c>
      <c r="AI133" s="106"/>
      <c r="AJ133" s="114"/>
      <c r="AK133" s="111"/>
      <c r="AN133" s="2"/>
      <c r="AP133" s="2"/>
      <c r="AU133" s="229" t="s">
        <v>366</v>
      </c>
      <c r="AV133" s="2"/>
      <c r="AW133" s="2"/>
      <c r="AX133" s="5">
        <v>131</v>
      </c>
      <c r="AY133" s="5">
        <v>0</v>
      </c>
      <c r="AZ133" s="309">
        <f>Elektrolisis!$Q$12</f>
        <v>1</v>
      </c>
      <c r="BA133" s="314" t="str">
        <f>IF(AND(C133&lt;&gt;"HF",C133&lt;&gt;"H3PO4",AY133&gt;0),AY133*Elektrolisis!$Q$13,IF(AND(C133="HF",AY133&gt;0),(Elektrolisis!$Q$13*0.0006)^0.5,IF(AND(C133="H3PO4",AY133&gt;0),(Elektrolisis!$Q$13*0.00075)^0.5,"")))</f>
        <v/>
      </c>
      <c r="BB133" s="5">
        <v>0</v>
      </c>
      <c r="BC133" s="310" t="str">
        <f>IF(AX133=Elektrolisis!$M$7,IF(BB133=1,-LOG(BA133),IF(BB133=2,14+LOG(BA133),7)),"")</f>
        <v/>
      </c>
      <c r="BD133" s="313" t="str">
        <f>IF(AX133=Elektrolisis!$M$7,(Elektrolisis!$Q$14*Elektrolisis!$Q$15)/(96500*REAKSI!R133*REAKSI!AZ133),"")</f>
        <v/>
      </c>
      <c r="BE133" s="312" t="str">
        <f>IF(AX133=Elektrolisis!$M$7,IF(BA133&gt;BD133,BA133-BD133,IF(BA133&lt;=BD133,0.0000001)),"")</f>
        <v/>
      </c>
      <c r="BF133" s="310" t="str">
        <f>IF(AX133=Elektrolisis!$M$7,IF(BB133=1,-LOG(BE133),IF(BB133=2,14+LOG(BE133),7)),"")</f>
        <v/>
      </c>
    </row>
    <row r="134" spans="1:58" ht="18.95" customHeight="1" x14ac:dyDescent="0.35">
      <c r="A134">
        <v>14</v>
      </c>
      <c r="B134" s="4">
        <v>132</v>
      </c>
      <c r="C134" s="4" t="s">
        <v>179</v>
      </c>
      <c r="E134" s="256" t="s">
        <v>625</v>
      </c>
      <c r="F134" s="71" t="s">
        <v>104</v>
      </c>
      <c r="H134" s="71" t="s">
        <v>117</v>
      </c>
      <c r="I134" s="71" t="s">
        <v>434</v>
      </c>
      <c r="J134" s="71" t="s">
        <v>337</v>
      </c>
      <c r="K134" s="221" t="s">
        <v>428</v>
      </c>
      <c r="L134" s="2"/>
      <c r="M134" s="4" t="s">
        <v>235</v>
      </c>
      <c r="N134" s="4">
        <v>1</v>
      </c>
      <c r="O134" s="4">
        <v>107.9</v>
      </c>
      <c r="P134" s="4"/>
      <c r="Q134" s="92" t="s">
        <v>236</v>
      </c>
      <c r="R134" s="4">
        <v>2</v>
      </c>
      <c r="S134" s="4">
        <v>2</v>
      </c>
      <c r="T134" s="160"/>
      <c r="U134" s="4">
        <f t="shared" si="11"/>
        <v>0</v>
      </c>
      <c r="V134" s="4">
        <v>132</v>
      </c>
      <c r="W134" s="2" t="s">
        <v>72</v>
      </c>
      <c r="X134" s="2" t="s">
        <v>77</v>
      </c>
      <c r="Y134" s="2" t="s">
        <v>110</v>
      </c>
      <c r="Z134" s="2" t="s">
        <v>73</v>
      </c>
      <c r="AA134" s="2" t="s">
        <v>120</v>
      </c>
      <c r="AB134" s="2"/>
      <c r="AC134" s="273" t="s">
        <v>68</v>
      </c>
      <c r="AD134" s="273" t="s">
        <v>255</v>
      </c>
      <c r="AE134" s="273" t="s">
        <v>242</v>
      </c>
      <c r="AF134" s="273" t="s">
        <v>259</v>
      </c>
      <c r="AG134" s="109"/>
      <c r="AH134" s="106">
        <f t="shared" si="12"/>
        <v>0</v>
      </c>
      <c r="AI134" s="106"/>
      <c r="AJ134" s="114"/>
      <c r="AK134" s="111"/>
      <c r="AN134" s="2"/>
      <c r="AP134" s="2"/>
      <c r="AU134" s="229" t="s">
        <v>367</v>
      </c>
      <c r="AV134" s="2"/>
      <c r="AW134" s="2"/>
      <c r="AX134" s="5">
        <v>132</v>
      </c>
      <c r="AY134" s="5">
        <v>0</v>
      </c>
      <c r="AZ134" s="309">
        <f>Elektrolisis!$Q$12</f>
        <v>1</v>
      </c>
      <c r="BA134" s="314" t="str">
        <f>IF(AND(C134&lt;&gt;"HF",C134&lt;&gt;"H3PO4",AY134&gt;0),AY134*Elektrolisis!$Q$13,IF(AND(C134="HF",AY134&gt;0),(Elektrolisis!$Q$13*0.0006)^0.5,IF(AND(C134="H3PO4",AY134&gt;0),(Elektrolisis!$Q$13*0.00075)^0.5,"")))</f>
        <v/>
      </c>
      <c r="BB134" s="5">
        <v>0</v>
      </c>
      <c r="BC134" s="310" t="str">
        <f>IF(AX134=Elektrolisis!$M$7,IF(BB134=1,-LOG(BA134),IF(BB134=2,14+LOG(BA134),7)),"")</f>
        <v/>
      </c>
      <c r="BD134" s="313" t="str">
        <f>IF(AX134=Elektrolisis!$M$7,(Elektrolisis!$Q$14*Elektrolisis!$Q$15)/(96500*REAKSI!R134*REAKSI!AZ134),"")</f>
        <v/>
      </c>
      <c r="BE134" s="312" t="str">
        <f>IF(AX134=Elektrolisis!$M$7,IF(BA134&gt;BD134,BA134-BD134,IF(BA134&lt;=BD134,0.0000001)),"")</f>
        <v/>
      </c>
      <c r="BF134" s="310" t="str">
        <f>IF(AX134=Elektrolisis!$M$7,IF(BB134=1,-LOG(BE134),IF(BB134=2,14+LOG(BE134),7)),"")</f>
        <v/>
      </c>
    </row>
    <row r="135" spans="1:58" ht="18.95" customHeight="1" x14ac:dyDescent="0.35">
      <c r="A135">
        <v>15</v>
      </c>
      <c r="B135" s="4">
        <v>133</v>
      </c>
      <c r="C135" s="4" t="s">
        <v>16</v>
      </c>
      <c r="E135" s="256" t="s">
        <v>660</v>
      </c>
      <c r="F135" s="71" t="s">
        <v>104</v>
      </c>
      <c r="H135" s="71" t="s">
        <v>24</v>
      </c>
      <c r="I135" s="71" t="s">
        <v>434</v>
      </c>
      <c r="J135" s="71" t="s">
        <v>337</v>
      </c>
      <c r="K135" s="221" t="s">
        <v>428</v>
      </c>
      <c r="L135" s="2"/>
      <c r="M135" s="4" t="s">
        <v>235</v>
      </c>
      <c r="N135" s="4">
        <v>1</v>
      </c>
      <c r="O135" s="4">
        <v>107.9</v>
      </c>
      <c r="P135" s="4"/>
      <c r="Q135" s="92" t="s">
        <v>236</v>
      </c>
      <c r="R135" s="4">
        <v>2</v>
      </c>
      <c r="S135" s="4">
        <v>2</v>
      </c>
      <c r="T135" s="4"/>
      <c r="U135" s="4">
        <f t="shared" si="11"/>
        <v>0</v>
      </c>
      <c r="V135" s="4">
        <v>133</v>
      </c>
      <c r="W135" s="2" t="s">
        <v>72</v>
      </c>
      <c r="X135" s="2" t="s">
        <v>419</v>
      </c>
      <c r="Y135" s="2" t="s">
        <v>110</v>
      </c>
      <c r="Z135" s="2" t="s">
        <v>73</v>
      </c>
      <c r="AA135" s="2" t="s">
        <v>75</v>
      </c>
      <c r="AB135" s="2"/>
      <c r="AC135" s="273" t="s">
        <v>68</v>
      </c>
      <c r="AD135" s="273" t="s">
        <v>255</v>
      </c>
      <c r="AE135" s="273" t="s">
        <v>242</v>
      </c>
      <c r="AF135" s="273" t="s">
        <v>259</v>
      </c>
      <c r="AG135" s="109"/>
      <c r="AH135" s="106">
        <f t="shared" si="12"/>
        <v>0</v>
      </c>
      <c r="AI135" s="106"/>
      <c r="AJ135" s="114"/>
      <c r="AK135" s="111"/>
      <c r="AN135" s="2"/>
      <c r="AP135" s="2"/>
      <c r="AU135" s="229" t="s">
        <v>743</v>
      </c>
      <c r="AV135" s="2"/>
      <c r="AW135" s="2"/>
      <c r="AX135" s="5">
        <v>133</v>
      </c>
      <c r="AY135" s="5">
        <v>0</v>
      </c>
      <c r="AZ135" s="309">
        <f>Elektrolisis!$Q$12</f>
        <v>1</v>
      </c>
      <c r="BA135" s="314" t="str">
        <f>IF(AND(C135&lt;&gt;"HF",C135&lt;&gt;"H3PO4",AY135&gt;0),AY135*Elektrolisis!$Q$13,IF(AND(C135="HF",AY135&gt;0),(Elektrolisis!$Q$13*0.0006)^0.5,IF(AND(C135="H3PO4",AY135&gt;0),(Elektrolisis!$Q$13*0.00075)^0.5,"")))</f>
        <v/>
      </c>
      <c r="BB135" s="5">
        <v>0</v>
      </c>
      <c r="BC135" s="310" t="str">
        <f>IF(AX135=Elektrolisis!$M$7,IF(BB135=1,-LOG(BA135),IF(BB135=2,14+LOG(BA135),7)),"")</f>
        <v/>
      </c>
      <c r="BD135" s="313" t="str">
        <f>IF(AX135=Elektrolisis!$M$7,(Elektrolisis!$Q$14*Elektrolisis!$Q$15)/(96500*REAKSI!R135*REAKSI!AZ135),"")</f>
        <v/>
      </c>
      <c r="BE135" s="312" t="str">
        <f>IF(AX135=Elektrolisis!$M$7,IF(BA135&gt;BD135,BA135-BD135,IF(BA135&lt;=BD135,0.0000001)),"")</f>
        <v/>
      </c>
      <c r="BF135" s="310" t="str">
        <f>IF(AX135=Elektrolisis!$M$7,IF(BB135=1,-LOG(BE135),IF(BB135=2,14+LOG(BE135),7)),"")</f>
        <v/>
      </c>
    </row>
    <row r="136" spans="1:58" ht="18.95" customHeight="1" x14ac:dyDescent="0.35">
      <c r="A136">
        <v>16</v>
      </c>
      <c r="B136" s="4">
        <v>134</v>
      </c>
      <c r="C136" s="4" t="s">
        <v>180</v>
      </c>
      <c r="E136" s="256" t="s">
        <v>656</v>
      </c>
      <c r="F136" s="71" t="s">
        <v>104</v>
      </c>
      <c r="H136" s="71" t="s">
        <v>121</v>
      </c>
      <c r="I136" s="71" t="s">
        <v>434</v>
      </c>
      <c r="J136" s="71" t="s">
        <v>337</v>
      </c>
      <c r="K136" s="221" t="s">
        <v>428</v>
      </c>
      <c r="L136" s="2"/>
      <c r="M136" s="4" t="s">
        <v>235</v>
      </c>
      <c r="N136" s="4">
        <v>1</v>
      </c>
      <c r="O136" s="4">
        <v>107.9</v>
      </c>
      <c r="P136" s="4"/>
      <c r="Q136" s="92" t="s">
        <v>236</v>
      </c>
      <c r="R136" s="4">
        <v>2</v>
      </c>
      <c r="S136" s="4">
        <v>2</v>
      </c>
      <c r="T136" s="4"/>
      <c r="U136" s="4">
        <f t="shared" si="11"/>
        <v>0</v>
      </c>
      <c r="V136" s="4">
        <v>134</v>
      </c>
      <c r="W136" s="2" t="s">
        <v>72</v>
      </c>
      <c r="X136" s="2" t="s">
        <v>420</v>
      </c>
      <c r="Y136" s="2" t="s">
        <v>110</v>
      </c>
      <c r="Z136" s="2" t="s">
        <v>73</v>
      </c>
      <c r="AA136" s="2" t="s">
        <v>127</v>
      </c>
      <c r="AB136" s="2"/>
      <c r="AC136" s="273" t="s">
        <v>68</v>
      </c>
      <c r="AD136" s="273" t="s">
        <v>255</v>
      </c>
      <c r="AE136" s="273" t="s">
        <v>242</v>
      </c>
      <c r="AF136" s="273" t="s">
        <v>259</v>
      </c>
      <c r="AG136" s="109"/>
      <c r="AH136" s="106">
        <f t="shared" si="12"/>
        <v>0</v>
      </c>
      <c r="AI136" s="106"/>
      <c r="AJ136" s="114"/>
      <c r="AK136" s="111"/>
      <c r="AN136" s="2"/>
      <c r="AP136" s="2"/>
      <c r="AU136" s="229" t="s">
        <v>368</v>
      </c>
      <c r="AV136" s="2"/>
      <c r="AW136" s="2"/>
      <c r="AX136" s="5">
        <v>134</v>
      </c>
      <c r="AY136" s="5">
        <v>0</v>
      </c>
      <c r="AZ136" s="309">
        <f>Elektrolisis!$Q$12</f>
        <v>1</v>
      </c>
      <c r="BA136" s="314" t="str">
        <f>IF(AND(C136&lt;&gt;"HF",C136&lt;&gt;"H3PO4",AY136&gt;0),AY136*Elektrolisis!$Q$13,IF(AND(C136="HF",AY136&gt;0),(Elektrolisis!$Q$13*0.0006)^0.5,IF(AND(C136="H3PO4",AY136&gt;0),(Elektrolisis!$Q$13*0.00075)^0.5,"")))</f>
        <v/>
      </c>
      <c r="BB136" s="5">
        <v>0</v>
      </c>
      <c r="BC136" s="310" t="str">
        <f>IF(AX136=Elektrolisis!$M$7,IF(BB136=1,-LOG(BA136),IF(BB136=2,14+LOG(BA136),7)),"")</f>
        <v/>
      </c>
      <c r="BD136" s="313" t="str">
        <f>IF(AX136=Elektrolisis!$M$7,(Elektrolisis!$Q$14*Elektrolisis!$Q$15)/(96500*REAKSI!R136*REAKSI!AZ136),"")</f>
        <v/>
      </c>
      <c r="BE136" s="312" t="str">
        <f>IF(AX136=Elektrolisis!$M$7,IF(BA136&gt;BD136,BA136-BD136,IF(BA136&lt;=BD136,0.0000001)),"")</f>
        <v/>
      </c>
      <c r="BF136" s="310" t="str">
        <f>IF(AX136=Elektrolisis!$M$7,IF(BB136=1,-LOG(BE136),IF(BB136=2,14+LOG(BE136),7)),"")</f>
        <v/>
      </c>
    </row>
    <row r="137" spans="1:58" ht="18.95" customHeight="1" x14ac:dyDescent="0.35">
      <c r="A137">
        <v>17</v>
      </c>
      <c r="B137" s="4">
        <v>135</v>
      </c>
      <c r="C137" s="4" t="s">
        <v>181</v>
      </c>
      <c r="E137" s="256" t="s">
        <v>627</v>
      </c>
      <c r="F137" s="71" t="s">
        <v>104</v>
      </c>
      <c r="H137" s="71" t="s">
        <v>122</v>
      </c>
      <c r="I137" s="71" t="s">
        <v>434</v>
      </c>
      <c r="J137" s="71" t="s">
        <v>337</v>
      </c>
      <c r="K137" s="221" t="s">
        <v>428</v>
      </c>
      <c r="L137" s="2"/>
      <c r="M137" s="4" t="s">
        <v>235</v>
      </c>
      <c r="N137" s="4">
        <v>1</v>
      </c>
      <c r="O137" s="4">
        <v>107.9</v>
      </c>
      <c r="P137" s="4"/>
      <c r="Q137" s="92" t="s">
        <v>236</v>
      </c>
      <c r="R137" s="4">
        <v>2</v>
      </c>
      <c r="S137" s="4">
        <v>2</v>
      </c>
      <c r="T137" s="4"/>
      <c r="U137" s="4">
        <f t="shared" si="11"/>
        <v>0</v>
      </c>
      <c r="V137" s="4">
        <v>135</v>
      </c>
      <c r="W137" s="2" t="s">
        <v>72</v>
      </c>
      <c r="X137" s="2" t="s">
        <v>421</v>
      </c>
      <c r="Y137" s="2" t="s">
        <v>110</v>
      </c>
      <c r="Z137" s="2" t="s">
        <v>73</v>
      </c>
      <c r="AA137" s="2" t="s">
        <v>75</v>
      </c>
      <c r="AB137" s="2"/>
      <c r="AC137" s="273" t="s">
        <v>68</v>
      </c>
      <c r="AD137" s="273" t="s">
        <v>255</v>
      </c>
      <c r="AE137" s="273" t="s">
        <v>242</v>
      </c>
      <c r="AF137" s="273" t="s">
        <v>259</v>
      </c>
      <c r="AG137" s="109"/>
      <c r="AH137" s="106">
        <f t="shared" si="12"/>
        <v>0</v>
      </c>
      <c r="AI137" s="106"/>
      <c r="AJ137" s="114"/>
      <c r="AK137" s="111"/>
      <c r="AN137" s="2"/>
      <c r="AP137" s="2"/>
      <c r="AU137" s="222" t="s">
        <v>369</v>
      </c>
      <c r="AV137" s="2"/>
      <c r="AW137" s="2"/>
      <c r="AX137" s="5">
        <v>135</v>
      </c>
      <c r="AY137" s="5">
        <v>0</v>
      </c>
      <c r="AZ137" s="309">
        <f>Elektrolisis!$Q$12</f>
        <v>1</v>
      </c>
      <c r="BA137" s="314" t="str">
        <f>IF(AND(C137&lt;&gt;"HF",C137&lt;&gt;"H3PO4",AY137&gt;0),AY137*Elektrolisis!$Q$13,IF(AND(C137="HF",AY137&gt;0),(Elektrolisis!$Q$13*0.0006)^0.5,IF(AND(C137="H3PO4",AY137&gt;0),(Elektrolisis!$Q$13*0.00075)^0.5,"")))</f>
        <v/>
      </c>
      <c r="BB137" s="5">
        <v>0</v>
      </c>
      <c r="BC137" s="310" t="str">
        <f>IF(AX137=Elektrolisis!$M$7,IF(BB137=1,-LOG(BA137),IF(BB137=2,14+LOG(BA137),7)),"")</f>
        <v/>
      </c>
      <c r="BD137" s="313" t="str">
        <f>IF(AX137=Elektrolisis!$M$7,(Elektrolisis!$Q$14*Elektrolisis!$Q$15)/(96500*REAKSI!R137*REAKSI!AZ137),"")</f>
        <v/>
      </c>
      <c r="BE137" s="312" t="str">
        <f>IF(AX137=Elektrolisis!$M$7,IF(BA137&gt;BD137,BA137-BD137,IF(BA137&lt;=BD137,0.0000001)),"")</f>
        <v/>
      </c>
      <c r="BF137" s="310" t="str">
        <f>IF(AX137=Elektrolisis!$M$7,IF(BB137=1,-LOG(BE137),IF(BB137=2,14+LOG(BE137),7)),"")</f>
        <v/>
      </c>
    </row>
    <row r="138" spans="1:58" ht="18.95" customHeight="1" x14ac:dyDescent="0.35">
      <c r="A138">
        <v>18</v>
      </c>
      <c r="B138" s="4">
        <v>136</v>
      </c>
      <c r="C138" s="4" t="s">
        <v>182</v>
      </c>
      <c r="E138" s="256" t="s">
        <v>628</v>
      </c>
      <c r="F138" s="71" t="s">
        <v>104</v>
      </c>
      <c r="H138" s="71" t="s">
        <v>123</v>
      </c>
      <c r="I138" s="71" t="s">
        <v>434</v>
      </c>
      <c r="J138" s="71" t="s">
        <v>337</v>
      </c>
      <c r="K138" s="221" t="s">
        <v>428</v>
      </c>
      <c r="L138" s="2"/>
      <c r="M138" s="4" t="s">
        <v>235</v>
      </c>
      <c r="N138" s="4">
        <v>1</v>
      </c>
      <c r="O138" s="4">
        <v>107.9</v>
      </c>
      <c r="P138" s="4"/>
      <c r="Q138" s="92" t="s">
        <v>236</v>
      </c>
      <c r="R138" s="4">
        <v>2</v>
      </c>
      <c r="S138" s="4">
        <v>2</v>
      </c>
      <c r="T138" s="4"/>
      <c r="U138" s="4">
        <f t="shared" si="11"/>
        <v>0</v>
      </c>
      <c r="V138" s="4">
        <v>136</v>
      </c>
      <c r="W138" s="2" t="s">
        <v>72</v>
      </c>
      <c r="X138" s="2" t="s">
        <v>420</v>
      </c>
      <c r="Y138" s="2" t="s">
        <v>110</v>
      </c>
      <c r="Z138" s="2" t="s">
        <v>73</v>
      </c>
      <c r="AA138" s="2" t="s">
        <v>118</v>
      </c>
      <c r="AB138" s="2"/>
      <c r="AC138" s="273" t="s">
        <v>68</v>
      </c>
      <c r="AD138" s="273" t="s">
        <v>255</v>
      </c>
      <c r="AE138" s="273" t="s">
        <v>242</v>
      </c>
      <c r="AF138" s="273" t="s">
        <v>259</v>
      </c>
      <c r="AG138" s="109"/>
      <c r="AH138" s="106">
        <f t="shared" si="12"/>
        <v>0</v>
      </c>
      <c r="AI138" s="106"/>
      <c r="AJ138" s="114"/>
      <c r="AK138" s="111"/>
      <c r="AN138" s="2"/>
      <c r="AP138" s="2"/>
      <c r="AU138" s="222" t="s">
        <v>370</v>
      </c>
      <c r="AV138" s="2"/>
      <c r="AW138" s="2"/>
      <c r="AX138" s="5">
        <v>136</v>
      </c>
      <c r="AY138" s="5">
        <v>0</v>
      </c>
      <c r="AZ138" s="309">
        <f>Elektrolisis!$Q$12</f>
        <v>1</v>
      </c>
      <c r="BA138" s="314" t="str">
        <f>IF(AND(C138&lt;&gt;"HF",C138&lt;&gt;"H3PO4",AY138&gt;0),AY138*Elektrolisis!$Q$13,IF(AND(C138="HF",AY138&gt;0),(Elektrolisis!$Q$13*0.0006)^0.5,IF(AND(C138="H3PO4",AY138&gt;0),(Elektrolisis!$Q$13*0.00075)^0.5,"")))</f>
        <v/>
      </c>
      <c r="BB138" s="5">
        <v>0</v>
      </c>
      <c r="BC138" s="310" t="str">
        <f>IF(AX138=Elektrolisis!$M$7,IF(BB138=1,-LOG(BA138),IF(BB138=2,14+LOG(BA138),7)),"")</f>
        <v/>
      </c>
      <c r="BD138" s="313" t="str">
        <f>IF(AX138=Elektrolisis!$M$7,(Elektrolisis!$Q$14*Elektrolisis!$Q$15)/(96500*REAKSI!R138*REAKSI!AZ138),"")</f>
        <v/>
      </c>
      <c r="BE138" s="312" t="str">
        <f>IF(AX138=Elektrolisis!$M$7,IF(BA138&gt;BD138,BA138-BD138,IF(BA138&lt;=BD138,0.0000001)),"")</f>
        <v/>
      </c>
      <c r="BF138" s="310" t="str">
        <f>IF(AX138=Elektrolisis!$M$7,IF(BB138=1,-LOG(BE138),IF(BB138=2,14+LOG(BE138),7)),"")</f>
        <v/>
      </c>
    </row>
    <row r="139" spans="1:58" ht="18.95" customHeight="1" x14ac:dyDescent="0.35">
      <c r="A139">
        <v>19</v>
      </c>
      <c r="B139" s="4">
        <v>137</v>
      </c>
      <c r="C139" s="4" t="s">
        <v>183</v>
      </c>
      <c r="E139" s="256" t="s">
        <v>629</v>
      </c>
      <c r="F139" s="71" t="s">
        <v>104</v>
      </c>
      <c r="H139" s="71" t="s">
        <v>124</v>
      </c>
      <c r="I139" s="71" t="s">
        <v>434</v>
      </c>
      <c r="J139" s="71" t="s">
        <v>337</v>
      </c>
      <c r="K139" s="221" t="s">
        <v>428</v>
      </c>
      <c r="L139" s="2"/>
      <c r="M139" s="4" t="s">
        <v>235</v>
      </c>
      <c r="N139" s="4">
        <v>1</v>
      </c>
      <c r="O139" s="4">
        <v>107.9</v>
      </c>
      <c r="P139" s="4"/>
      <c r="Q139" s="92" t="s">
        <v>236</v>
      </c>
      <c r="R139" s="4">
        <v>2</v>
      </c>
      <c r="S139" s="4">
        <v>2</v>
      </c>
      <c r="T139" s="4"/>
      <c r="U139" s="4">
        <f t="shared" si="11"/>
        <v>0</v>
      </c>
      <c r="V139" s="4">
        <v>137</v>
      </c>
      <c r="W139" s="2" t="s">
        <v>72</v>
      </c>
      <c r="X139" s="2" t="s">
        <v>419</v>
      </c>
      <c r="Y139" s="2" t="s">
        <v>110</v>
      </c>
      <c r="Z139" s="2" t="s">
        <v>73</v>
      </c>
      <c r="AA139" s="2" t="s">
        <v>118</v>
      </c>
      <c r="AB139" s="2"/>
      <c r="AC139" s="273" t="s">
        <v>68</v>
      </c>
      <c r="AD139" s="273" t="s">
        <v>255</v>
      </c>
      <c r="AE139" s="273" t="s">
        <v>242</v>
      </c>
      <c r="AF139" s="273" t="s">
        <v>259</v>
      </c>
      <c r="AG139" s="109"/>
      <c r="AH139" s="106">
        <f t="shared" si="12"/>
        <v>0</v>
      </c>
      <c r="AI139" s="106"/>
      <c r="AJ139" s="114"/>
      <c r="AK139" s="111"/>
      <c r="AN139" s="2"/>
      <c r="AP139" s="2"/>
      <c r="AU139" s="222" t="s">
        <v>371</v>
      </c>
      <c r="AV139" s="2"/>
      <c r="AW139" s="2"/>
      <c r="AX139" s="5">
        <v>137</v>
      </c>
      <c r="AY139" s="5">
        <v>0</v>
      </c>
      <c r="AZ139" s="309">
        <f>Elektrolisis!$Q$12</f>
        <v>1</v>
      </c>
      <c r="BA139" s="314" t="str">
        <f>IF(AND(C139&lt;&gt;"HF",C139&lt;&gt;"H3PO4",AY139&gt;0),AY139*Elektrolisis!$Q$13,IF(AND(C139="HF",AY139&gt;0),(Elektrolisis!$Q$13*0.0006)^0.5,IF(AND(C139="H3PO4",AY139&gt;0),(Elektrolisis!$Q$13*0.00075)^0.5,"")))</f>
        <v/>
      </c>
      <c r="BB139" s="5">
        <v>0</v>
      </c>
      <c r="BC139" s="310" t="str">
        <f>IF(AX139=Elektrolisis!$M$7,IF(BB139=1,-LOG(BA139),IF(BB139=2,14+LOG(BA139),7)),"")</f>
        <v/>
      </c>
      <c r="BD139" s="313" t="str">
        <f>IF(AX139=Elektrolisis!$M$7,(Elektrolisis!$Q$14*Elektrolisis!$Q$15)/(96500*REAKSI!R139*REAKSI!AZ139),"")</f>
        <v/>
      </c>
      <c r="BE139" s="312" t="str">
        <f>IF(AX139=Elektrolisis!$M$7,IF(BA139&gt;BD139,BA139-BD139,IF(BA139&lt;=BD139,0.0000001)),"")</f>
        <v/>
      </c>
      <c r="BF139" s="310" t="str">
        <f>IF(AX139=Elektrolisis!$M$7,IF(BB139=1,-LOG(BE139),IF(BB139=2,14+LOG(BE139),7)),"")</f>
        <v/>
      </c>
    </row>
    <row r="140" spans="1:58" ht="18.95" customHeight="1" x14ac:dyDescent="0.35">
      <c r="A140">
        <v>20</v>
      </c>
      <c r="B140" s="4">
        <v>138</v>
      </c>
      <c r="C140" s="4" t="s">
        <v>184</v>
      </c>
      <c r="E140" s="256" t="s">
        <v>630</v>
      </c>
      <c r="F140" s="71" t="s">
        <v>104</v>
      </c>
      <c r="H140" s="71" t="s">
        <v>125</v>
      </c>
      <c r="I140" s="71" t="s">
        <v>434</v>
      </c>
      <c r="J140" s="71" t="s">
        <v>337</v>
      </c>
      <c r="K140" s="221" t="s">
        <v>428</v>
      </c>
      <c r="L140" s="2"/>
      <c r="M140" s="4" t="s">
        <v>235</v>
      </c>
      <c r="N140" s="4">
        <v>1</v>
      </c>
      <c r="O140" s="4">
        <v>107.9</v>
      </c>
      <c r="P140" s="4"/>
      <c r="Q140" s="92" t="s">
        <v>236</v>
      </c>
      <c r="R140" s="4">
        <v>2</v>
      </c>
      <c r="S140" s="4">
        <v>2</v>
      </c>
      <c r="T140" s="4"/>
      <c r="U140" s="4">
        <f t="shared" si="11"/>
        <v>0</v>
      </c>
      <c r="V140" s="4">
        <v>138</v>
      </c>
      <c r="W140" s="2" t="s">
        <v>72</v>
      </c>
      <c r="X140" s="2" t="s">
        <v>421</v>
      </c>
      <c r="Y140" s="2" t="s">
        <v>110</v>
      </c>
      <c r="Z140" s="2" t="s">
        <v>73</v>
      </c>
      <c r="AA140" s="2" t="s">
        <v>119</v>
      </c>
      <c r="AB140" s="2"/>
      <c r="AC140" s="273" t="s">
        <v>68</v>
      </c>
      <c r="AD140" s="273" t="s">
        <v>255</v>
      </c>
      <c r="AE140" s="273" t="s">
        <v>242</v>
      </c>
      <c r="AF140" s="273" t="s">
        <v>259</v>
      </c>
      <c r="AG140" s="109"/>
      <c r="AH140" s="106">
        <f t="shared" si="12"/>
        <v>0</v>
      </c>
      <c r="AI140" s="106"/>
      <c r="AJ140" s="114"/>
      <c r="AK140" s="111"/>
      <c r="AN140" s="2"/>
      <c r="AP140" s="2"/>
      <c r="AU140" s="222" t="s">
        <v>372</v>
      </c>
      <c r="AV140" s="2"/>
      <c r="AW140" s="2"/>
      <c r="AX140" s="5">
        <v>138</v>
      </c>
      <c r="AY140" s="5">
        <v>0</v>
      </c>
      <c r="AZ140" s="309">
        <f>Elektrolisis!$Q$12</f>
        <v>1</v>
      </c>
      <c r="BA140" s="314" t="str">
        <f>IF(AND(C140&lt;&gt;"HF",C140&lt;&gt;"H3PO4",AY140&gt;0),AY140*Elektrolisis!$Q$13,IF(AND(C140="HF",AY140&gt;0),(Elektrolisis!$Q$13*0.0006)^0.5,IF(AND(C140="H3PO4",AY140&gt;0),(Elektrolisis!$Q$13*0.00075)^0.5,"")))</f>
        <v/>
      </c>
      <c r="BB140" s="5">
        <v>0</v>
      </c>
      <c r="BC140" s="310" t="str">
        <f>IF(AX140=Elektrolisis!$M$7,IF(BB140=1,-LOG(BA140),IF(BB140=2,14+LOG(BA140),7)),"")</f>
        <v/>
      </c>
      <c r="BD140" s="313" t="str">
        <f>IF(AX140=Elektrolisis!$M$7,(Elektrolisis!$Q$14*Elektrolisis!$Q$15)/(96500*REAKSI!R140*REAKSI!AZ140),"")</f>
        <v/>
      </c>
      <c r="BE140" s="312" t="str">
        <f>IF(AX140=Elektrolisis!$M$7,IF(BA140&gt;BD140,BA140-BD140,IF(BA140&lt;=BD140,0.0000001)),"")</f>
        <v/>
      </c>
      <c r="BF140" s="310" t="str">
        <f>IF(AX140=Elektrolisis!$M$7,IF(BB140=1,-LOG(BE140),IF(BB140=2,14+LOG(BE140),7)),"")</f>
        <v/>
      </c>
    </row>
    <row r="141" spans="1:58" ht="18.95" customHeight="1" x14ac:dyDescent="0.35">
      <c r="A141">
        <v>21</v>
      </c>
      <c r="B141" s="4">
        <v>139</v>
      </c>
      <c r="C141" s="4" t="s">
        <v>185</v>
      </c>
      <c r="E141" s="256" t="s">
        <v>631</v>
      </c>
      <c r="F141" s="71" t="s">
        <v>104</v>
      </c>
      <c r="H141" s="71" t="s">
        <v>126</v>
      </c>
      <c r="I141" s="71" t="s">
        <v>434</v>
      </c>
      <c r="J141" s="71" t="s">
        <v>337</v>
      </c>
      <c r="K141" s="221" t="s">
        <v>428</v>
      </c>
      <c r="L141" s="2"/>
      <c r="M141" s="4" t="s">
        <v>235</v>
      </c>
      <c r="N141" s="4">
        <v>1</v>
      </c>
      <c r="O141" s="4">
        <v>107.9</v>
      </c>
      <c r="P141" s="4"/>
      <c r="Q141" s="92" t="s">
        <v>236</v>
      </c>
      <c r="R141" s="4">
        <v>2</v>
      </c>
      <c r="S141" s="4">
        <v>2</v>
      </c>
      <c r="T141" s="4"/>
      <c r="U141" s="4">
        <f t="shared" si="11"/>
        <v>0</v>
      </c>
      <c r="V141" s="4">
        <v>139</v>
      </c>
      <c r="W141" s="2" t="s">
        <v>72</v>
      </c>
      <c r="X141" s="2" t="s">
        <v>419</v>
      </c>
      <c r="Y141" s="2" t="s">
        <v>110</v>
      </c>
      <c r="Z141" s="2" t="s">
        <v>73</v>
      </c>
      <c r="AA141" s="2" t="s">
        <v>120</v>
      </c>
      <c r="AB141" s="2"/>
      <c r="AC141" s="273" t="s">
        <v>68</v>
      </c>
      <c r="AD141" s="273" t="s">
        <v>255</v>
      </c>
      <c r="AE141" s="273" t="s">
        <v>242</v>
      </c>
      <c r="AF141" s="273" t="s">
        <v>259</v>
      </c>
      <c r="AG141" s="109"/>
      <c r="AH141" s="106">
        <f t="shared" si="12"/>
        <v>0</v>
      </c>
      <c r="AI141" s="106"/>
      <c r="AJ141" s="114"/>
      <c r="AK141" s="111"/>
      <c r="AN141" s="2"/>
      <c r="AP141" s="2"/>
      <c r="AU141" s="222" t="s">
        <v>373</v>
      </c>
      <c r="AV141" s="2"/>
      <c r="AW141" s="2"/>
      <c r="AX141" s="5">
        <v>139</v>
      </c>
      <c r="AY141" s="5">
        <v>0</v>
      </c>
      <c r="AZ141" s="309">
        <f>Elektrolisis!$Q$12</f>
        <v>1</v>
      </c>
      <c r="BA141" s="314" t="str">
        <f>IF(AND(C141&lt;&gt;"HF",C141&lt;&gt;"H3PO4",AY141&gt;0),AY141*Elektrolisis!$Q$13,IF(AND(C141="HF",AY141&gt;0),(Elektrolisis!$Q$13*0.0006)^0.5,IF(AND(C141="H3PO4",AY141&gt;0),(Elektrolisis!$Q$13*0.00075)^0.5,"")))</f>
        <v/>
      </c>
      <c r="BB141" s="5">
        <v>0</v>
      </c>
      <c r="BC141" s="310" t="str">
        <f>IF(AX141=Elektrolisis!$M$7,IF(BB141=1,-LOG(BA141),IF(BB141=2,14+LOG(BA141),7)),"")</f>
        <v/>
      </c>
      <c r="BD141" s="313" t="str">
        <f>IF(AX141=Elektrolisis!$M$7,(Elektrolisis!$Q$14*Elektrolisis!$Q$15)/(96500*REAKSI!R141*REAKSI!AZ141),"")</f>
        <v/>
      </c>
      <c r="BE141" s="312" t="str">
        <f>IF(AX141=Elektrolisis!$M$7,IF(BA141&gt;BD141,BA141-BD141,IF(BA141&lt;=BD141,0.0000001)),"")</f>
        <v/>
      </c>
      <c r="BF141" s="310" t="str">
        <f>IF(AX141=Elektrolisis!$M$7,IF(BB141=1,-LOG(BE141),IF(BB141=2,14+LOG(BE141),7)),"")</f>
        <v/>
      </c>
    </row>
    <row r="142" spans="1:58" ht="18.95" customHeight="1" x14ac:dyDescent="0.35">
      <c r="A142">
        <v>22</v>
      </c>
      <c r="B142" s="4">
        <v>140</v>
      </c>
      <c r="C142" s="4" t="s">
        <v>7</v>
      </c>
      <c r="E142" s="256" t="s">
        <v>661</v>
      </c>
      <c r="F142" s="71" t="s">
        <v>104</v>
      </c>
      <c r="H142" s="71" t="s">
        <v>25</v>
      </c>
      <c r="I142" s="71" t="s">
        <v>434</v>
      </c>
      <c r="J142" s="71" t="s">
        <v>337</v>
      </c>
      <c r="K142" s="221" t="s">
        <v>428</v>
      </c>
      <c r="L142" s="2"/>
      <c r="M142" s="4" t="s">
        <v>235</v>
      </c>
      <c r="N142" s="4">
        <v>1</v>
      </c>
      <c r="O142" s="4">
        <v>107.9</v>
      </c>
      <c r="P142" s="4"/>
      <c r="Q142" s="92" t="s">
        <v>236</v>
      </c>
      <c r="R142" s="4">
        <v>2</v>
      </c>
      <c r="S142" s="4">
        <v>2</v>
      </c>
      <c r="T142" s="4" t="s">
        <v>211</v>
      </c>
      <c r="U142" s="4">
        <f t="shared" si="11"/>
        <v>2</v>
      </c>
      <c r="V142" s="4">
        <v>140</v>
      </c>
      <c r="W142" s="2" t="s">
        <v>72</v>
      </c>
      <c r="X142" s="2" t="s">
        <v>76</v>
      </c>
      <c r="Y142" s="2" t="s">
        <v>110</v>
      </c>
      <c r="Z142" s="2" t="s">
        <v>73</v>
      </c>
      <c r="AA142" s="2" t="s">
        <v>75</v>
      </c>
      <c r="AB142" s="2"/>
      <c r="AC142" s="273" t="s">
        <v>68</v>
      </c>
      <c r="AD142" s="273" t="s">
        <v>255</v>
      </c>
      <c r="AE142" s="273" t="s">
        <v>242</v>
      </c>
      <c r="AF142" s="273" t="s">
        <v>259</v>
      </c>
      <c r="AG142" s="109"/>
      <c r="AH142" s="106">
        <f t="shared" si="12"/>
        <v>2</v>
      </c>
      <c r="AI142" s="106"/>
      <c r="AJ142" s="114"/>
      <c r="AK142" s="111"/>
      <c r="AN142" s="2"/>
      <c r="AP142" s="2"/>
      <c r="AU142" s="223" t="s">
        <v>374</v>
      </c>
      <c r="AV142" s="2"/>
      <c r="AW142" s="2"/>
      <c r="AX142" s="5">
        <v>140</v>
      </c>
      <c r="AY142" s="5">
        <v>1</v>
      </c>
      <c r="AZ142" s="309">
        <f>Elektrolisis!$Q$12</f>
        <v>1</v>
      </c>
      <c r="BA142" s="314">
        <f>IF(AND(C142&lt;&gt;"HF",C142&lt;&gt;"H3PO4",AY142&gt;0),AY142*Elektrolisis!$Q$13,IF(AND(C142="HF",AY142&gt;0),(Elektrolisis!$Q$13*0.0006)^0.5,IF(AND(C142="H3PO4",AY142&gt;0),(Elektrolisis!$Q$13*0.00075)^0.5,"")))</f>
        <v>1</v>
      </c>
      <c r="BB142" s="5">
        <v>2</v>
      </c>
      <c r="BC142" s="310" t="str">
        <f>IF(AX142=Elektrolisis!$M$7,IF(BB142=1,-LOG(BA142),IF(BB142=2,14+LOG(BA142),7)),"")</f>
        <v/>
      </c>
      <c r="BD142" s="313" t="str">
        <f>IF(AX142=Elektrolisis!$M$7,(Elektrolisis!$Q$14*Elektrolisis!$Q$15)/(96500*REAKSI!R142*REAKSI!AZ142),"")</f>
        <v/>
      </c>
      <c r="BE142" s="312" t="str">
        <f>IF(AX142=Elektrolisis!$M$7,IF(BA142&gt;BD142,BA142-BD142,IF(BA142&lt;=BD142,0.0000001)),"")</f>
        <v/>
      </c>
      <c r="BF142" s="310" t="str">
        <f>IF(AX142=Elektrolisis!$M$7,IF(BB142=1,-LOG(BE142),IF(BB142=2,14+LOG(BE142),7)),"")</f>
        <v/>
      </c>
    </row>
    <row r="143" spans="1:58" ht="18.95" customHeight="1" x14ac:dyDescent="0.35">
      <c r="A143">
        <v>23</v>
      </c>
      <c r="B143" s="4">
        <v>141</v>
      </c>
      <c r="C143" s="4" t="s">
        <v>186</v>
      </c>
      <c r="E143" s="256" t="s">
        <v>632</v>
      </c>
      <c r="F143" s="71" t="s">
        <v>104</v>
      </c>
      <c r="H143" s="71" t="s">
        <v>128</v>
      </c>
      <c r="I143" s="71" t="s">
        <v>434</v>
      </c>
      <c r="J143" s="71" t="s">
        <v>337</v>
      </c>
      <c r="K143" s="221" t="s">
        <v>428</v>
      </c>
      <c r="L143" s="2"/>
      <c r="M143" s="4" t="s">
        <v>235</v>
      </c>
      <c r="N143" s="4">
        <v>1</v>
      </c>
      <c r="O143" s="4">
        <v>107.9</v>
      </c>
      <c r="P143" s="4"/>
      <c r="Q143" s="92" t="s">
        <v>236</v>
      </c>
      <c r="R143" s="4">
        <v>2</v>
      </c>
      <c r="S143" s="4">
        <v>2</v>
      </c>
      <c r="T143" s="4" t="s">
        <v>211</v>
      </c>
      <c r="U143" s="4">
        <f t="shared" si="11"/>
        <v>2</v>
      </c>
      <c r="V143" s="4">
        <v>141</v>
      </c>
      <c r="W143" s="2" t="s">
        <v>72</v>
      </c>
      <c r="X143" s="2" t="s">
        <v>76</v>
      </c>
      <c r="Y143" s="2" t="s">
        <v>110</v>
      </c>
      <c r="Z143" s="2" t="s">
        <v>73</v>
      </c>
      <c r="AA143" s="2" t="s">
        <v>127</v>
      </c>
      <c r="AB143" s="2"/>
      <c r="AC143" s="273" t="s">
        <v>68</v>
      </c>
      <c r="AD143" s="273" t="s">
        <v>255</v>
      </c>
      <c r="AE143" s="273" t="s">
        <v>242</v>
      </c>
      <c r="AF143" s="273" t="s">
        <v>259</v>
      </c>
      <c r="AG143" s="109"/>
      <c r="AH143" s="106">
        <f t="shared" si="12"/>
        <v>2</v>
      </c>
      <c r="AI143" s="106"/>
      <c r="AJ143" s="114"/>
      <c r="AK143" s="111"/>
      <c r="AN143" s="2"/>
      <c r="AP143" s="2"/>
      <c r="AU143" s="230" t="s">
        <v>375</v>
      </c>
      <c r="AV143" s="2"/>
      <c r="AW143" s="2"/>
      <c r="AX143" s="5">
        <v>141</v>
      </c>
      <c r="AY143" s="5">
        <v>1</v>
      </c>
      <c r="AZ143" s="309">
        <f>Elektrolisis!$Q$12</f>
        <v>1</v>
      </c>
      <c r="BA143" s="314">
        <f>IF(AND(C143&lt;&gt;"HF",C143&lt;&gt;"H3PO4",AY143&gt;0),AY143*Elektrolisis!$Q$13,IF(AND(C143="HF",AY143&gt;0),(Elektrolisis!$Q$13*0.0006)^0.5,IF(AND(C143="H3PO4",AY143&gt;0),(Elektrolisis!$Q$13*0.00075)^0.5,"")))</f>
        <v>1</v>
      </c>
      <c r="BB143" s="5">
        <v>2</v>
      </c>
      <c r="BC143" s="310" t="str">
        <f>IF(AX143=Elektrolisis!$M$7,IF(BB143=1,-LOG(BA143),IF(BB143=2,14+LOG(BA143),7)),"")</f>
        <v/>
      </c>
      <c r="BD143" s="313" t="str">
        <f>IF(AX143=Elektrolisis!$M$7,(Elektrolisis!$Q$14*Elektrolisis!$Q$15)/(96500*REAKSI!R143*REAKSI!AZ143),"")</f>
        <v/>
      </c>
      <c r="BE143" s="312" t="str">
        <f>IF(AX143=Elektrolisis!$M$7,IF(BA143&gt;BD143,BA143-BD143,IF(BA143&lt;=BD143,0.0000001)),"")</f>
        <v/>
      </c>
      <c r="BF143" s="310" t="str">
        <f>IF(AX143=Elektrolisis!$M$7,IF(BB143=1,-LOG(BE143),IF(BB143=2,14+LOG(BE143),7)),"")</f>
        <v/>
      </c>
    </row>
    <row r="144" spans="1:58" ht="18.95" customHeight="1" x14ac:dyDescent="0.35">
      <c r="A144">
        <v>24</v>
      </c>
      <c r="B144" s="4">
        <v>142</v>
      </c>
      <c r="C144" s="4" t="s">
        <v>187</v>
      </c>
      <c r="E144" s="256" t="s">
        <v>633</v>
      </c>
      <c r="F144" s="71" t="s">
        <v>104</v>
      </c>
      <c r="H144" s="71" t="s">
        <v>129</v>
      </c>
      <c r="I144" s="71" t="s">
        <v>434</v>
      </c>
      <c r="J144" s="71" t="s">
        <v>337</v>
      </c>
      <c r="K144" s="221" t="s">
        <v>428</v>
      </c>
      <c r="L144" s="2"/>
      <c r="M144" s="4" t="s">
        <v>235</v>
      </c>
      <c r="N144" s="4">
        <v>1</v>
      </c>
      <c r="O144" s="4">
        <v>107.9</v>
      </c>
      <c r="P144" s="4"/>
      <c r="Q144" s="92" t="s">
        <v>236</v>
      </c>
      <c r="R144" s="4">
        <v>2</v>
      </c>
      <c r="S144" s="4">
        <v>2</v>
      </c>
      <c r="T144" s="4" t="s">
        <v>211</v>
      </c>
      <c r="U144" s="4">
        <f t="shared" si="11"/>
        <v>2</v>
      </c>
      <c r="V144" s="4">
        <v>142</v>
      </c>
      <c r="W144" s="2" t="s">
        <v>72</v>
      </c>
      <c r="X144" s="2" t="s">
        <v>76</v>
      </c>
      <c r="Y144" s="2" t="s">
        <v>110</v>
      </c>
      <c r="Z144" s="2" t="s">
        <v>73</v>
      </c>
      <c r="AA144" s="2" t="s">
        <v>118</v>
      </c>
      <c r="AB144" s="2"/>
      <c r="AC144" s="273" t="s">
        <v>68</v>
      </c>
      <c r="AD144" s="273" t="s">
        <v>255</v>
      </c>
      <c r="AE144" s="273" t="s">
        <v>242</v>
      </c>
      <c r="AF144" s="273" t="s">
        <v>259</v>
      </c>
      <c r="AG144" s="109"/>
      <c r="AH144" s="106">
        <f t="shared" si="12"/>
        <v>2</v>
      </c>
      <c r="AI144" s="106"/>
      <c r="AJ144" s="114"/>
      <c r="AK144" s="111"/>
      <c r="AN144" s="2"/>
      <c r="AP144" s="2"/>
      <c r="AU144" s="230" t="s">
        <v>376</v>
      </c>
      <c r="AV144" s="2"/>
      <c r="AW144" s="2"/>
      <c r="AX144" s="5">
        <v>142</v>
      </c>
      <c r="AY144" s="5">
        <v>2</v>
      </c>
      <c r="AZ144" s="309">
        <f>Elektrolisis!$Q$12</f>
        <v>1</v>
      </c>
      <c r="BA144" s="314">
        <f>IF(AND(C144&lt;&gt;"HF",C144&lt;&gt;"H3PO4",AY144&gt;0),AY144*Elektrolisis!$Q$13,IF(AND(C144="HF",AY144&gt;0),(Elektrolisis!$Q$13*0.0006)^0.5,IF(AND(C144="H3PO4",AY144&gt;0),(Elektrolisis!$Q$13*0.00075)^0.5,"")))</f>
        <v>2</v>
      </c>
      <c r="BB144" s="5">
        <v>2</v>
      </c>
      <c r="BC144" s="310" t="str">
        <f>IF(AX144=Elektrolisis!$M$7,IF(BB144=1,-LOG(BA144),IF(BB144=2,14+LOG(BA144),7)),"")</f>
        <v/>
      </c>
      <c r="BD144" s="313" t="str">
        <f>IF(AX144=Elektrolisis!$M$7,(Elektrolisis!$Q$14*Elektrolisis!$Q$15)/(96500*REAKSI!R144*REAKSI!AZ144),"")</f>
        <v/>
      </c>
      <c r="BE144" s="312" t="str">
        <f>IF(AX144=Elektrolisis!$M$7,IF(BA144&gt;BD144,BA144-BD144,IF(BA144&lt;=BD144,0.0000001)),"")</f>
        <v/>
      </c>
      <c r="BF144" s="310" t="str">
        <f>IF(AX144=Elektrolisis!$M$7,IF(BB144=1,-LOG(BE144),IF(BB144=2,14+LOG(BE144),7)),"")</f>
        <v/>
      </c>
    </row>
    <row r="145" spans="1:58" ht="18.95" customHeight="1" x14ac:dyDescent="0.35">
      <c r="A145">
        <v>25</v>
      </c>
      <c r="B145" s="4">
        <v>143</v>
      </c>
      <c r="C145" s="4" t="s">
        <v>188</v>
      </c>
      <c r="E145" s="256" t="s">
        <v>634</v>
      </c>
      <c r="F145" s="71" t="s">
        <v>104</v>
      </c>
      <c r="H145" s="71" t="s">
        <v>130</v>
      </c>
      <c r="I145" s="71" t="s">
        <v>434</v>
      </c>
      <c r="J145" s="71" t="s">
        <v>337</v>
      </c>
      <c r="K145" s="221" t="s">
        <v>428</v>
      </c>
      <c r="L145" s="2"/>
      <c r="M145" s="4" t="s">
        <v>235</v>
      </c>
      <c r="N145" s="4">
        <v>1</v>
      </c>
      <c r="O145" s="4">
        <v>107.9</v>
      </c>
      <c r="P145" s="4"/>
      <c r="Q145" s="92" t="s">
        <v>236</v>
      </c>
      <c r="R145" s="4">
        <v>2</v>
      </c>
      <c r="S145" s="4">
        <v>2</v>
      </c>
      <c r="T145" s="4" t="s">
        <v>211</v>
      </c>
      <c r="U145" s="4">
        <f t="shared" si="11"/>
        <v>2</v>
      </c>
      <c r="V145" s="4">
        <v>143</v>
      </c>
      <c r="W145" s="2" t="s">
        <v>72</v>
      </c>
      <c r="X145" s="2" t="s">
        <v>76</v>
      </c>
      <c r="Y145" s="2" t="s">
        <v>110</v>
      </c>
      <c r="Z145" s="2" t="s">
        <v>73</v>
      </c>
      <c r="AA145" s="2" t="s">
        <v>135</v>
      </c>
      <c r="AB145" s="2"/>
      <c r="AC145" s="273" t="s">
        <v>68</v>
      </c>
      <c r="AD145" s="273" t="s">
        <v>255</v>
      </c>
      <c r="AE145" s="273" t="s">
        <v>242</v>
      </c>
      <c r="AF145" s="273" t="s">
        <v>259</v>
      </c>
      <c r="AG145" s="109"/>
      <c r="AH145" s="106">
        <f t="shared" si="12"/>
        <v>2</v>
      </c>
      <c r="AI145" s="106"/>
      <c r="AJ145" s="114"/>
      <c r="AK145" s="111"/>
      <c r="AN145" s="2"/>
      <c r="AP145" s="2"/>
      <c r="AU145" s="230" t="s">
        <v>377</v>
      </c>
      <c r="AV145" s="2"/>
      <c r="AW145" s="2"/>
      <c r="AX145" s="5">
        <v>143</v>
      </c>
      <c r="AY145" s="5">
        <v>2</v>
      </c>
      <c r="AZ145" s="309">
        <f>Elektrolisis!$Q$12</f>
        <v>1</v>
      </c>
      <c r="BA145" s="314">
        <f>IF(AND(C145&lt;&gt;"HF",C145&lt;&gt;"H3PO4",AY145&gt;0),AY145*Elektrolisis!$Q$13,IF(AND(C145="HF",AY145&gt;0),(Elektrolisis!$Q$13*0.0006)^0.5,IF(AND(C145="H3PO4",AY145&gt;0),(Elektrolisis!$Q$13*0.00075)^0.5,"")))</f>
        <v>2</v>
      </c>
      <c r="BB145" s="5">
        <v>2</v>
      </c>
      <c r="BC145" s="310" t="str">
        <f>IF(AX145=Elektrolisis!$M$7,IF(BB145=1,-LOG(BA145),IF(BB145=2,14+LOG(BA145),7)),"")</f>
        <v/>
      </c>
      <c r="BD145" s="313" t="str">
        <f>IF(AX145=Elektrolisis!$M$7,(Elektrolisis!$Q$14*Elektrolisis!$Q$15)/(96500*REAKSI!R145*REAKSI!AZ145),"")</f>
        <v/>
      </c>
      <c r="BE145" s="312" t="str">
        <f>IF(AX145=Elektrolisis!$M$7,IF(BA145&gt;BD145,BA145-BD145,IF(BA145&lt;=BD145,0.0000001)),"")</f>
        <v/>
      </c>
      <c r="BF145" s="310" t="str">
        <f>IF(AX145=Elektrolisis!$M$7,IF(BB145=1,-LOG(BE145),IF(BB145=2,14+LOG(BE145),7)),"")</f>
        <v/>
      </c>
    </row>
    <row r="146" spans="1:58" ht="18.95" customHeight="1" x14ac:dyDescent="0.35">
      <c r="A146">
        <v>26</v>
      </c>
      <c r="B146" s="4">
        <v>144</v>
      </c>
      <c r="C146" s="4" t="s">
        <v>189</v>
      </c>
      <c r="E146" s="256" t="s">
        <v>635</v>
      </c>
      <c r="F146" s="71" t="s">
        <v>104</v>
      </c>
      <c r="H146" s="71" t="s">
        <v>131</v>
      </c>
      <c r="I146" s="71" t="s">
        <v>434</v>
      </c>
      <c r="J146" s="71" t="s">
        <v>337</v>
      </c>
      <c r="K146" s="221" t="s">
        <v>428</v>
      </c>
      <c r="L146" s="2"/>
      <c r="M146" s="4" t="s">
        <v>235</v>
      </c>
      <c r="N146" s="4">
        <v>1</v>
      </c>
      <c r="O146" s="4">
        <v>107.9</v>
      </c>
      <c r="P146" s="4"/>
      <c r="Q146" s="92" t="s">
        <v>236</v>
      </c>
      <c r="R146" s="4">
        <v>2</v>
      </c>
      <c r="S146" s="4">
        <v>2</v>
      </c>
      <c r="T146" s="4" t="s">
        <v>211</v>
      </c>
      <c r="U146" s="4">
        <f t="shared" si="11"/>
        <v>2</v>
      </c>
      <c r="V146" s="4">
        <v>144</v>
      </c>
      <c r="W146" s="2" t="s">
        <v>72</v>
      </c>
      <c r="X146" s="2" t="s">
        <v>76</v>
      </c>
      <c r="Y146" s="2" t="s">
        <v>110</v>
      </c>
      <c r="Z146" s="2" t="s">
        <v>73</v>
      </c>
      <c r="AA146" s="2" t="s">
        <v>134</v>
      </c>
      <c r="AB146" s="2"/>
      <c r="AC146" s="273" t="s">
        <v>68</v>
      </c>
      <c r="AD146" s="273" t="s">
        <v>255</v>
      </c>
      <c r="AE146" s="273" t="s">
        <v>242</v>
      </c>
      <c r="AF146" s="273" t="s">
        <v>259</v>
      </c>
      <c r="AG146" s="109"/>
      <c r="AH146" s="106">
        <f t="shared" si="12"/>
        <v>2</v>
      </c>
      <c r="AI146" s="106"/>
      <c r="AJ146" s="114"/>
      <c r="AK146" s="111"/>
      <c r="AN146" s="2"/>
      <c r="AP146" s="2"/>
      <c r="AU146" s="230" t="s">
        <v>378</v>
      </c>
      <c r="AV146" s="2"/>
      <c r="AW146" s="2"/>
      <c r="AX146" s="5">
        <v>144</v>
      </c>
      <c r="AY146" s="5">
        <v>2</v>
      </c>
      <c r="AZ146" s="309">
        <f>Elektrolisis!$Q$12</f>
        <v>1</v>
      </c>
      <c r="BA146" s="314">
        <f>IF(AND(C146&lt;&gt;"HF",C146&lt;&gt;"H3PO4",AY146&gt;0),AY146*Elektrolisis!$Q$13,IF(AND(C146="HF",AY146&gt;0),(Elektrolisis!$Q$13*0.0006)^0.5,IF(AND(C146="H3PO4",AY146&gt;0),(Elektrolisis!$Q$13*0.00075)^0.5,"")))</f>
        <v>2</v>
      </c>
      <c r="BB146" s="5">
        <v>2</v>
      </c>
      <c r="BC146" s="310" t="str">
        <f>IF(AX146=Elektrolisis!$M$7,IF(BB146=1,-LOG(BA146),IF(BB146=2,14+LOG(BA146),7)),"")</f>
        <v/>
      </c>
      <c r="BD146" s="313" t="str">
        <f>IF(AX146=Elektrolisis!$M$7,(Elektrolisis!$Q$14*Elektrolisis!$Q$15)/(96500*REAKSI!R146*REAKSI!AZ146),"")</f>
        <v/>
      </c>
      <c r="BE146" s="312" t="str">
        <f>IF(AX146=Elektrolisis!$M$7,IF(BA146&gt;BD146,BA146-BD146,IF(BA146&lt;=BD146,0.0000001)),"")</f>
        <v/>
      </c>
      <c r="BF146" s="310" t="str">
        <f>IF(AX146=Elektrolisis!$M$7,IF(BB146=1,-LOG(BE146),IF(BB146=2,14+LOG(BE146),7)),"")</f>
        <v/>
      </c>
    </row>
    <row r="147" spans="1:58" ht="18.95" customHeight="1" x14ac:dyDescent="0.35">
      <c r="A147">
        <v>27</v>
      </c>
      <c r="B147" s="4">
        <v>145</v>
      </c>
      <c r="C147" s="4" t="s">
        <v>190</v>
      </c>
      <c r="E147" s="256" t="s">
        <v>636</v>
      </c>
      <c r="F147" s="71" t="s">
        <v>104</v>
      </c>
      <c r="H147" s="71" t="s">
        <v>132</v>
      </c>
      <c r="I147" s="71" t="s">
        <v>434</v>
      </c>
      <c r="J147" s="71" t="s">
        <v>337</v>
      </c>
      <c r="K147" s="221" t="s">
        <v>428</v>
      </c>
      <c r="L147" s="2"/>
      <c r="M147" s="4" t="s">
        <v>235</v>
      </c>
      <c r="N147" s="4">
        <v>1</v>
      </c>
      <c r="O147" s="4">
        <v>107.9</v>
      </c>
      <c r="P147" s="4"/>
      <c r="Q147" s="92" t="s">
        <v>236</v>
      </c>
      <c r="R147" s="4">
        <v>2</v>
      </c>
      <c r="S147" s="4">
        <v>2</v>
      </c>
      <c r="T147" s="4" t="s">
        <v>211</v>
      </c>
      <c r="U147" s="4">
        <f t="shared" si="11"/>
        <v>2</v>
      </c>
      <c r="V147" s="4">
        <v>145</v>
      </c>
      <c r="W147" s="2" t="s">
        <v>72</v>
      </c>
      <c r="X147" s="2" t="s">
        <v>76</v>
      </c>
      <c r="Y147" s="2" t="s">
        <v>110</v>
      </c>
      <c r="Z147" s="2" t="s">
        <v>73</v>
      </c>
      <c r="AA147" s="2" t="s">
        <v>119</v>
      </c>
      <c r="AB147" s="2"/>
      <c r="AC147" s="273" t="s">
        <v>68</v>
      </c>
      <c r="AD147" s="273" t="s">
        <v>255</v>
      </c>
      <c r="AE147" s="273" t="s">
        <v>242</v>
      </c>
      <c r="AF147" s="273" t="s">
        <v>259</v>
      </c>
      <c r="AG147" s="109"/>
      <c r="AH147" s="106">
        <f t="shared" si="12"/>
        <v>2</v>
      </c>
      <c r="AI147" s="106"/>
      <c r="AJ147" s="114"/>
      <c r="AK147" s="111"/>
      <c r="AN147" s="2"/>
      <c r="AP147" s="2"/>
      <c r="AU147" s="230" t="s">
        <v>379</v>
      </c>
      <c r="AV147" s="2"/>
      <c r="AW147" s="2"/>
      <c r="AX147" s="5">
        <v>145</v>
      </c>
      <c r="AY147" s="5">
        <v>2</v>
      </c>
      <c r="AZ147" s="309">
        <f>Elektrolisis!$Q$12</f>
        <v>1</v>
      </c>
      <c r="BA147" s="314">
        <f>IF(AND(C147&lt;&gt;"HF",C147&lt;&gt;"H3PO4",AY147&gt;0),AY147*Elektrolisis!$Q$13,IF(AND(C147="HF",AY147&gt;0),(Elektrolisis!$Q$13*0.0006)^0.5,IF(AND(C147="H3PO4",AY147&gt;0),(Elektrolisis!$Q$13*0.00075)^0.5,"")))</f>
        <v>2</v>
      </c>
      <c r="BB147" s="5">
        <v>2</v>
      </c>
      <c r="BC147" s="310" t="str">
        <f>IF(AX147=Elektrolisis!$M$7,IF(BB147=1,-LOG(BA147),IF(BB147=2,14+LOG(BA147),7)),"")</f>
        <v/>
      </c>
      <c r="BD147" s="313" t="str">
        <f>IF(AX147=Elektrolisis!$M$7,(Elektrolisis!$Q$14*Elektrolisis!$Q$15)/(96500*REAKSI!R147*REAKSI!AZ147),"")</f>
        <v/>
      </c>
      <c r="BE147" s="312" t="str">
        <f>IF(AX147=Elektrolisis!$M$7,IF(BA147&gt;BD147,BA147-BD147,IF(BA147&lt;=BD147,0.0000001)),"")</f>
        <v/>
      </c>
      <c r="BF147" s="310" t="str">
        <f>IF(AX147=Elektrolisis!$M$7,IF(BB147=1,-LOG(BE147),IF(BB147=2,14+LOG(BE147),7)),"")</f>
        <v/>
      </c>
    </row>
    <row r="148" spans="1:58" ht="18.95" customHeight="1" x14ac:dyDescent="0.35">
      <c r="A148">
        <v>28</v>
      </c>
      <c r="B148" s="4">
        <v>146</v>
      </c>
      <c r="C148" s="4" t="s">
        <v>191</v>
      </c>
      <c r="E148" s="256" t="s">
        <v>637</v>
      </c>
      <c r="F148" s="71" t="s">
        <v>104</v>
      </c>
      <c r="H148" s="71" t="s">
        <v>133</v>
      </c>
      <c r="I148" s="71" t="s">
        <v>434</v>
      </c>
      <c r="J148" s="71" t="s">
        <v>337</v>
      </c>
      <c r="K148" s="221" t="s">
        <v>428</v>
      </c>
      <c r="L148" s="2"/>
      <c r="M148" s="4" t="s">
        <v>235</v>
      </c>
      <c r="N148" s="4">
        <v>1</v>
      </c>
      <c r="O148" s="4">
        <v>107.9</v>
      </c>
      <c r="P148" s="4"/>
      <c r="Q148" s="92" t="s">
        <v>236</v>
      </c>
      <c r="R148" s="4">
        <v>2</v>
      </c>
      <c r="S148" s="4">
        <v>2</v>
      </c>
      <c r="T148" s="4" t="s">
        <v>211</v>
      </c>
      <c r="U148" s="4">
        <f t="shared" si="11"/>
        <v>2</v>
      </c>
      <c r="V148" s="4">
        <v>146</v>
      </c>
      <c r="W148" s="2" t="s">
        <v>72</v>
      </c>
      <c r="X148" s="2" t="s">
        <v>76</v>
      </c>
      <c r="Y148" s="2" t="s">
        <v>110</v>
      </c>
      <c r="Z148" s="2" t="s">
        <v>73</v>
      </c>
      <c r="AA148" s="2" t="s">
        <v>120</v>
      </c>
      <c r="AB148" s="2"/>
      <c r="AC148" s="273" t="s">
        <v>68</v>
      </c>
      <c r="AD148" s="273" t="s">
        <v>255</v>
      </c>
      <c r="AE148" s="273" t="s">
        <v>242</v>
      </c>
      <c r="AF148" s="273" t="s">
        <v>259</v>
      </c>
      <c r="AG148" s="109"/>
      <c r="AH148" s="106">
        <f t="shared" si="12"/>
        <v>2</v>
      </c>
      <c r="AI148" s="106"/>
      <c r="AJ148" s="114"/>
      <c r="AK148" s="111"/>
      <c r="AN148" s="2"/>
      <c r="AP148" s="2"/>
      <c r="AU148" s="230" t="s">
        <v>380</v>
      </c>
      <c r="AV148" s="2"/>
      <c r="AW148" s="2"/>
      <c r="AX148" s="5">
        <v>146</v>
      </c>
      <c r="AY148" s="5">
        <v>2</v>
      </c>
      <c r="AZ148" s="309">
        <f>Elektrolisis!$Q$12</f>
        <v>1</v>
      </c>
      <c r="BA148" s="314">
        <f>IF(AND(C148&lt;&gt;"HF",C148&lt;&gt;"H3PO4",AY148&gt;0),AY148*Elektrolisis!$Q$13,IF(AND(C148="HF",AY148&gt;0),(Elektrolisis!$Q$13*0.0006)^0.5,IF(AND(C148="H3PO4",AY148&gt;0),(Elektrolisis!$Q$13*0.00075)^0.5,"")))</f>
        <v>2</v>
      </c>
      <c r="BB148" s="5">
        <v>2</v>
      </c>
      <c r="BC148" s="310" t="str">
        <f>IF(AX148=Elektrolisis!$M$7,IF(BB148=1,-LOG(BA148),IF(BB148=2,14+LOG(BA148),7)),"")</f>
        <v/>
      </c>
      <c r="BD148" s="313" t="str">
        <f>IF(AX148=Elektrolisis!$M$7,(Elektrolisis!$Q$14*Elektrolisis!$Q$15)/(96500*REAKSI!R148*REAKSI!AZ148),"")</f>
        <v/>
      </c>
      <c r="BE148" s="312" t="str">
        <f>IF(AX148=Elektrolisis!$M$7,IF(BA148&gt;BD148,BA148-BD148,IF(BA148&lt;=BD148,0.0000001)),"")</f>
        <v/>
      </c>
      <c r="BF148" s="310" t="str">
        <f>IF(AX148=Elektrolisis!$M$7,IF(BB148=1,-LOG(BE148),IF(BB148=2,14+LOG(BE148),7)),"")</f>
        <v/>
      </c>
    </row>
    <row r="149" spans="1:58" ht="18.95" customHeight="1" x14ac:dyDescent="0.35">
      <c r="A149">
        <v>29</v>
      </c>
      <c r="B149" s="4">
        <v>147</v>
      </c>
      <c r="C149" s="4" t="s">
        <v>13</v>
      </c>
      <c r="E149" s="256" t="s">
        <v>662</v>
      </c>
      <c r="F149" s="71"/>
      <c r="H149" s="71" t="s">
        <v>26</v>
      </c>
      <c r="I149" s="71" t="s">
        <v>434</v>
      </c>
      <c r="J149" s="71" t="s">
        <v>440</v>
      </c>
      <c r="K149" s="221" t="s">
        <v>514</v>
      </c>
      <c r="L149" s="2"/>
      <c r="M149" s="4" t="s">
        <v>235</v>
      </c>
      <c r="N149" s="4">
        <v>1</v>
      </c>
      <c r="O149" s="4">
        <v>107.9</v>
      </c>
      <c r="P149" s="4"/>
      <c r="Q149" s="92" t="s">
        <v>197</v>
      </c>
      <c r="R149" s="4">
        <v>2</v>
      </c>
      <c r="S149" s="4">
        <v>63.55</v>
      </c>
      <c r="T149" s="4"/>
      <c r="U149" s="4">
        <f t="shared" si="11"/>
        <v>0</v>
      </c>
      <c r="V149" s="4">
        <v>147</v>
      </c>
      <c r="W149" s="2" t="s">
        <v>72</v>
      </c>
      <c r="X149" s="2" t="s">
        <v>77</v>
      </c>
      <c r="Y149" s="2" t="s">
        <v>110</v>
      </c>
      <c r="Z149" s="2" t="s">
        <v>73</v>
      </c>
      <c r="AA149" s="2" t="s">
        <v>78</v>
      </c>
      <c r="AB149" s="2"/>
      <c r="AC149" s="273" t="s">
        <v>68</v>
      </c>
      <c r="AD149" s="273" t="s">
        <v>255</v>
      </c>
      <c r="AE149" s="273" t="s">
        <v>245</v>
      </c>
      <c r="AF149" s="273" t="s">
        <v>3</v>
      </c>
      <c r="AG149" s="109"/>
      <c r="AH149" s="106">
        <f t="shared" si="12"/>
        <v>0</v>
      </c>
      <c r="AI149" s="106"/>
      <c r="AJ149" s="114"/>
      <c r="AK149" s="111"/>
      <c r="AN149" s="2"/>
      <c r="AP149" s="2"/>
      <c r="AU149" s="71" t="s">
        <v>592</v>
      </c>
      <c r="AV149" s="2"/>
      <c r="AW149" s="2"/>
      <c r="AX149" s="5">
        <v>147</v>
      </c>
      <c r="AY149" s="5">
        <v>0</v>
      </c>
      <c r="AZ149" s="309">
        <f>Elektrolisis!$Q$12</f>
        <v>1</v>
      </c>
      <c r="BA149" s="314" t="str">
        <f>IF(AND(C149&lt;&gt;"HF",C149&lt;&gt;"H3PO4",AY149&gt;0),AY149*Elektrolisis!$Q$13,IF(AND(C149="HF",AY149&gt;0),(Elektrolisis!$Q$13*0.0006)^0.5,IF(AND(C149="H3PO4",AY149&gt;0),(Elektrolisis!$Q$13*0.00075)^0.5,"")))</f>
        <v/>
      </c>
      <c r="BB149" s="5">
        <v>0</v>
      </c>
      <c r="BC149" s="310" t="str">
        <f>IF(AX149=Elektrolisis!$M$7,IF(BB149=1,-LOG(BA149),IF(BB149=2,14+LOG(BA149),7)),"")</f>
        <v/>
      </c>
      <c r="BD149" s="313" t="str">
        <f>IF(AX149=Elektrolisis!$M$7,(Elektrolisis!$Q$14*Elektrolisis!$Q$15)/(96500*REAKSI!R149*REAKSI!AZ149),"")</f>
        <v/>
      </c>
      <c r="BE149" s="312" t="str">
        <f>IF(AX149=Elektrolisis!$M$7,IF(BA149&gt;BD149,BA149-BD149,IF(BA149&lt;=BD149,0.0000001)),"")</f>
        <v/>
      </c>
      <c r="BF149" s="310" t="str">
        <f>IF(AX149=Elektrolisis!$M$7,IF(BB149=1,-LOG(BE149),IF(BB149=2,14+LOG(BE149),7)),"")</f>
        <v/>
      </c>
    </row>
    <row r="150" spans="1:58" ht="18.95" customHeight="1" x14ac:dyDescent="0.35">
      <c r="A150">
        <v>30</v>
      </c>
      <c r="B150" s="4">
        <v>148</v>
      </c>
      <c r="C150" s="4" t="s">
        <v>192</v>
      </c>
      <c r="E150" s="256" t="s">
        <v>638</v>
      </c>
      <c r="F150" s="71"/>
      <c r="H150" s="71" t="s">
        <v>136</v>
      </c>
      <c r="I150" s="71" t="s">
        <v>434</v>
      </c>
      <c r="J150" s="71" t="s">
        <v>452</v>
      </c>
      <c r="K150" s="221" t="s">
        <v>515</v>
      </c>
      <c r="L150" s="2"/>
      <c r="M150" s="4" t="s">
        <v>235</v>
      </c>
      <c r="N150" s="4">
        <v>1</v>
      </c>
      <c r="O150" s="4">
        <v>107.9</v>
      </c>
      <c r="P150" s="4"/>
      <c r="Q150" s="92" t="s">
        <v>202</v>
      </c>
      <c r="R150" s="4">
        <v>1</v>
      </c>
      <c r="S150" s="4">
        <v>107.9</v>
      </c>
      <c r="T150" s="4"/>
      <c r="U150" s="4">
        <f t="shared" si="11"/>
        <v>0</v>
      </c>
      <c r="V150" s="4">
        <v>148</v>
      </c>
      <c r="W150" s="2" t="s">
        <v>72</v>
      </c>
      <c r="X150" s="2" t="s">
        <v>77</v>
      </c>
      <c r="Y150" s="2" t="s">
        <v>110</v>
      </c>
      <c r="Z150" s="2" t="s">
        <v>73</v>
      </c>
      <c r="AA150" s="2" t="s">
        <v>140</v>
      </c>
      <c r="AB150" s="2"/>
      <c r="AC150" s="273" t="s">
        <v>68</v>
      </c>
      <c r="AD150" s="273" t="s">
        <v>255</v>
      </c>
      <c r="AE150" s="273" t="s">
        <v>255</v>
      </c>
      <c r="AF150" s="273" t="s">
        <v>68</v>
      </c>
      <c r="AG150" s="109"/>
      <c r="AH150" s="106">
        <f t="shared" si="12"/>
        <v>0</v>
      </c>
      <c r="AI150" s="106"/>
      <c r="AJ150" s="114"/>
      <c r="AK150" s="111"/>
      <c r="AN150" s="2"/>
      <c r="AP150" s="2"/>
      <c r="AU150" s="71" t="s">
        <v>381</v>
      </c>
      <c r="AV150" s="2"/>
      <c r="AW150" s="2"/>
      <c r="AX150" s="5">
        <v>148</v>
      </c>
      <c r="AY150" s="5">
        <v>0</v>
      </c>
      <c r="AZ150" s="309">
        <f>Elektrolisis!$Q$12</f>
        <v>1</v>
      </c>
      <c r="BA150" s="314" t="str">
        <f>IF(AND(C150&lt;&gt;"HF",C150&lt;&gt;"H3PO4",AY150&gt;0),AY150*Elektrolisis!$Q$13,IF(AND(C150="HF",AY150&gt;0),(Elektrolisis!$Q$13*0.0006)^0.5,IF(AND(C150="H3PO4",AY150&gt;0),(Elektrolisis!$Q$13*0.00075)^0.5,"")))</f>
        <v/>
      </c>
      <c r="BB150" s="5">
        <v>0</v>
      </c>
      <c r="BC150" s="310" t="str">
        <f>IF(AX150=Elektrolisis!$M$7,IF(BB150=1,-LOG(BA150),IF(BB150=2,14+LOG(BA150),7)),"")</f>
        <v/>
      </c>
      <c r="BD150" s="313" t="str">
        <f>IF(AX150=Elektrolisis!$M$7,(Elektrolisis!$Q$14*Elektrolisis!$Q$15)/(96500*REAKSI!R150*REAKSI!AZ150),"")</f>
        <v/>
      </c>
      <c r="BE150" s="312" t="str">
        <f>IF(AX150=Elektrolisis!$M$7,IF(BA150&gt;BD150,BA150-BD150,IF(BA150&lt;=BD150,0.0000001)),"")</f>
        <v/>
      </c>
      <c r="BF150" s="310" t="str">
        <f>IF(AX150=Elektrolisis!$M$7,IF(BB150=1,-LOG(BE150),IF(BB150=2,14+LOG(BE150),7)),"")</f>
        <v/>
      </c>
    </row>
    <row r="151" spans="1:58" ht="18.95" customHeight="1" x14ac:dyDescent="0.35">
      <c r="A151">
        <v>31</v>
      </c>
      <c r="B151" s="4">
        <v>149</v>
      </c>
      <c r="C151" s="4" t="s">
        <v>193</v>
      </c>
      <c r="E151" s="256" t="s">
        <v>639</v>
      </c>
      <c r="F151" s="71"/>
      <c r="H151" s="71" t="s">
        <v>137</v>
      </c>
      <c r="I151" s="71" t="s">
        <v>434</v>
      </c>
      <c r="J151" s="71" t="s">
        <v>453</v>
      </c>
      <c r="K151" s="221" t="s">
        <v>516</v>
      </c>
      <c r="L151" s="2"/>
      <c r="M151" s="4" t="s">
        <v>235</v>
      </c>
      <c r="N151" s="4">
        <v>1</v>
      </c>
      <c r="O151" s="4">
        <v>107.9</v>
      </c>
      <c r="P151" s="4"/>
      <c r="Q151" s="92" t="s">
        <v>205</v>
      </c>
      <c r="R151" s="4">
        <v>2</v>
      </c>
      <c r="S151" s="4">
        <v>58.69</v>
      </c>
      <c r="T151" s="4"/>
      <c r="U151" s="4">
        <f t="shared" si="11"/>
        <v>0</v>
      </c>
      <c r="V151" s="4">
        <v>149</v>
      </c>
      <c r="W151" s="2" t="s">
        <v>72</v>
      </c>
      <c r="X151" s="2" t="s">
        <v>111</v>
      </c>
      <c r="Y151" s="2" t="s">
        <v>110</v>
      </c>
      <c r="Z151" s="2" t="s">
        <v>73</v>
      </c>
      <c r="AA151" s="2" t="s">
        <v>141</v>
      </c>
      <c r="AB151" s="2"/>
      <c r="AC151" s="273" t="s">
        <v>68</v>
      </c>
      <c r="AD151" s="273" t="s">
        <v>255</v>
      </c>
      <c r="AE151" s="273" t="s">
        <v>261</v>
      </c>
      <c r="AF151" s="273" t="s">
        <v>86</v>
      </c>
      <c r="AG151" s="109"/>
      <c r="AH151" s="106">
        <f t="shared" si="12"/>
        <v>0</v>
      </c>
      <c r="AI151" s="106"/>
      <c r="AJ151" s="114"/>
      <c r="AK151" s="111"/>
      <c r="AN151" s="2"/>
      <c r="AP151" s="2"/>
      <c r="AU151" s="71" t="s">
        <v>382</v>
      </c>
      <c r="AV151" s="2"/>
      <c r="AW151" s="2"/>
      <c r="AX151" s="5">
        <v>149</v>
      </c>
      <c r="AY151" s="5">
        <v>0</v>
      </c>
      <c r="AZ151" s="309">
        <f>Elektrolisis!$Q$12</f>
        <v>1</v>
      </c>
      <c r="BA151" s="314" t="str">
        <f>IF(AND(C151&lt;&gt;"HF",C151&lt;&gt;"H3PO4",AY151&gt;0),AY151*Elektrolisis!$Q$13,IF(AND(C151="HF",AY151&gt;0),(Elektrolisis!$Q$13*0.0006)^0.5,IF(AND(C151="H3PO4",AY151&gt;0),(Elektrolisis!$Q$13*0.00075)^0.5,"")))</f>
        <v/>
      </c>
      <c r="BB151" s="5">
        <v>0</v>
      </c>
      <c r="BC151" s="310" t="str">
        <f>IF(AX151=Elektrolisis!$M$7,IF(BB151=1,-LOG(BA151),IF(BB151=2,14+LOG(BA151),7)),"")</f>
        <v/>
      </c>
      <c r="BD151" s="313" t="str">
        <f>IF(AX151=Elektrolisis!$M$7,(Elektrolisis!$Q$14*Elektrolisis!$Q$15)/(96500*REAKSI!R151*REAKSI!AZ151),"")</f>
        <v/>
      </c>
      <c r="BE151" s="312" t="str">
        <f>IF(AX151=Elektrolisis!$M$7,IF(BA151&gt;BD151,BA151-BD151,IF(BA151&lt;=BD151,0.0000001)),"")</f>
        <v/>
      </c>
      <c r="BF151" s="310" t="str">
        <f>IF(AX151=Elektrolisis!$M$7,IF(BB151=1,-LOG(BE151),IF(BB151=2,14+LOG(BE151),7)),"")</f>
        <v/>
      </c>
    </row>
    <row r="152" spans="1:58" ht="18.95" customHeight="1" x14ac:dyDescent="0.35">
      <c r="A152">
        <v>32</v>
      </c>
      <c r="B152" s="4">
        <v>150</v>
      </c>
      <c r="C152" s="4" t="s">
        <v>194</v>
      </c>
      <c r="E152" s="256" t="s">
        <v>640</v>
      </c>
      <c r="F152" s="71"/>
      <c r="H152" s="71" t="s">
        <v>383</v>
      </c>
      <c r="I152" s="71" t="s">
        <v>434</v>
      </c>
      <c r="J152" s="71" t="s">
        <v>440</v>
      </c>
      <c r="K152" s="221" t="s">
        <v>514</v>
      </c>
      <c r="L152" s="2"/>
      <c r="M152" s="4" t="s">
        <v>235</v>
      </c>
      <c r="N152" s="4">
        <v>1</v>
      </c>
      <c r="O152" s="4">
        <v>107.9</v>
      </c>
      <c r="P152" s="4"/>
      <c r="Q152" s="92" t="s">
        <v>197</v>
      </c>
      <c r="R152" s="4">
        <v>2</v>
      </c>
      <c r="S152" s="4">
        <v>63.55</v>
      </c>
      <c r="T152" s="4"/>
      <c r="U152" s="4">
        <f t="shared" si="11"/>
        <v>0</v>
      </c>
      <c r="V152" s="4">
        <v>150</v>
      </c>
      <c r="W152" s="2" t="s">
        <v>72</v>
      </c>
      <c r="X152" s="2" t="s">
        <v>101</v>
      </c>
      <c r="Y152" s="2" t="s">
        <v>110</v>
      </c>
      <c r="Z152" s="2" t="s">
        <v>73</v>
      </c>
      <c r="AA152" s="2" t="s">
        <v>78</v>
      </c>
      <c r="AB152" s="2"/>
      <c r="AC152" s="273" t="s">
        <v>68</v>
      </c>
      <c r="AD152" s="273" t="s">
        <v>255</v>
      </c>
      <c r="AE152" s="273" t="s">
        <v>245</v>
      </c>
      <c r="AF152" s="273" t="s">
        <v>3</v>
      </c>
      <c r="AG152" s="109"/>
      <c r="AH152" s="106">
        <f t="shared" si="12"/>
        <v>0</v>
      </c>
      <c r="AI152" s="106"/>
      <c r="AJ152" s="114"/>
      <c r="AK152" s="111"/>
      <c r="AN152" s="2"/>
      <c r="AP152" s="2"/>
      <c r="AU152" s="71" t="s">
        <v>384</v>
      </c>
      <c r="AV152" s="2"/>
      <c r="AW152" s="2"/>
      <c r="AX152" s="5">
        <v>150</v>
      </c>
      <c r="AY152" s="5">
        <v>0</v>
      </c>
      <c r="AZ152" s="309">
        <f>Elektrolisis!$Q$12</f>
        <v>1</v>
      </c>
      <c r="BA152" s="314" t="str">
        <f>IF(AND(C152&lt;&gt;"HF",C152&lt;&gt;"H3PO4",AY152&gt;0),AY152*Elektrolisis!$Q$13,IF(AND(C152="HF",AY152&gt;0),(Elektrolisis!$Q$13*0.0006)^0.5,IF(AND(C152="H3PO4",AY152&gt;0),(Elektrolisis!$Q$13*0.00075)^0.5,"")))</f>
        <v/>
      </c>
      <c r="BB152" s="5">
        <v>0</v>
      </c>
      <c r="BC152" s="310" t="str">
        <f>IF(AX152=Elektrolisis!$M$7,IF(BB152=1,-LOG(BA152),IF(BB152=2,14+LOG(BA152),7)),"")</f>
        <v/>
      </c>
      <c r="BD152" s="313" t="str">
        <f>IF(AX152=Elektrolisis!$M$7,(Elektrolisis!$Q$14*Elektrolisis!$Q$15)/(96500*REAKSI!R152*REAKSI!AZ152),"")</f>
        <v/>
      </c>
      <c r="BE152" s="312" t="str">
        <f>IF(AX152=Elektrolisis!$M$7,IF(BA152&gt;BD152,BA152-BD152,IF(BA152&lt;=BD152,0.0000001)),"")</f>
        <v/>
      </c>
      <c r="BF152" s="310" t="str">
        <f>IF(AX152=Elektrolisis!$M$7,IF(BB152=1,-LOG(BE152),IF(BB152=2,14+LOG(BE152),7)),"")</f>
        <v/>
      </c>
    </row>
    <row r="153" spans="1:58" ht="18.95" customHeight="1" x14ac:dyDescent="0.35">
      <c r="A153">
        <v>33</v>
      </c>
      <c r="B153" s="4">
        <v>151</v>
      </c>
      <c r="C153" s="4" t="s">
        <v>18</v>
      </c>
      <c r="E153" s="256" t="s">
        <v>641</v>
      </c>
      <c r="F153" s="71"/>
      <c r="H153" s="71" t="s">
        <v>138</v>
      </c>
      <c r="I153" s="71" t="s">
        <v>434</v>
      </c>
      <c r="J153" s="71" t="s">
        <v>445</v>
      </c>
      <c r="K153" s="221" t="s">
        <v>517</v>
      </c>
      <c r="L153" s="2"/>
      <c r="M153" s="4" t="s">
        <v>235</v>
      </c>
      <c r="N153" s="4">
        <v>1</v>
      </c>
      <c r="O153" s="4">
        <v>107.9</v>
      </c>
      <c r="P153" s="4"/>
      <c r="Q153" s="92" t="s">
        <v>201</v>
      </c>
      <c r="R153" s="4">
        <v>2</v>
      </c>
      <c r="S153" s="4">
        <v>65.39</v>
      </c>
      <c r="T153" s="4"/>
      <c r="U153" s="4">
        <f t="shared" si="11"/>
        <v>0</v>
      </c>
      <c r="V153" s="4">
        <v>151</v>
      </c>
      <c r="W153" s="2" t="s">
        <v>72</v>
      </c>
      <c r="X153" s="2" t="s">
        <v>77</v>
      </c>
      <c r="Y153" s="2" t="s">
        <v>110</v>
      </c>
      <c r="Z153" s="2" t="s">
        <v>73</v>
      </c>
      <c r="AA153" s="2" t="s">
        <v>142</v>
      </c>
      <c r="AB153" s="2"/>
      <c r="AC153" s="273" t="s">
        <v>68</v>
      </c>
      <c r="AD153" s="273" t="s">
        <v>255</v>
      </c>
      <c r="AE153" s="273" t="s">
        <v>253</v>
      </c>
      <c r="AF153" s="273" t="s">
        <v>50</v>
      </c>
      <c r="AG153" s="109"/>
      <c r="AH153" s="106">
        <f t="shared" si="12"/>
        <v>0</v>
      </c>
      <c r="AI153" s="106"/>
      <c r="AJ153" s="114"/>
      <c r="AK153" s="111"/>
      <c r="AN153" s="2"/>
      <c r="AP153" s="2"/>
      <c r="AU153" s="71" t="s">
        <v>385</v>
      </c>
      <c r="AV153" s="2"/>
      <c r="AW153" s="2"/>
      <c r="AX153" s="5">
        <v>151</v>
      </c>
      <c r="AY153" s="5">
        <v>0</v>
      </c>
      <c r="AZ153" s="309">
        <f>Elektrolisis!$Q$12</f>
        <v>1</v>
      </c>
      <c r="BA153" s="314" t="str">
        <f>IF(AND(C153&lt;&gt;"HF",C153&lt;&gt;"H3PO4",AY153&gt;0),AY153*Elektrolisis!$Q$13,IF(AND(C153="HF",AY153&gt;0),(Elektrolisis!$Q$13*0.0006)^0.5,IF(AND(C153="H3PO4",AY153&gt;0),(Elektrolisis!$Q$13*0.00075)^0.5,"")))</f>
        <v/>
      </c>
      <c r="BB153" s="5">
        <v>0</v>
      </c>
      <c r="BC153" s="310" t="str">
        <f>IF(AX153=Elektrolisis!$M$7,IF(BB153=1,-LOG(BA153),IF(BB153=2,14+LOG(BA153),7)),"")</f>
        <v/>
      </c>
      <c r="BD153" s="313" t="str">
        <f>IF(AX153=Elektrolisis!$M$7,(Elektrolisis!$Q$14*Elektrolisis!$Q$15)/(96500*REAKSI!R153*REAKSI!AZ153),"")</f>
        <v/>
      </c>
      <c r="BE153" s="312" t="str">
        <f>IF(AX153=Elektrolisis!$M$7,IF(BA153&gt;BD153,BA153-BD153,IF(BA153&lt;=BD153,0.0000001)),"")</f>
        <v/>
      </c>
      <c r="BF153" s="310" t="str">
        <f>IF(AX153=Elektrolisis!$M$7,IF(BB153=1,-LOG(BE153),IF(BB153=2,14+LOG(BE153),7)),"")</f>
        <v/>
      </c>
    </row>
    <row r="154" spans="1:58" ht="18.95" customHeight="1" x14ac:dyDescent="0.35">
      <c r="A154">
        <v>34</v>
      </c>
      <c r="B154" s="4">
        <v>152</v>
      </c>
      <c r="C154" s="4" t="s">
        <v>17</v>
      </c>
      <c r="E154" s="256" t="s">
        <v>266</v>
      </c>
      <c r="F154" s="71"/>
      <c r="H154" s="71" t="s">
        <v>225</v>
      </c>
      <c r="I154" s="71" t="s">
        <v>434</v>
      </c>
      <c r="J154" s="71" t="s">
        <v>443</v>
      </c>
      <c r="K154" s="221" t="s">
        <v>518</v>
      </c>
      <c r="L154" s="2"/>
      <c r="M154" s="4" t="s">
        <v>235</v>
      </c>
      <c r="N154" s="4">
        <v>1</v>
      </c>
      <c r="O154" s="4">
        <v>107.9</v>
      </c>
      <c r="P154" s="4"/>
      <c r="Q154" s="92" t="s">
        <v>200</v>
      </c>
      <c r="R154" s="4">
        <v>3</v>
      </c>
      <c r="S154" s="4">
        <v>52</v>
      </c>
      <c r="T154" s="4"/>
      <c r="U154" s="4">
        <v>0</v>
      </c>
      <c r="V154" s="4">
        <v>152</v>
      </c>
      <c r="W154" s="2" t="s">
        <v>227</v>
      </c>
      <c r="X154" s="2" t="s">
        <v>228</v>
      </c>
      <c r="Y154" s="2" t="s">
        <v>110</v>
      </c>
      <c r="Z154" s="2" t="s">
        <v>229</v>
      </c>
      <c r="AA154" s="2" t="s">
        <v>230</v>
      </c>
      <c r="AB154" s="2"/>
      <c r="AC154" s="273" t="s">
        <v>68</v>
      </c>
      <c r="AD154" s="273" t="s">
        <v>255</v>
      </c>
      <c r="AE154" s="273" t="s">
        <v>248</v>
      </c>
      <c r="AF154" s="273" t="s">
        <v>49</v>
      </c>
      <c r="AG154" s="109"/>
      <c r="AH154" s="106">
        <f t="shared" si="12"/>
        <v>0</v>
      </c>
      <c r="AI154" s="106"/>
      <c r="AJ154" s="114"/>
      <c r="AK154" s="111"/>
      <c r="AN154" s="2"/>
      <c r="AP154" s="2"/>
      <c r="AU154" s="71" t="s">
        <v>386</v>
      </c>
      <c r="AV154" s="2"/>
      <c r="AW154" s="2"/>
      <c r="AX154" s="5">
        <v>152</v>
      </c>
      <c r="AY154" s="5">
        <v>0</v>
      </c>
      <c r="AZ154" s="309">
        <f>Elektrolisis!$Q$12</f>
        <v>1</v>
      </c>
      <c r="BA154" s="314" t="str">
        <f>IF(AND(C154&lt;&gt;"HF",C154&lt;&gt;"H3PO4",AY154&gt;0),AY154*Elektrolisis!$Q$13,IF(AND(C154="HF",AY154&gt;0),(Elektrolisis!$Q$13*0.0006)^0.5,IF(AND(C154="H3PO4",AY154&gt;0),(Elektrolisis!$Q$13*0.00075)^0.5,"")))</f>
        <v/>
      </c>
      <c r="BB154" s="5">
        <v>0</v>
      </c>
      <c r="BC154" s="310" t="str">
        <f>IF(AX154=Elektrolisis!$M$7,IF(BB154=1,-LOG(BA154),IF(BB154=2,14+LOG(BA154),7)),"")</f>
        <v/>
      </c>
      <c r="BD154" s="313" t="str">
        <f>IF(AX154=Elektrolisis!$M$7,(Elektrolisis!$Q$14*Elektrolisis!$Q$15)/(96500*REAKSI!R154*REAKSI!AZ154),"")</f>
        <v/>
      </c>
      <c r="BE154" s="312" t="str">
        <f>IF(AX154=Elektrolisis!$M$7,IF(BA154&gt;BD154,BA154-BD154,IF(BA154&lt;=BD154,0.0000001)),"")</f>
        <v/>
      </c>
      <c r="BF154" s="310" t="str">
        <f>IF(AX154=Elektrolisis!$M$7,IF(BB154=1,-LOG(BE154),IF(BB154=2,14+LOG(BE154),7)),"")</f>
        <v/>
      </c>
    </row>
    <row r="155" spans="1:58" ht="18.95" customHeight="1" x14ac:dyDescent="0.35">
      <c r="A155">
        <v>35</v>
      </c>
      <c r="B155" s="4">
        <v>153</v>
      </c>
      <c r="C155" s="4" t="s">
        <v>196</v>
      </c>
      <c r="E155" s="256" t="s">
        <v>643</v>
      </c>
      <c r="F155" s="71"/>
      <c r="H155" s="71" t="s">
        <v>139</v>
      </c>
      <c r="I155" s="71" t="s">
        <v>434</v>
      </c>
      <c r="J155" s="71" t="s">
        <v>454</v>
      </c>
      <c r="K155" s="221" t="s">
        <v>519</v>
      </c>
      <c r="L155" s="2"/>
      <c r="M155" s="4" t="s">
        <v>235</v>
      </c>
      <c r="N155" s="4">
        <v>1</v>
      </c>
      <c r="O155" s="4">
        <v>107.9</v>
      </c>
      <c r="P155" s="4"/>
      <c r="Q155" s="92" t="s">
        <v>207</v>
      </c>
      <c r="R155" s="4">
        <v>2</v>
      </c>
      <c r="S155" s="4">
        <v>118.7</v>
      </c>
      <c r="T155" s="4"/>
      <c r="U155" s="4">
        <f t="shared" si="11"/>
        <v>0</v>
      </c>
      <c r="V155" s="4">
        <v>153</v>
      </c>
      <c r="W155" s="2" t="s">
        <v>72</v>
      </c>
      <c r="X155" s="2" t="s">
        <v>77</v>
      </c>
      <c r="Y155" s="2" t="s">
        <v>110</v>
      </c>
      <c r="Z155" s="2" t="s">
        <v>73</v>
      </c>
      <c r="AA155" s="2" t="s">
        <v>144</v>
      </c>
      <c r="AB155" s="2"/>
      <c r="AC155" s="273" t="s">
        <v>68</v>
      </c>
      <c r="AD155" s="273" t="s">
        <v>255</v>
      </c>
      <c r="AE155" s="273" t="s">
        <v>262</v>
      </c>
      <c r="AF155" s="273" t="s">
        <v>220</v>
      </c>
      <c r="AG155" s="109"/>
      <c r="AH155" s="106">
        <f t="shared" si="12"/>
        <v>0</v>
      </c>
      <c r="AI155" s="106"/>
      <c r="AJ155" s="114"/>
      <c r="AK155" s="111"/>
      <c r="AN155" s="2"/>
      <c r="AP155" s="2"/>
      <c r="AU155" s="71" t="s">
        <v>387</v>
      </c>
      <c r="AV155" s="2"/>
      <c r="AW155" s="2"/>
      <c r="AX155" s="5">
        <v>153</v>
      </c>
      <c r="AY155" s="5">
        <v>0</v>
      </c>
      <c r="AZ155" s="309">
        <f>Elektrolisis!$Q$12</f>
        <v>1</v>
      </c>
      <c r="BA155" s="314" t="str">
        <f>IF(AND(C155&lt;&gt;"HF",C155&lt;&gt;"H3PO4",AY155&gt;0),AY155*Elektrolisis!$Q$13,IF(AND(C155="HF",AY155&gt;0),(Elektrolisis!$Q$13*0.0006)^0.5,IF(AND(C155="H3PO4",AY155&gt;0),(Elektrolisis!$Q$13*0.00075)^0.5,"")))</f>
        <v/>
      </c>
      <c r="BB155" s="5">
        <v>0</v>
      </c>
      <c r="BC155" s="310" t="str">
        <f>IF(AX155=Elektrolisis!$M$7,IF(BB155=1,-LOG(BA155),IF(BB155=2,14+LOG(BA155),7)),"")</f>
        <v/>
      </c>
      <c r="BD155" s="313" t="str">
        <f>IF(AX155=Elektrolisis!$M$7,(Elektrolisis!$Q$14*Elektrolisis!$Q$15)/(96500*REAKSI!R155*REAKSI!AZ155),"")</f>
        <v/>
      </c>
      <c r="BE155" s="312" t="str">
        <f>IF(AX155=Elektrolisis!$M$7,IF(BA155&gt;BD155,BA155-BD155,IF(BA155&lt;=BD155,0.0000001)),"")</f>
        <v/>
      </c>
      <c r="BF155" s="310" t="str">
        <f>IF(AX155=Elektrolisis!$M$7,IF(BB155=1,-LOG(BE155),IF(BB155=2,14+LOG(BE155),7)),"")</f>
        <v/>
      </c>
    </row>
    <row r="156" spans="1:58" ht="18.95" customHeight="1" x14ac:dyDescent="0.35">
      <c r="A156">
        <v>36</v>
      </c>
      <c r="B156" s="4">
        <v>154</v>
      </c>
      <c r="C156" s="4" t="s">
        <v>9</v>
      </c>
      <c r="E156" s="256" t="s">
        <v>663</v>
      </c>
      <c r="F156" s="71"/>
      <c r="H156" s="71" t="s">
        <v>27</v>
      </c>
      <c r="I156" s="71" t="s">
        <v>434</v>
      </c>
      <c r="J156" s="71" t="s">
        <v>440</v>
      </c>
      <c r="K156" s="221" t="s">
        <v>514</v>
      </c>
      <c r="L156" s="2"/>
      <c r="M156" s="4" t="s">
        <v>235</v>
      </c>
      <c r="N156" s="4">
        <v>1</v>
      </c>
      <c r="O156" s="4">
        <v>107.9</v>
      </c>
      <c r="P156" s="4"/>
      <c r="Q156" s="92" t="s">
        <v>197</v>
      </c>
      <c r="R156" s="4">
        <v>2</v>
      </c>
      <c r="S156" s="4">
        <v>63.55</v>
      </c>
      <c r="T156" s="4"/>
      <c r="U156" s="4">
        <f t="shared" si="11"/>
        <v>0</v>
      </c>
      <c r="V156" s="4">
        <v>154</v>
      </c>
      <c r="W156" s="2" t="s">
        <v>72</v>
      </c>
      <c r="X156" s="2" t="s">
        <v>419</v>
      </c>
      <c r="Y156" s="2" t="s">
        <v>110</v>
      </c>
      <c r="Z156" s="2" t="s">
        <v>73</v>
      </c>
      <c r="AA156" s="2" t="s">
        <v>78</v>
      </c>
      <c r="AB156" s="2"/>
      <c r="AC156" s="273" t="s">
        <v>68</v>
      </c>
      <c r="AD156" s="273" t="s">
        <v>255</v>
      </c>
      <c r="AE156" s="273" t="s">
        <v>245</v>
      </c>
      <c r="AF156" s="273" t="s">
        <v>3</v>
      </c>
      <c r="AG156" s="109"/>
      <c r="AH156" s="106">
        <f t="shared" si="12"/>
        <v>0</v>
      </c>
      <c r="AI156" s="106"/>
      <c r="AJ156" s="114"/>
      <c r="AK156" s="111"/>
      <c r="AN156" s="2"/>
      <c r="AP156" s="2"/>
      <c r="AU156" s="71" t="s">
        <v>388</v>
      </c>
      <c r="AV156" s="2"/>
      <c r="AW156" s="2"/>
      <c r="AX156" s="5">
        <v>154</v>
      </c>
      <c r="AY156" s="5">
        <v>0</v>
      </c>
      <c r="AZ156" s="309">
        <f>Elektrolisis!$Q$12</f>
        <v>1</v>
      </c>
      <c r="BA156" s="314" t="str">
        <f>IF(AND(C156&lt;&gt;"HF",C156&lt;&gt;"H3PO4",AY156&gt;0),AY156*Elektrolisis!$Q$13,IF(AND(C156="HF",AY156&gt;0),(Elektrolisis!$Q$13*0.0006)^0.5,IF(AND(C156="H3PO4",AY156&gt;0),(Elektrolisis!$Q$13*0.00075)^0.5,"")))</f>
        <v/>
      </c>
      <c r="BB156" s="5">
        <v>0</v>
      </c>
      <c r="BC156" s="310" t="str">
        <f>IF(AX156=Elektrolisis!$M$7,IF(BB156=1,-LOG(BA156),IF(BB156=2,14+LOG(BA156),7)),"")</f>
        <v/>
      </c>
      <c r="BD156" s="313" t="str">
        <f>IF(AX156=Elektrolisis!$M$7,(Elektrolisis!$Q$14*Elektrolisis!$Q$15)/(96500*REAKSI!R156*REAKSI!AZ156),"")</f>
        <v/>
      </c>
      <c r="BE156" s="312" t="str">
        <f>IF(AX156=Elektrolisis!$M$7,IF(BA156&gt;BD156,BA156-BD156,IF(BA156&lt;=BD156,0.0000001)),"")</f>
        <v/>
      </c>
      <c r="BF156" s="310" t="str">
        <f>IF(AX156=Elektrolisis!$M$7,IF(BB156=1,-LOG(BE156),IF(BB156=2,14+LOG(BE156),7)),"")</f>
        <v/>
      </c>
    </row>
    <row r="157" spans="1:58" ht="18.95" customHeight="1" x14ac:dyDescent="0.35">
      <c r="A157">
        <v>37</v>
      </c>
      <c r="B157" s="4">
        <v>155</v>
      </c>
      <c r="C157" s="4" t="s">
        <v>145</v>
      </c>
      <c r="E157" s="256" t="s">
        <v>644</v>
      </c>
      <c r="F157" s="71"/>
      <c r="H157" s="71" t="s">
        <v>156</v>
      </c>
      <c r="I157" s="71" t="s">
        <v>434</v>
      </c>
      <c r="J157" s="71" t="s">
        <v>452</v>
      </c>
      <c r="K157" s="221" t="s">
        <v>520</v>
      </c>
      <c r="L157" s="2"/>
      <c r="M157" s="4" t="s">
        <v>235</v>
      </c>
      <c r="N157" s="4">
        <v>1</v>
      </c>
      <c r="O157" s="4">
        <v>107.9</v>
      </c>
      <c r="P157" s="4"/>
      <c r="Q157" s="92" t="s">
        <v>202</v>
      </c>
      <c r="R157" s="4">
        <v>1</v>
      </c>
      <c r="S157" s="4">
        <v>107.9</v>
      </c>
      <c r="T157" s="4"/>
      <c r="U157" s="4">
        <f t="shared" si="11"/>
        <v>0</v>
      </c>
      <c r="V157" s="4">
        <v>155</v>
      </c>
      <c r="W157" s="2" t="s">
        <v>72</v>
      </c>
      <c r="X157" s="2" t="s">
        <v>420</v>
      </c>
      <c r="Y157" s="2" t="s">
        <v>110</v>
      </c>
      <c r="Z157" s="2" t="s">
        <v>73</v>
      </c>
      <c r="AA157" s="2" t="s">
        <v>140</v>
      </c>
      <c r="AB157" s="2"/>
      <c r="AC157" s="273" t="s">
        <v>68</v>
      </c>
      <c r="AD157" s="273" t="s">
        <v>255</v>
      </c>
      <c r="AE157" s="273" t="s">
        <v>255</v>
      </c>
      <c r="AF157" s="273" t="s">
        <v>68</v>
      </c>
      <c r="AG157" s="109"/>
      <c r="AH157" s="106">
        <f t="shared" si="12"/>
        <v>0</v>
      </c>
      <c r="AI157" s="106"/>
      <c r="AJ157" s="115"/>
      <c r="AK157" s="109"/>
      <c r="AL157" s="110"/>
      <c r="AN157" s="2"/>
      <c r="AP157" s="2"/>
      <c r="AU157" s="71" t="s">
        <v>389</v>
      </c>
      <c r="AV157" s="2"/>
      <c r="AW157" s="2"/>
      <c r="AX157" s="5">
        <v>155</v>
      </c>
      <c r="AY157" s="5">
        <v>0</v>
      </c>
      <c r="AZ157" s="309">
        <f>Elektrolisis!$Q$12</f>
        <v>1</v>
      </c>
      <c r="BA157" s="314" t="str">
        <f>IF(AND(C157&lt;&gt;"HF",C157&lt;&gt;"H3PO4",AY157&gt;0),AY157*Elektrolisis!$Q$13,IF(AND(C157="HF",AY157&gt;0),(Elektrolisis!$Q$13*0.0006)^0.5,IF(AND(C157="H3PO4",AY157&gt;0),(Elektrolisis!$Q$13*0.00075)^0.5,"")))</f>
        <v/>
      </c>
      <c r="BB157" s="5">
        <v>0</v>
      </c>
      <c r="BC157" s="310" t="str">
        <f>IF(AX157=Elektrolisis!$M$7,IF(BB157=1,-LOG(BA157),IF(BB157=2,14+LOG(BA157),7)),"")</f>
        <v/>
      </c>
      <c r="BD157" s="313" t="str">
        <f>IF(AX157=Elektrolisis!$M$7,(Elektrolisis!$Q$14*Elektrolisis!$Q$15)/(96500*REAKSI!R157*REAKSI!AZ157),"")</f>
        <v/>
      </c>
      <c r="BE157" s="312" t="str">
        <f>IF(AX157=Elektrolisis!$M$7,IF(BA157&gt;BD157,BA157-BD157,IF(BA157&lt;=BD157,0.0000001)),"")</f>
        <v/>
      </c>
      <c r="BF157" s="310" t="str">
        <f>IF(AX157=Elektrolisis!$M$7,IF(BB157=1,-LOG(BE157),IF(BB157=2,14+LOG(BE157),7)),"")</f>
        <v/>
      </c>
    </row>
    <row r="158" spans="1:58" ht="18.95" customHeight="1" x14ac:dyDescent="0.35">
      <c r="A158">
        <v>38</v>
      </c>
      <c r="B158" s="4">
        <v>156</v>
      </c>
      <c r="C158" s="4" t="s">
        <v>146</v>
      </c>
      <c r="E158" s="256" t="s">
        <v>645</v>
      </c>
      <c r="F158" s="71"/>
      <c r="H158" s="71" t="s">
        <v>410</v>
      </c>
      <c r="I158" s="71" t="s">
        <v>434</v>
      </c>
      <c r="J158" s="71" t="s">
        <v>455</v>
      </c>
      <c r="K158" s="221" t="s">
        <v>521</v>
      </c>
      <c r="L158" s="2"/>
      <c r="M158" s="4" t="s">
        <v>235</v>
      </c>
      <c r="N158" s="4">
        <v>1</v>
      </c>
      <c r="O158" s="4">
        <v>107.9</v>
      </c>
      <c r="P158" s="4"/>
      <c r="Q158" s="92" t="s">
        <v>208</v>
      </c>
      <c r="R158" s="4">
        <v>3</v>
      </c>
      <c r="S158" s="4">
        <v>55.85</v>
      </c>
      <c r="T158" s="4"/>
      <c r="U158" s="4">
        <f t="shared" si="11"/>
        <v>0</v>
      </c>
      <c r="V158" s="4">
        <v>156</v>
      </c>
      <c r="W158" s="2" t="s">
        <v>72</v>
      </c>
      <c r="X158" s="2" t="s">
        <v>421</v>
      </c>
      <c r="Y158" s="2" t="s">
        <v>110</v>
      </c>
      <c r="Z158" s="2" t="s">
        <v>73</v>
      </c>
      <c r="AA158" s="2" t="s">
        <v>165</v>
      </c>
      <c r="AB158" s="2"/>
      <c r="AC158" s="273" t="s">
        <v>68</v>
      </c>
      <c r="AD158" s="273" t="s">
        <v>255</v>
      </c>
      <c r="AE158" s="273" t="s">
        <v>263</v>
      </c>
      <c r="AF158" s="273" t="s">
        <v>218</v>
      </c>
      <c r="AG158" s="109"/>
      <c r="AH158" s="106">
        <f t="shared" si="12"/>
        <v>0</v>
      </c>
      <c r="AI158" s="106"/>
      <c r="AJ158" s="115"/>
      <c r="AK158" s="109"/>
      <c r="AL158" s="110"/>
      <c r="AN158" s="2"/>
      <c r="AP158" s="2"/>
      <c r="AU158" s="71" t="s">
        <v>390</v>
      </c>
      <c r="AV158" s="2"/>
      <c r="AW158" s="2"/>
      <c r="AX158" s="5">
        <v>156</v>
      </c>
      <c r="AY158" s="5">
        <v>0</v>
      </c>
      <c r="AZ158" s="309">
        <f>Elektrolisis!$Q$12</f>
        <v>1</v>
      </c>
      <c r="BA158" s="314" t="str">
        <f>IF(AND(C158&lt;&gt;"HF",C158&lt;&gt;"H3PO4",AY158&gt;0),AY158*Elektrolisis!$Q$13,IF(AND(C158="HF",AY158&gt;0),(Elektrolisis!$Q$13*0.0006)^0.5,IF(AND(C158="H3PO4",AY158&gt;0),(Elektrolisis!$Q$13*0.00075)^0.5,"")))</f>
        <v/>
      </c>
      <c r="BB158" s="5">
        <v>0</v>
      </c>
      <c r="BC158" s="310" t="str">
        <f>IF(AX158=Elektrolisis!$M$7,IF(BB158=1,-LOG(BA158),IF(BB158=2,14+LOG(BA158),7)),"")</f>
        <v/>
      </c>
      <c r="BD158" s="313" t="str">
        <f>IF(AX158=Elektrolisis!$M$7,(Elektrolisis!$Q$14*Elektrolisis!$Q$15)/(96500*REAKSI!R158*REAKSI!AZ158),"")</f>
        <v/>
      </c>
      <c r="BE158" s="312" t="str">
        <f>IF(AX158=Elektrolisis!$M$7,IF(BA158&gt;BD158,BA158-BD158,IF(BA158&lt;=BD158,0.0000001)),"")</f>
        <v/>
      </c>
      <c r="BF158" s="310" t="str">
        <f>IF(AX158=Elektrolisis!$M$7,IF(BB158=1,-LOG(BE158),IF(BB158=2,14+LOG(BE158),7)),"")</f>
        <v/>
      </c>
    </row>
    <row r="159" spans="1:58" ht="18.95" customHeight="1" x14ac:dyDescent="0.35">
      <c r="A159">
        <v>39</v>
      </c>
      <c r="B159" s="4">
        <v>157</v>
      </c>
      <c r="C159" s="4" t="s">
        <v>93</v>
      </c>
      <c r="E159" s="256" t="s">
        <v>646</v>
      </c>
      <c r="F159" s="71"/>
      <c r="H159" s="71" t="s">
        <v>168</v>
      </c>
      <c r="I159" s="71" t="s">
        <v>434</v>
      </c>
      <c r="J159" s="71" t="s">
        <v>456</v>
      </c>
      <c r="K159" s="221" t="s">
        <v>522</v>
      </c>
      <c r="L159" s="2"/>
      <c r="M159" s="4" t="s">
        <v>235</v>
      </c>
      <c r="N159" s="4">
        <v>1</v>
      </c>
      <c r="O159" s="4">
        <v>107.9</v>
      </c>
      <c r="P159" s="4"/>
      <c r="Q159" s="92" t="s">
        <v>209</v>
      </c>
      <c r="R159" s="4">
        <v>2</v>
      </c>
      <c r="S159" s="4">
        <v>58.93</v>
      </c>
      <c r="T159" s="4"/>
      <c r="U159" s="4">
        <f t="shared" si="11"/>
        <v>0</v>
      </c>
      <c r="V159" s="4">
        <v>157</v>
      </c>
      <c r="W159" s="2" t="s">
        <v>72</v>
      </c>
      <c r="X159" s="2" t="s">
        <v>420</v>
      </c>
      <c r="Y159" s="2" t="s">
        <v>110</v>
      </c>
      <c r="Z159" s="2" t="s">
        <v>73</v>
      </c>
      <c r="AA159" s="2" t="s">
        <v>166</v>
      </c>
      <c r="AB159" s="2"/>
      <c r="AC159" s="273" t="s">
        <v>68</v>
      </c>
      <c r="AD159" s="273" t="s">
        <v>255</v>
      </c>
      <c r="AE159" s="273" t="s">
        <v>264</v>
      </c>
      <c r="AF159" s="273" t="s">
        <v>94</v>
      </c>
      <c r="AG159" s="109"/>
      <c r="AH159" s="106">
        <f t="shared" si="12"/>
        <v>0</v>
      </c>
      <c r="AI159" s="106"/>
      <c r="AJ159" s="115"/>
      <c r="AK159" s="109"/>
      <c r="AL159" s="110"/>
      <c r="AN159" s="2"/>
      <c r="AP159" s="2"/>
      <c r="AU159" s="71" t="s">
        <v>734</v>
      </c>
      <c r="AV159" s="2"/>
      <c r="AW159" s="2"/>
      <c r="AX159" s="5">
        <v>157</v>
      </c>
      <c r="AY159" s="5">
        <v>0</v>
      </c>
      <c r="AZ159" s="309">
        <f>Elektrolisis!$Q$12</f>
        <v>1</v>
      </c>
      <c r="BA159" s="314" t="str">
        <f>IF(AND(C159&lt;&gt;"HF",C159&lt;&gt;"H3PO4",AY159&gt;0),AY159*Elektrolisis!$Q$13,IF(AND(C159="HF",AY159&gt;0),(Elektrolisis!$Q$13*0.0006)^0.5,IF(AND(C159="H3PO4",AY159&gt;0),(Elektrolisis!$Q$13*0.00075)^0.5,"")))</f>
        <v/>
      </c>
      <c r="BB159" s="5">
        <v>0</v>
      </c>
      <c r="BC159" s="310" t="str">
        <f>IF(AX159=Elektrolisis!$M$7,IF(BB159=1,-LOG(BA159),IF(BB159=2,14+LOG(BA159),7)),"")</f>
        <v/>
      </c>
      <c r="BD159" s="313" t="str">
        <f>IF(AX159=Elektrolisis!$M$7,(Elektrolisis!$Q$14*Elektrolisis!$Q$15)/(96500*REAKSI!R159*REAKSI!AZ159),"")</f>
        <v/>
      </c>
      <c r="BE159" s="312" t="str">
        <f>IF(AX159=Elektrolisis!$M$7,IF(BA159&gt;BD159,BA159-BD159,IF(BA159&lt;=BD159,0.0000001)),"")</f>
        <v/>
      </c>
      <c r="BF159" s="310" t="str">
        <f>IF(AX159=Elektrolisis!$M$7,IF(BB159=1,-LOG(BE159),IF(BB159=2,14+LOG(BE159),7)),"")</f>
        <v/>
      </c>
    </row>
    <row r="160" spans="1:58" ht="18.95" customHeight="1" x14ac:dyDescent="0.35">
      <c r="A160">
        <v>40</v>
      </c>
      <c r="B160" s="4">
        <v>158</v>
      </c>
      <c r="C160" s="4" t="s">
        <v>147</v>
      </c>
      <c r="E160" s="256" t="s">
        <v>647</v>
      </c>
      <c r="F160" s="71"/>
      <c r="H160" s="71" t="s">
        <v>157</v>
      </c>
      <c r="I160" s="71" t="s">
        <v>434</v>
      </c>
      <c r="J160" s="71" t="s">
        <v>453</v>
      </c>
      <c r="K160" s="221" t="s">
        <v>523</v>
      </c>
      <c r="L160" s="2"/>
      <c r="M160" s="4" t="s">
        <v>235</v>
      </c>
      <c r="N160" s="4">
        <v>1</v>
      </c>
      <c r="O160" s="4">
        <v>107.9</v>
      </c>
      <c r="P160" s="4"/>
      <c r="Q160" s="92" t="s">
        <v>205</v>
      </c>
      <c r="R160" s="4">
        <v>2</v>
      </c>
      <c r="S160" s="4">
        <v>58.69</v>
      </c>
      <c r="T160" s="4"/>
      <c r="U160" s="4">
        <f t="shared" si="11"/>
        <v>0</v>
      </c>
      <c r="V160" s="4">
        <v>158</v>
      </c>
      <c r="W160" s="2" t="s">
        <v>72</v>
      </c>
      <c r="X160" s="2" t="s">
        <v>419</v>
      </c>
      <c r="Y160" s="2" t="s">
        <v>110</v>
      </c>
      <c r="Z160" s="2" t="s">
        <v>73</v>
      </c>
      <c r="AA160" s="2" t="s">
        <v>141</v>
      </c>
      <c r="AB160" s="2"/>
      <c r="AC160" s="273" t="s">
        <v>68</v>
      </c>
      <c r="AD160" s="273" t="s">
        <v>255</v>
      </c>
      <c r="AE160" s="273" t="s">
        <v>261</v>
      </c>
      <c r="AF160" s="273" t="s">
        <v>86</v>
      </c>
      <c r="AG160" s="109"/>
      <c r="AH160" s="106">
        <f t="shared" si="12"/>
        <v>0</v>
      </c>
      <c r="AI160" s="106"/>
      <c r="AJ160" s="115"/>
      <c r="AK160" s="109"/>
      <c r="AL160" s="110"/>
      <c r="AN160" s="2"/>
      <c r="AP160" s="2"/>
      <c r="AU160" s="71" t="s">
        <v>391</v>
      </c>
      <c r="AV160" s="2"/>
      <c r="AW160" s="2"/>
      <c r="AX160" s="5">
        <v>158</v>
      </c>
      <c r="AY160" s="5">
        <v>0</v>
      </c>
      <c r="AZ160" s="309">
        <f>Elektrolisis!$Q$12</f>
        <v>1</v>
      </c>
      <c r="BA160" s="314" t="str">
        <f>IF(AND(C160&lt;&gt;"HF",C160&lt;&gt;"H3PO4",AY160&gt;0),AY160*Elektrolisis!$Q$13,IF(AND(C160="HF",AY160&gt;0),(Elektrolisis!$Q$13*0.0006)^0.5,IF(AND(C160="H3PO4",AY160&gt;0),(Elektrolisis!$Q$13*0.00075)^0.5,"")))</f>
        <v/>
      </c>
      <c r="BB160" s="5">
        <v>0</v>
      </c>
      <c r="BC160" s="310" t="str">
        <f>IF(AX160=Elektrolisis!$M$7,IF(BB160=1,-LOG(BA160),IF(BB160=2,14+LOG(BA160),7)),"")</f>
        <v/>
      </c>
      <c r="BD160" s="313" t="str">
        <f>IF(AX160=Elektrolisis!$M$7,(Elektrolisis!$Q$14*Elektrolisis!$Q$15)/(96500*REAKSI!R160*REAKSI!AZ160),"")</f>
        <v/>
      </c>
      <c r="BE160" s="312" t="str">
        <f>IF(AX160=Elektrolisis!$M$7,IF(BA160&gt;BD160,BA160-BD160,IF(BA160&lt;=BD160,0.0000001)),"")</f>
        <v/>
      </c>
      <c r="BF160" s="310" t="str">
        <f>IF(AX160=Elektrolisis!$M$7,IF(BB160=1,-LOG(BE160),IF(BB160=2,14+LOG(BE160),7)),"")</f>
        <v/>
      </c>
    </row>
    <row r="161" spans="1:58" ht="18.95" customHeight="1" x14ac:dyDescent="0.35">
      <c r="A161">
        <v>41</v>
      </c>
      <c r="B161" s="4">
        <v>159</v>
      </c>
      <c r="C161" s="4" t="s">
        <v>407</v>
      </c>
      <c r="E161" s="256" t="s">
        <v>699</v>
      </c>
      <c r="F161" s="71" t="s">
        <v>14</v>
      </c>
      <c r="H161" s="71" t="s">
        <v>408</v>
      </c>
      <c r="I161" s="71" t="s">
        <v>434</v>
      </c>
      <c r="J161" s="71" t="s">
        <v>445</v>
      </c>
      <c r="K161" s="221" t="s">
        <v>700</v>
      </c>
      <c r="L161" s="2"/>
      <c r="M161" s="4" t="s">
        <v>235</v>
      </c>
      <c r="N161" s="4">
        <v>1</v>
      </c>
      <c r="O161" s="4">
        <v>107.9</v>
      </c>
      <c r="P161" s="4"/>
      <c r="Q161" s="92" t="s">
        <v>201</v>
      </c>
      <c r="R161" s="4">
        <v>2</v>
      </c>
      <c r="S161" s="4">
        <v>65.39</v>
      </c>
      <c r="T161" s="4"/>
      <c r="U161" s="4">
        <f t="shared" si="11"/>
        <v>0</v>
      </c>
      <c r="V161" s="4">
        <v>159</v>
      </c>
      <c r="W161" s="2" t="s">
        <v>72</v>
      </c>
      <c r="X161" s="2" t="s">
        <v>419</v>
      </c>
      <c r="Y161" s="2" t="s">
        <v>110</v>
      </c>
      <c r="Z161" s="2" t="s">
        <v>73</v>
      </c>
      <c r="AA161" s="2" t="s">
        <v>142</v>
      </c>
      <c r="AB161" s="2"/>
      <c r="AC161" s="273" t="s">
        <v>68</v>
      </c>
      <c r="AD161" s="273" t="s">
        <v>255</v>
      </c>
      <c r="AE161" s="273" t="s">
        <v>253</v>
      </c>
      <c r="AF161" s="273" t="s">
        <v>50</v>
      </c>
      <c r="AG161" s="109"/>
      <c r="AH161" s="106">
        <f t="shared" si="12"/>
        <v>0</v>
      </c>
      <c r="AI161" s="106"/>
      <c r="AJ161" s="115"/>
      <c r="AK161" s="109"/>
      <c r="AL161" s="110"/>
      <c r="AN161" s="2"/>
      <c r="AP161" s="2"/>
      <c r="AU161" s="71" t="s">
        <v>701</v>
      </c>
      <c r="AV161" s="2"/>
      <c r="AW161" s="2"/>
      <c r="AX161" s="5">
        <v>159</v>
      </c>
      <c r="AY161" s="5">
        <v>0</v>
      </c>
      <c r="AZ161" s="309">
        <f>Elektrolisis!$Q$12</f>
        <v>1</v>
      </c>
      <c r="BA161" s="314" t="str">
        <f>IF(AND(C161&lt;&gt;"HF",C161&lt;&gt;"H3PO4",AY161&gt;0),AY161*Elektrolisis!$Q$13,IF(AND(C161="HF",AY161&gt;0),(Elektrolisis!$Q$13*0.0006)^0.5,IF(AND(C161="H3PO4",AY161&gt;0),(Elektrolisis!$Q$13*0.00075)^0.5,"")))</f>
        <v/>
      </c>
      <c r="BB161" s="5">
        <v>0</v>
      </c>
      <c r="BC161" s="310" t="str">
        <f>IF(AX161=Elektrolisis!$M$7,IF(BB161=1,-LOG(BA161),IF(BB161=2,14+LOG(BA161),7)),"")</f>
        <v/>
      </c>
      <c r="BD161" s="313" t="str">
        <f>IF(AX161=Elektrolisis!$M$7,(Elektrolisis!$Q$14*Elektrolisis!$Q$15)/(96500*REAKSI!R161*REAKSI!AZ161),"")</f>
        <v/>
      </c>
      <c r="BE161" s="312" t="str">
        <f>IF(AX161=Elektrolisis!$M$7,IF(BA161&gt;BD161,BA161-BD161,IF(BA161&lt;=BD161,0.0000001)),"")</f>
        <v/>
      </c>
      <c r="BF161" s="310" t="str">
        <f>IF(AX161=Elektrolisis!$M$7,IF(BB161=1,-LOG(BE161),IF(BB161=2,14+LOG(BE161),7)),"")</f>
        <v/>
      </c>
    </row>
    <row r="162" spans="1:58" ht="18.95" customHeight="1" x14ac:dyDescent="0.35">
      <c r="A162">
        <v>42</v>
      </c>
      <c r="B162" s="4">
        <v>160</v>
      </c>
      <c r="C162" s="4" t="s">
        <v>149</v>
      </c>
      <c r="E162" s="256" t="s">
        <v>649</v>
      </c>
      <c r="F162" s="71"/>
      <c r="H162" s="71" t="s">
        <v>158</v>
      </c>
      <c r="I162" s="71" t="s">
        <v>434</v>
      </c>
      <c r="J162" s="71" t="s">
        <v>454</v>
      </c>
      <c r="K162" s="221" t="s">
        <v>524</v>
      </c>
      <c r="L162" s="2"/>
      <c r="M162" s="4" t="s">
        <v>235</v>
      </c>
      <c r="N162" s="4">
        <v>1</v>
      </c>
      <c r="O162" s="4">
        <v>107.9</v>
      </c>
      <c r="P162" s="4"/>
      <c r="Q162" s="92" t="s">
        <v>207</v>
      </c>
      <c r="R162" s="4">
        <v>2</v>
      </c>
      <c r="S162" s="4">
        <v>118.7</v>
      </c>
      <c r="T162" s="4"/>
      <c r="U162" s="4">
        <f t="shared" si="11"/>
        <v>0</v>
      </c>
      <c r="V162" s="4">
        <v>160</v>
      </c>
      <c r="W162" s="2" t="s">
        <v>72</v>
      </c>
      <c r="X162" s="2" t="s">
        <v>420</v>
      </c>
      <c r="Y162" s="2" t="s">
        <v>110</v>
      </c>
      <c r="Z162" s="2" t="s">
        <v>73</v>
      </c>
      <c r="AA162" s="2" t="s">
        <v>144</v>
      </c>
      <c r="AB162" s="2"/>
      <c r="AC162" s="273" t="s">
        <v>68</v>
      </c>
      <c r="AD162" s="273" t="s">
        <v>255</v>
      </c>
      <c r="AE162" s="273" t="s">
        <v>262</v>
      </c>
      <c r="AF162" s="273" t="s">
        <v>220</v>
      </c>
      <c r="AG162" s="109"/>
      <c r="AH162" s="106">
        <f t="shared" si="12"/>
        <v>0</v>
      </c>
      <c r="AI162" s="106"/>
      <c r="AJ162" s="115"/>
      <c r="AK162" s="109"/>
      <c r="AL162" s="110"/>
      <c r="AN162" s="2"/>
      <c r="AP162" s="2"/>
      <c r="AU162" s="71" t="s">
        <v>732</v>
      </c>
      <c r="AV162" s="2"/>
      <c r="AW162" s="2"/>
      <c r="AX162" s="5">
        <v>160</v>
      </c>
      <c r="AY162" s="5">
        <v>0</v>
      </c>
      <c r="AZ162" s="309">
        <f>Elektrolisis!$Q$12</f>
        <v>1</v>
      </c>
      <c r="BA162" s="314" t="str">
        <f>IF(AND(C162&lt;&gt;"HF",C162&lt;&gt;"H3PO4",AY162&gt;0),AY162*Elektrolisis!$Q$13,IF(AND(C162="HF",AY162&gt;0),(Elektrolisis!$Q$13*0.0006)^0.5,IF(AND(C162="H3PO4",AY162&gt;0),(Elektrolisis!$Q$13*0.00075)^0.5,"")))</f>
        <v/>
      </c>
      <c r="BB162" s="5">
        <v>0</v>
      </c>
      <c r="BC162" s="310" t="str">
        <f>IF(AX162=Elektrolisis!$M$7,IF(BB162=1,-LOG(BA162),IF(BB162=2,14+LOG(BA162),7)),"")</f>
        <v/>
      </c>
      <c r="BD162" s="313" t="str">
        <f>IF(AX162=Elektrolisis!$M$7,(Elektrolisis!$Q$14*Elektrolisis!$Q$15)/(96500*REAKSI!R162*REAKSI!AZ162),"")</f>
        <v/>
      </c>
      <c r="BE162" s="312" t="str">
        <f>IF(AX162=Elektrolisis!$M$7,IF(BA162&gt;BD162,BA162-BD162,IF(BA162&lt;=BD162,0.0000001)),"")</f>
        <v/>
      </c>
      <c r="BF162" s="310" t="str">
        <f>IF(AX162=Elektrolisis!$M$7,IF(BB162=1,-LOG(BE162),IF(BB162=2,14+LOG(BE162),7)),"")</f>
        <v/>
      </c>
    </row>
    <row r="163" spans="1:58" ht="18.95" customHeight="1" x14ac:dyDescent="0.35">
      <c r="A163">
        <v>43</v>
      </c>
      <c r="B163" s="4">
        <v>161</v>
      </c>
      <c r="C163" s="4" t="s">
        <v>15</v>
      </c>
      <c r="E163" s="256" t="s">
        <v>664</v>
      </c>
      <c r="F163" s="71"/>
      <c r="H163" s="71" t="s">
        <v>28</v>
      </c>
      <c r="I163" s="71" t="s">
        <v>434</v>
      </c>
      <c r="J163" s="71" t="s">
        <v>440</v>
      </c>
      <c r="K163" s="221" t="s">
        <v>525</v>
      </c>
      <c r="L163" s="2"/>
      <c r="M163" s="4" t="s">
        <v>235</v>
      </c>
      <c r="N163" s="4">
        <v>1</v>
      </c>
      <c r="O163" s="4">
        <v>107.9</v>
      </c>
      <c r="P163" s="4"/>
      <c r="Q163" s="92" t="s">
        <v>197</v>
      </c>
      <c r="R163" s="4">
        <v>2</v>
      </c>
      <c r="S163" s="4">
        <v>63.55</v>
      </c>
      <c r="T163" s="4" t="s">
        <v>211</v>
      </c>
      <c r="U163" s="4">
        <f t="shared" si="11"/>
        <v>2</v>
      </c>
      <c r="V163" s="4">
        <v>161</v>
      </c>
      <c r="W163" s="2" t="s">
        <v>72</v>
      </c>
      <c r="X163" s="2" t="s">
        <v>76</v>
      </c>
      <c r="Y163" s="2" t="s">
        <v>110</v>
      </c>
      <c r="Z163" s="2" t="s">
        <v>73</v>
      </c>
      <c r="AA163" s="2" t="s">
        <v>78</v>
      </c>
      <c r="AB163" s="2"/>
      <c r="AC163" s="273" t="s">
        <v>68</v>
      </c>
      <c r="AD163" s="273" t="s">
        <v>255</v>
      </c>
      <c r="AE163" s="273" t="s">
        <v>245</v>
      </c>
      <c r="AF163" s="273" t="s">
        <v>3</v>
      </c>
      <c r="AG163" s="109"/>
      <c r="AH163" s="106">
        <f t="shared" si="12"/>
        <v>2</v>
      </c>
      <c r="AI163" s="106"/>
      <c r="AJ163" s="115"/>
      <c r="AK163" s="109"/>
      <c r="AL163" s="110"/>
      <c r="AN163" s="2"/>
      <c r="AP163" s="2"/>
      <c r="AU163" s="71" t="s">
        <v>392</v>
      </c>
      <c r="AV163" s="2"/>
      <c r="AW163" s="2"/>
      <c r="AX163" s="5">
        <v>161</v>
      </c>
      <c r="AY163" s="5">
        <v>2</v>
      </c>
      <c r="AZ163" s="309">
        <f>Elektrolisis!$Q$12</f>
        <v>1</v>
      </c>
      <c r="BA163" s="314">
        <f>IF(AND(C163&lt;&gt;"HF",C163&lt;&gt;"H3PO4",AY163&gt;0),AY163*Elektrolisis!$Q$13,IF(AND(C163="HF",AY163&gt;0),(Elektrolisis!$Q$13*0.0006)^0.5,IF(AND(C163="H3PO4",AY163&gt;0),(Elektrolisis!$Q$13*0.00075)^0.5,"")))</f>
        <v>2</v>
      </c>
      <c r="BB163" s="5">
        <v>2</v>
      </c>
      <c r="BC163" s="310" t="str">
        <f>IF(AX163=Elektrolisis!$M$7,IF(BB163=1,-LOG(BA163),IF(BB163=2,14+LOG(BA163),7)),"")</f>
        <v/>
      </c>
      <c r="BD163" s="313" t="str">
        <f>IF(AX163=Elektrolisis!$M$7,(Elektrolisis!$Q$14*Elektrolisis!$Q$15)/(96500*REAKSI!R163*REAKSI!AZ163),"")</f>
        <v/>
      </c>
      <c r="BE163" s="312" t="str">
        <f>IF(AX163=Elektrolisis!$M$7,IF(BA163&gt;BD163,BA163-BD163,IF(BA163&lt;=BD163,0.0000001)),"")</f>
        <v/>
      </c>
      <c r="BF163" s="310" t="str">
        <f>IF(AX163=Elektrolisis!$M$7,IF(BB163=1,-LOG(BE163),IF(BB163=2,14+LOG(BE163),7)),"")</f>
        <v/>
      </c>
    </row>
    <row r="164" spans="1:58" ht="18.95" customHeight="1" x14ac:dyDescent="0.35">
      <c r="A164">
        <v>44</v>
      </c>
      <c r="B164" s="4">
        <v>162</v>
      </c>
      <c r="C164" s="4" t="s">
        <v>150</v>
      </c>
      <c r="E164" s="256" t="s">
        <v>650</v>
      </c>
      <c r="F164" s="71"/>
      <c r="H164" s="71" t="s">
        <v>159</v>
      </c>
      <c r="I164" s="71" t="s">
        <v>434</v>
      </c>
      <c r="J164" s="71" t="s">
        <v>456</v>
      </c>
      <c r="K164" s="221" t="s">
        <v>526</v>
      </c>
      <c r="L164" s="2"/>
      <c r="M164" s="4" t="s">
        <v>235</v>
      </c>
      <c r="N164" s="4">
        <v>1</v>
      </c>
      <c r="O164" s="4">
        <v>107.9</v>
      </c>
      <c r="P164" s="4"/>
      <c r="Q164" s="92" t="s">
        <v>209</v>
      </c>
      <c r="R164" s="4">
        <v>2</v>
      </c>
      <c r="S164" s="4">
        <v>58.93</v>
      </c>
      <c r="T164" s="4" t="s">
        <v>211</v>
      </c>
      <c r="U164" s="4">
        <f t="shared" si="11"/>
        <v>2</v>
      </c>
      <c r="V164" s="4">
        <v>162</v>
      </c>
      <c r="W164" s="2" t="s">
        <v>72</v>
      </c>
      <c r="X164" s="2" t="s">
        <v>76</v>
      </c>
      <c r="Y164" s="2" t="s">
        <v>110</v>
      </c>
      <c r="Z164" s="2" t="s">
        <v>73</v>
      </c>
      <c r="AA164" s="2" t="s">
        <v>166</v>
      </c>
      <c r="AB164" s="2"/>
      <c r="AC164" s="273" t="s">
        <v>68</v>
      </c>
      <c r="AD164" s="273" t="s">
        <v>255</v>
      </c>
      <c r="AE164" s="273" t="s">
        <v>264</v>
      </c>
      <c r="AF164" s="273" t="s">
        <v>94</v>
      </c>
      <c r="AG164" s="109"/>
      <c r="AH164" s="106">
        <f t="shared" si="12"/>
        <v>2</v>
      </c>
      <c r="AI164" s="106"/>
      <c r="AJ164" s="115"/>
      <c r="AK164" s="109"/>
      <c r="AL164" s="110"/>
      <c r="AN164" s="2"/>
      <c r="AP164" s="2"/>
      <c r="AU164" s="71" t="s">
        <v>393</v>
      </c>
      <c r="AV164" s="2"/>
      <c r="AW164" s="2"/>
      <c r="AX164" s="5">
        <v>162</v>
      </c>
      <c r="AY164" s="5">
        <v>2</v>
      </c>
      <c r="AZ164" s="309">
        <f>Elektrolisis!$Q$12</f>
        <v>1</v>
      </c>
      <c r="BA164" s="314">
        <f>IF(AND(C164&lt;&gt;"HF",C164&lt;&gt;"H3PO4",AY164&gt;0),AY164*Elektrolisis!$Q$13,IF(AND(C164="HF",AY164&gt;0),(Elektrolisis!$Q$13*0.0006)^0.5,IF(AND(C164="H3PO4",AY164&gt;0),(Elektrolisis!$Q$13*0.00075)^0.5,"")))</f>
        <v>2</v>
      </c>
      <c r="BB164" s="5">
        <v>2</v>
      </c>
      <c r="BC164" s="310" t="str">
        <f>IF(AX164=Elektrolisis!$M$7,IF(BB164=1,-LOG(BA164),IF(BB164=2,14+LOG(BA164),7)),"")</f>
        <v/>
      </c>
      <c r="BD164" s="313" t="str">
        <f>IF(AX164=Elektrolisis!$M$7,(Elektrolisis!$Q$14*Elektrolisis!$Q$15)/(96500*REAKSI!R164*REAKSI!AZ164),"")</f>
        <v/>
      </c>
      <c r="BE164" s="312" t="str">
        <f>IF(AX164=Elektrolisis!$M$7,IF(BA164&gt;BD164,BA164-BD164,IF(BA164&lt;=BD164,0.0000001)),"")</f>
        <v/>
      </c>
      <c r="BF164" s="310" t="str">
        <f>IF(AX164=Elektrolisis!$M$7,IF(BB164=1,-LOG(BE164),IF(BB164=2,14+LOG(BE164),7)),"")</f>
        <v/>
      </c>
    </row>
    <row r="165" spans="1:58" ht="18.95" customHeight="1" x14ac:dyDescent="0.35">
      <c r="A165">
        <v>45</v>
      </c>
      <c r="B165" s="4">
        <v>163</v>
      </c>
      <c r="C165" s="4" t="s">
        <v>151</v>
      </c>
      <c r="E165" s="256" t="s">
        <v>651</v>
      </c>
      <c r="F165" s="71"/>
      <c r="H165" s="71" t="s">
        <v>160</v>
      </c>
      <c r="I165" s="71" t="s">
        <v>434</v>
      </c>
      <c r="J165" s="71" t="s">
        <v>453</v>
      </c>
      <c r="K165" s="221" t="s">
        <v>523</v>
      </c>
      <c r="L165" s="2"/>
      <c r="M165" s="4" t="s">
        <v>235</v>
      </c>
      <c r="N165" s="4">
        <v>1</v>
      </c>
      <c r="O165" s="4">
        <v>107.9</v>
      </c>
      <c r="P165" s="4"/>
      <c r="Q165" s="92" t="s">
        <v>205</v>
      </c>
      <c r="R165" s="4">
        <v>2</v>
      </c>
      <c r="S165" s="4">
        <v>58.69</v>
      </c>
      <c r="T165" s="4" t="s">
        <v>211</v>
      </c>
      <c r="U165" s="4">
        <f t="shared" si="11"/>
        <v>2</v>
      </c>
      <c r="V165" s="4">
        <v>163</v>
      </c>
      <c r="W165" s="2" t="s">
        <v>72</v>
      </c>
      <c r="X165" s="2" t="s">
        <v>76</v>
      </c>
      <c r="Y165" s="2" t="s">
        <v>110</v>
      </c>
      <c r="Z165" s="2" t="s">
        <v>73</v>
      </c>
      <c r="AA165" s="2" t="s">
        <v>141</v>
      </c>
      <c r="AB165" s="2"/>
      <c r="AC165" s="273" t="s">
        <v>68</v>
      </c>
      <c r="AD165" s="273" t="s">
        <v>255</v>
      </c>
      <c r="AE165" s="273" t="s">
        <v>261</v>
      </c>
      <c r="AF165" s="273" t="s">
        <v>86</v>
      </c>
      <c r="AG165" s="109"/>
      <c r="AH165" s="106">
        <f t="shared" si="12"/>
        <v>2</v>
      </c>
      <c r="AI165" s="106"/>
      <c r="AJ165" s="115"/>
      <c r="AK165" s="109"/>
      <c r="AL165" s="110"/>
      <c r="AN165" s="2"/>
      <c r="AP165" s="2"/>
      <c r="AU165" s="71" t="s">
        <v>394</v>
      </c>
      <c r="AV165" s="2"/>
      <c r="AW165" s="2"/>
      <c r="AX165" s="5">
        <v>163</v>
      </c>
      <c r="AY165" s="5">
        <v>2</v>
      </c>
      <c r="AZ165" s="309">
        <f>Elektrolisis!$Q$12</f>
        <v>1</v>
      </c>
      <c r="BA165" s="314">
        <f>IF(AND(C165&lt;&gt;"HF",C165&lt;&gt;"H3PO4",AY165&gt;0),AY165*Elektrolisis!$Q$13,IF(AND(C165="HF",AY165&gt;0),(Elektrolisis!$Q$13*0.0006)^0.5,IF(AND(C165="H3PO4",AY165&gt;0),(Elektrolisis!$Q$13*0.00075)^0.5,"")))</f>
        <v>2</v>
      </c>
      <c r="BB165" s="5">
        <v>2</v>
      </c>
      <c r="BC165" s="310" t="str">
        <f>IF(AX165=Elektrolisis!$M$7,IF(BB165=1,-LOG(BA165),IF(BB165=2,14+LOG(BA165),7)),"")</f>
        <v/>
      </c>
      <c r="BD165" s="313" t="str">
        <f>IF(AX165=Elektrolisis!$M$7,(Elektrolisis!$Q$14*Elektrolisis!$Q$15)/(96500*REAKSI!R165*REAKSI!AZ165),"")</f>
        <v/>
      </c>
      <c r="BE165" s="312" t="str">
        <f>IF(AX165=Elektrolisis!$M$7,IF(BA165&gt;BD165,BA165-BD165,IF(BA165&lt;=BD165,0.0000001)),"")</f>
        <v/>
      </c>
      <c r="BF165" s="310" t="str">
        <f>IF(AX165=Elektrolisis!$M$7,IF(BB165=1,-LOG(BE165),IF(BB165=2,14+LOG(BE165),7)),"")</f>
        <v/>
      </c>
    </row>
    <row r="166" spans="1:58" ht="18.95" customHeight="1" x14ac:dyDescent="0.35">
      <c r="A166">
        <v>46</v>
      </c>
      <c r="B166" s="4">
        <v>164</v>
      </c>
      <c r="C166" s="4" t="s">
        <v>152</v>
      </c>
      <c r="E166" s="256" t="s">
        <v>652</v>
      </c>
      <c r="F166" s="71"/>
      <c r="H166" s="71" t="s">
        <v>161</v>
      </c>
      <c r="I166" s="71" t="s">
        <v>434</v>
      </c>
      <c r="J166" s="71" t="s">
        <v>445</v>
      </c>
      <c r="K166" s="221" t="s">
        <v>527</v>
      </c>
      <c r="L166" s="2"/>
      <c r="M166" s="4" t="s">
        <v>235</v>
      </c>
      <c r="N166" s="4">
        <v>1</v>
      </c>
      <c r="O166" s="4">
        <v>107.9</v>
      </c>
      <c r="P166" s="4"/>
      <c r="Q166" s="92" t="s">
        <v>201</v>
      </c>
      <c r="R166" s="4">
        <v>2</v>
      </c>
      <c r="S166" s="4">
        <v>65.39</v>
      </c>
      <c r="T166" s="4" t="s">
        <v>211</v>
      </c>
      <c r="U166" s="4">
        <f t="shared" si="11"/>
        <v>2</v>
      </c>
      <c r="V166" s="4">
        <v>164</v>
      </c>
      <c r="W166" s="2" t="s">
        <v>72</v>
      </c>
      <c r="X166" s="2" t="s">
        <v>76</v>
      </c>
      <c r="Y166" s="2" t="s">
        <v>110</v>
      </c>
      <c r="Z166" s="2" t="s">
        <v>73</v>
      </c>
      <c r="AA166" s="2" t="s">
        <v>142</v>
      </c>
      <c r="AB166" s="2"/>
      <c r="AC166" s="273" t="s">
        <v>68</v>
      </c>
      <c r="AD166" s="273" t="s">
        <v>255</v>
      </c>
      <c r="AE166" s="273" t="s">
        <v>253</v>
      </c>
      <c r="AF166" s="273" t="s">
        <v>50</v>
      </c>
      <c r="AG166" s="109"/>
      <c r="AH166" s="106">
        <f t="shared" si="12"/>
        <v>2</v>
      </c>
      <c r="AI166" s="106"/>
      <c r="AJ166" s="115"/>
      <c r="AK166" s="109"/>
      <c r="AL166" s="110"/>
      <c r="AN166" s="2"/>
      <c r="AP166" s="2"/>
      <c r="AU166" s="71" t="s">
        <v>395</v>
      </c>
      <c r="AV166" s="2"/>
      <c r="AW166" s="2"/>
      <c r="AX166" s="5">
        <v>164</v>
      </c>
      <c r="AY166" s="5">
        <v>2</v>
      </c>
      <c r="AZ166" s="309">
        <f>Elektrolisis!$Q$12</f>
        <v>1</v>
      </c>
      <c r="BA166" s="314">
        <f>IF(AND(C166&lt;&gt;"HF",C166&lt;&gt;"H3PO4",AY166&gt;0),AY166*Elektrolisis!$Q$13,IF(AND(C166="HF",AY166&gt;0),(Elektrolisis!$Q$13*0.0006)^0.5,IF(AND(C166="H3PO4",AY166&gt;0),(Elektrolisis!$Q$13*0.00075)^0.5,"")))</f>
        <v>2</v>
      </c>
      <c r="BB166" s="5">
        <v>2</v>
      </c>
      <c r="BC166" s="310" t="str">
        <f>IF(AX166=Elektrolisis!$M$7,IF(BB166=1,-LOG(BA166),IF(BB166=2,14+LOG(BA166),7)),"")</f>
        <v/>
      </c>
      <c r="BD166" s="313" t="str">
        <f>IF(AX166=Elektrolisis!$M$7,(Elektrolisis!$Q$14*Elektrolisis!$Q$15)/(96500*REAKSI!R166*REAKSI!AZ166),"")</f>
        <v/>
      </c>
      <c r="BE166" s="312" t="str">
        <f>IF(AX166=Elektrolisis!$M$7,IF(BA166&gt;BD166,BA166-BD166,IF(BA166&lt;=BD166,0.0000001)),"")</f>
        <v/>
      </c>
      <c r="BF166" s="310" t="str">
        <f>IF(AX166=Elektrolisis!$M$7,IF(BB166=1,-LOG(BE166),IF(BB166=2,14+LOG(BE166),7)),"")</f>
        <v/>
      </c>
    </row>
    <row r="167" spans="1:58" ht="18.95" customHeight="1" x14ac:dyDescent="0.35">
      <c r="A167">
        <v>47</v>
      </c>
      <c r="B167" s="4">
        <v>165</v>
      </c>
      <c r="C167" s="4" t="s">
        <v>153</v>
      </c>
      <c r="E167" s="256" t="s">
        <v>653</v>
      </c>
      <c r="F167" s="71"/>
      <c r="H167" s="71" t="s">
        <v>162</v>
      </c>
      <c r="I167" s="71" t="s">
        <v>434</v>
      </c>
      <c r="J167" s="71" t="s">
        <v>454</v>
      </c>
      <c r="K167" s="221" t="s">
        <v>524</v>
      </c>
      <c r="L167" s="2"/>
      <c r="M167" s="4" t="s">
        <v>235</v>
      </c>
      <c r="N167" s="4">
        <v>1</v>
      </c>
      <c r="O167" s="4">
        <v>107.9</v>
      </c>
      <c r="P167" s="4"/>
      <c r="Q167" s="92" t="s">
        <v>207</v>
      </c>
      <c r="R167" s="4">
        <v>2</v>
      </c>
      <c r="S167" s="4">
        <v>118.7</v>
      </c>
      <c r="T167" s="4" t="s">
        <v>211</v>
      </c>
      <c r="U167" s="4">
        <f t="shared" si="11"/>
        <v>2</v>
      </c>
      <c r="V167" s="4">
        <v>165</v>
      </c>
      <c r="W167" s="2" t="s">
        <v>72</v>
      </c>
      <c r="X167" s="2" t="s">
        <v>76</v>
      </c>
      <c r="Y167" s="2" t="s">
        <v>110</v>
      </c>
      <c r="Z167" s="2" t="s">
        <v>73</v>
      </c>
      <c r="AA167" s="2" t="s">
        <v>144</v>
      </c>
      <c r="AB167" s="2"/>
      <c r="AC167" s="273" t="s">
        <v>68</v>
      </c>
      <c r="AD167" s="273" t="s">
        <v>255</v>
      </c>
      <c r="AE167" s="273" t="s">
        <v>262</v>
      </c>
      <c r="AF167" s="273" t="s">
        <v>220</v>
      </c>
      <c r="AG167" s="109"/>
      <c r="AH167" s="106">
        <f t="shared" si="12"/>
        <v>2</v>
      </c>
      <c r="AI167" s="106"/>
      <c r="AJ167" s="115"/>
      <c r="AK167" s="109"/>
      <c r="AL167" s="110"/>
      <c r="AN167" s="2"/>
      <c r="AP167" s="2"/>
      <c r="AU167" s="71" t="s">
        <v>396</v>
      </c>
      <c r="AV167" s="2"/>
      <c r="AW167" s="2"/>
      <c r="AX167" s="5">
        <v>165</v>
      </c>
      <c r="AY167" s="5">
        <v>2</v>
      </c>
      <c r="AZ167" s="309">
        <f>Elektrolisis!$Q$12</f>
        <v>1</v>
      </c>
      <c r="BA167" s="314">
        <f>IF(AND(C167&lt;&gt;"HF",C167&lt;&gt;"H3PO4",AY167&gt;0),AY167*Elektrolisis!$Q$13,IF(AND(C167="HF",AY167&gt;0),(Elektrolisis!$Q$13*0.0006)^0.5,IF(AND(C167="H3PO4",AY167&gt;0),(Elektrolisis!$Q$13*0.00075)^0.5,"")))</f>
        <v>2</v>
      </c>
      <c r="BB167" s="5">
        <v>2</v>
      </c>
      <c r="BC167" s="310" t="str">
        <f>IF(AX167=Elektrolisis!$M$7,IF(BB167=1,-LOG(BA167),IF(BB167=2,14+LOG(BA167),7)),"")</f>
        <v/>
      </c>
      <c r="BD167" s="313" t="str">
        <f>IF(AX167=Elektrolisis!$M$7,(Elektrolisis!$Q$14*Elektrolisis!$Q$15)/(96500*REAKSI!R167*REAKSI!AZ167),"")</f>
        <v/>
      </c>
      <c r="BE167" s="312" t="str">
        <f>IF(AX167=Elektrolisis!$M$7,IF(BA167&gt;BD167,BA167-BD167,IF(BA167&lt;=BD167,0.0000001)),"")</f>
        <v/>
      </c>
      <c r="BF167" s="310" t="str">
        <f>IF(AX167=Elektrolisis!$M$7,IF(BB167=1,-LOG(BE167),IF(BB167=2,14+LOG(BE167),7)),"")</f>
        <v/>
      </c>
    </row>
    <row r="168" spans="1:58" ht="18.95" customHeight="1" x14ac:dyDescent="0.35">
      <c r="A168">
        <v>48</v>
      </c>
      <c r="B168" s="4">
        <v>166</v>
      </c>
      <c r="C168" s="4" t="s">
        <v>154</v>
      </c>
      <c r="E168" s="256" t="s">
        <v>654</v>
      </c>
      <c r="F168" s="71"/>
      <c r="H168" s="71" t="s">
        <v>163</v>
      </c>
      <c r="I168" s="71" t="s">
        <v>434</v>
      </c>
      <c r="J168" s="71" t="s">
        <v>457</v>
      </c>
      <c r="K168" s="221" t="s">
        <v>528</v>
      </c>
      <c r="L168" s="2"/>
      <c r="M168" s="4" t="s">
        <v>235</v>
      </c>
      <c r="N168" s="4">
        <v>1</v>
      </c>
      <c r="O168" s="4">
        <v>107.9</v>
      </c>
      <c r="P168" s="4"/>
      <c r="Q168" s="92" t="s">
        <v>206</v>
      </c>
      <c r="R168" s="4">
        <v>2</v>
      </c>
      <c r="S168" s="4">
        <v>207.2</v>
      </c>
      <c r="T168" s="4" t="s">
        <v>211</v>
      </c>
      <c r="U168" s="4">
        <f t="shared" si="11"/>
        <v>2</v>
      </c>
      <c r="V168" s="4">
        <v>166</v>
      </c>
      <c r="W168" s="2" t="s">
        <v>72</v>
      </c>
      <c r="X168" s="2" t="s">
        <v>76</v>
      </c>
      <c r="Y168" s="2" t="s">
        <v>110</v>
      </c>
      <c r="Z168" s="2" t="s">
        <v>73</v>
      </c>
      <c r="AA168" s="2" t="s">
        <v>143</v>
      </c>
      <c r="AB168" s="2"/>
      <c r="AC168" s="273" t="s">
        <v>68</v>
      </c>
      <c r="AD168" s="273" t="s">
        <v>255</v>
      </c>
      <c r="AE168" s="273" t="s">
        <v>265</v>
      </c>
      <c r="AF168" s="273" t="s">
        <v>219</v>
      </c>
      <c r="AG168" s="109"/>
      <c r="AH168" s="106">
        <f t="shared" si="12"/>
        <v>2</v>
      </c>
      <c r="AI168" s="106"/>
      <c r="AJ168" s="115"/>
      <c r="AK168" s="109"/>
      <c r="AL168" s="110"/>
      <c r="AN168" s="2"/>
      <c r="AP168" s="2"/>
      <c r="AU168" s="71" t="s">
        <v>397</v>
      </c>
      <c r="AV168" s="2"/>
      <c r="AW168" s="2"/>
      <c r="AX168" s="5">
        <v>166</v>
      </c>
      <c r="AY168" s="5">
        <v>2</v>
      </c>
      <c r="AZ168" s="309">
        <f>Elektrolisis!$Q$12</f>
        <v>1</v>
      </c>
      <c r="BA168" s="314">
        <f>IF(AND(C168&lt;&gt;"HF",C168&lt;&gt;"H3PO4",AY168&gt;0),AY168*Elektrolisis!$Q$13,IF(AND(C168="HF",AY168&gt;0),(Elektrolisis!$Q$13*0.0006)^0.5,IF(AND(C168="H3PO4",AY168&gt;0),(Elektrolisis!$Q$13*0.00075)^0.5,"")))</f>
        <v>2</v>
      </c>
      <c r="BB168" s="5">
        <v>2</v>
      </c>
      <c r="BC168" s="310" t="str">
        <f>IF(AX168=Elektrolisis!$M$7,IF(BB168=1,-LOG(BA168),IF(BB168=2,14+LOG(BA168),7)),"")</f>
        <v/>
      </c>
      <c r="BD168" s="313" t="str">
        <f>IF(AX168=Elektrolisis!$M$7,(Elektrolisis!$Q$14*Elektrolisis!$Q$15)/(96500*REAKSI!R168*REAKSI!AZ168),"")</f>
        <v/>
      </c>
      <c r="BE168" s="312" t="str">
        <f>IF(AX168=Elektrolisis!$M$7,IF(BA168&gt;BD168,BA168-BD168,IF(BA168&lt;=BD168,0.0000001)),"")</f>
        <v/>
      </c>
      <c r="BF168" s="310" t="str">
        <f>IF(AX168=Elektrolisis!$M$7,IF(BB168=1,-LOG(BE168),IF(BB168=2,14+LOG(BE168),7)),"")</f>
        <v/>
      </c>
    </row>
    <row r="169" spans="1:58" ht="18.95" customHeight="1" x14ac:dyDescent="0.35">
      <c r="A169">
        <v>49</v>
      </c>
      <c r="B169" s="4">
        <v>167</v>
      </c>
      <c r="C169" s="4" t="s">
        <v>155</v>
      </c>
      <c r="E169" s="256" t="s">
        <v>655</v>
      </c>
      <c r="F169" s="71"/>
      <c r="H169" s="71" t="s">
        <v>164</v>
      </c>
      <c r="I169" s="71" t="s">
        <v>434</v>
      </c>
      <c r="J169" s="71" t="s">
        <v>458</v>
      </c>
      <c r="K169" s="221" t="s">
        <v>529</v>
      </c>
      <c r="L169" s="2"/>
      <c r="M169" s="4" t="s">
        <v>235</v>
      </c>
      <c r="N169" s="4">
        <v>1</v>
      </c>
      <c r="O169" s="4">
        <v>107.9</v>
      </c>
      <c r="P169" s="4"/>
      <c r="Q169" s="92" t="s">
        <v>203</v>
      </c>
      <c r="R169" s="4">
        <v>2</v>
      </c>
      <c r="S169" s="4">
        <v>112.4</v>
      </c>
      <c r="T169" s="4" t="s">
        <v>211</v>
      </c>
      <c r="U169" s="4">
        <f t="shared" si="11"/>
        <v>2</v>
      </c>
      <c r="V169" s="4">
        <v>167</v>
      </c>
      <c r="W169" s="2" t="s">
        <v>72</v>
      </c>
      <c r="X169" s="2" t="s">
        <v>76</v>
      </c>
      <c r="Y169" s="2" t="s">
        <v>110</v>
      </c>
      <c r="Z169" s="2" t="s">
        <v>73</v>
      </c>
      <c r="AA169" s="2" t="s">
        <v>167</v>
      </c>
      <c r="AB169" s="2"/>
      <c r="AC169" s="273" t="s">
        <v>68</v>
      </c>
      <c r="AD169" s="273" t="s">
        <v>255</v>
      </c>
      <c r="AE169" s="273" t="s">
        <v>254</v>
      </c>
      <c r="AF169" s="273" t="s">
        <v>51</v>
      </c>
      <c r="AG169" s="109"/>
      <c r="AH169" s="106">
        <f t="shared" si="12"/>
        <v>2</v>
      </c>
      <c r="AI169" s="106"/>
      <c r="AJ169" s="114"/>
      <c r="AK169" s="111"/>
      <c r="AN169" s="2"/>
      <c r="AP169" s="2"/>
      <c r="AU169" s="71" t="s">
        <v>398</v>
      </c>
      <c r="AV169" s="2"/>
      <c r="AW169" s="2"/>
      <c r="AX169" s="5">
        <v>167</v>
      </c>
      <c r="AY169" s="5">
        <v>2</v>
      </c>
      <c r="AZ169" s="309">
        <f>Elektrolisis!$Q$12</f>
        <v>1</v>
      </c>
      <c r="BA169" s="314">
        <f>IF(AND(C169&lt;&gt;"HF",C169&lt;&gt;"H3PO4",AY169&gt;0),AY169*Elektrolisis!$Q$13,IF(AND(C169="HF",AY169&gt;0),(Elektrolisis!$Q$13*0.0006)^0.5,IF(AND(C169="H3PO4",AY169&gt;0),(Elektrolisis!$Q$13*0.00075)^0.5,"")))</f>
        <v>2</v>
      </c>
      <c r="BB169" s="5">
        <v>2</v>
      </c>
      <c r="BC169" s="310" t="str">
        <f>IF(AX169=Elektrolisis!$M$7,IF(BB169=1,-LOG(BA169),IF(BB169=2,14+LOG(BA169),7)),"")</f>
        <v/>
      </c>
      <c r="BD169" s="313" t="str">
        <f>IF(AX169=Elektrolisis!$M$7,(Elektrolisis!$Q$14*Elektrolisis!$Q$15)/(96500*REAKSI!R169*REAKSI!AZ169),"")</f>
        <v/>
      </c>
      <c r="BE169" s="312" t="str">
        <f>IF(AX169=Elektrolisis!$M$7,IF(BA169&gt;BD169,BA169-BD169,IF(BA169&lt;=BD169,0.0000001)),"")</f>
        <v/>
      </c>
      <c r="BF169" s="310" t="str">
        <f>IF(AX169=Elektrolisis!$M$7,IF(BB169=1,-LOG(BE169),IF(BB169=2,14+LOG(BE169),7)),"")</f>
        <v/>
      </c>
    </row>
    <row r="170" spans="1:58" ht="18.95" customHeight="1" x14ac:dyDescent="0.35">
      <c r="A170">
        <v>50</v>
      </c>
      <c r="B170" s="4">
        <v>168</v>
      </c>
      <c r="C170" s="4" t="s">
        <v>10</v>
      </c>
      <c r="E170" s="256" t="s">
        <v>665</v>
      </c>
      <c r="F170" s="71" t="s">
        <v>104</v>
      </c>
      <c r="H170" s="71" t="s">
        <v>745</v>
      </c>
      <c r="I170" s="71" t="s">
        <v>434</v>
      </c>
      <c r="J170" s="71" t="s">
        <v>337</v>
      </c>
      <c r="K170" s="221" t="s">
        <v>740</v>
      </c>
      <c r="L170" s="2"/>
      <c r="M170" s="4" t="s">
        <v>235</v>
      </c>
      <c r="N170" s="4">
        <v>1</v>
      </c>
      <c r="O170" s="4">
        <v>107.9</v>
      </c>
      <c r="P170" s="4"/>
      <c r="Q170" s="92" t="s">
        <v>232</v>
      </c>
      <c r="R170" s="4">
        <v>4</v>
      </c>
      <c r="S170" s="4">
        <v>32</v>
      </c>
      <c r="T170" s="4"/>
      <c r="U170" s="4">
        <f t="shared" si="11"/>
        <v>0</v>
      </c>
      <c r="V170" s="4">
        <v>168</v>
      </c>
      <c r="W170" s="2" t="s">
        <v>72</v>
      </c>
      <c r="X170" s="2"/>
      <c r="Y170" s="2" t="s">
        <v>110</v>
      </c>
      <c r="Z170" s="2" t="s">
        <v>73</v>
      </c>
      <c r="AA170" s="2"/>
      <c r="AB170" s="2"/>
      <c r="AC170" s="273" t="s">
        <v>68</v>
      </c>
      <c r="AD170" s="273" t="s">
        <v>255</v>
      </c>
      <c r="AE170" s="273" t="s">
        <v>242</v>
      </c>
      <c r="AF170" s="273" t="s">
        <v>243</v>
      </c>
      <c r="AG170" s="109"/>
      <c r="AH170" s="106">
        <f t="shared" si="12"/>
        <v>0</v>
      </c>
      <c r="AI170" s="106"/>
      <c r="AJ170" s="114"/>
      <c r="AK170" s="111"/>
      <c r="AN170" s="2"/>
      <c r="AP170" s="2"/>
      <c r="AU170" s="221" t="s">
        <v>740</v>
      </c>
      <c r="AV170" s="2"/>
      <c r="AW170" s="2"/>
      <c r="AX170" s="5">
        <v>168</v>
      </c>
      <c r="AY170" s="5">
        <v>0</v>
      </c>
      <c r="AZ170" s="309">
        <f>Elektrolisis!$Q$12</f>
        <v>1</v>
      </c>
      <c r="BA170" s="314" t="str">
        <f>IF(AND(C170&lt;&gt;"HF",C170&lt;&gt;"H3PO4",AY170&gt;0),AY170*Elektrolisis!$Q$13,IF(AND(C170="HF",AY170&gt;0),(Elektrolisis!$Q$13*0.0006)^0.5,IF(AND(C170="H3PO4",AY170&gt;0),(Elektrolisis!$Q$13*0.00075)^0.5,"")))</f>
        <v/>
      </c>
      <c r="BB170" s="5">
        <v>0</v>
      </c>
      <c r="BC170" s="310" t="str">
        <f>IF(AX170=Elektrolisis!$M$7,IF(BB170=1,-LOG(BA170),IF(BB170=2,14+LOG(BA170),7)),"")</f>
        <v/>
      </c>
      <c r="BD170" s="313" t="str">
        <f>IF(AX170=Elektrolisis!$M$7,(Elektrolisis!$Q$14*Elektrolisis!$Q$15)/(96500*REAKSI!R170*REAKSI!AZ170),"")</f>
        <v/>
      </c>
      <c r="BE170" s="312" t="str">
        <f>IF(AX170=Elektrolisis!$M$7,IF(BA170&gt;BD170,BA170-BD170,IF(BA170&lt;=BD170,0.0000001)),"")</f>
        <v/>
      </c>
      <c r="BF170" s="310" t="str">
        <f>IF(AX170=Elektrolisis!$M$7,IF(BB170=1,-LOG(BE170),IF(BB170=2,14+LOG(BE170),7)),"")</f>
        <v/>
      </c>
    </row>
    <row r="171" spans="1:58" ht="18.75" x14ac:dyDescent="0.35">
      <c r="A171">
        <v>51</v>
      </c>
      <c r="B171" s="4">
        <v>169</v>
      </c>
      <c r="C171" s="4" t="s">
        <v>171</v>
      </c>
      <c r="E171" s="256" t="s">
        <v>619</v>
      </c>
      <c r="F171" s="71"/>
      <c r="H171" s="71" t="s">
        <v>109</v>
      </c>
      <c r="I171" s="71" t="s">
        <v>434</v>
      </c>
      <c r="J171" s="71" t="s">
        <v>439</v>
      </c>
      <c r="K171" s="221" t="s">
        <v>429</v>
      </c>
      <c r="L171" s="2"/>
      <c r="M171" s="4" t="s">
        <v>235</v>
      </c>
      <c r="N171" s="4">
        <v>1</v>
      </c>
      <c r="O171" s="4">
        <v>107.9</v>
      </c>
      <c r="P171" s="4"/>
      <c r="Q171" s="92" t="s">
        <v>236</v>
      </c>
      <c r="R171" s="4">
        <v>2</v>
      </c>
      <c r="S171" s="4">
        <v>2</v>
      </c>
      <c r="T171" s="4" t="s">
        <v>210</v>
      </c>
      <c r="U171" s="4">
        <f t="shared" si="11"/>
        <v>1</v>
      </c>
      <c r="V171" s="4">
        <v>121</v>
      </c>
      <c r="W171" s="2" t="s">
        <v>72</v>
      </c>
      <c r="X171" s="2" t="s">
        <v>101</v>
      </c>
      <c r="Y171" s="2" t="s">
        <v>110</v>
      </c>
      <c r="Z171" s="2" t="s">
        <v>73</v>
      </c>
      <c r="AA171" s="2" t="s">
        <v>74</v>
      </c>
      <c r="AB171" s="2"/>
      <c r="AC171" s="273" t="s">
        <v>68</v>
      </c>
      <c r="AD171" s="273" t="s">
        <v>255</v>
      </c>
      <c r="AE171" s="273" t="s">
        <v>240</v>
      </c>
      <c r="AF171" s="273" t="s">
        <v>259</v>
      </c>
      <c r="AG171" s="109"/>
      <c r="AH171" s="106">
        <f t="shared" si="12"/>
        <v>1</v>
      </c>
      <c r="AI171" s="106"/>
      <c r="AJ171" s="114"/>
      <c r="AK171" s="111"/>
      <c r="AN171" s="2"/>
      <c r="AP171" s="2"/>
      <c r="AU171" s="71" t="s">
        <v>687</v>
      </c>
      <c r="AV171" s="2"/>
      <c r="AW171" s="2"/>
      <c r="AZ171" s="309"/>
      <c r="BA171" s="314"/>
      <c r="BC171" s="310"/>
      <c r="BD171" s="313"/>
      <c r="BE171" s="312"/>
      <c r="BF171" s="310"/>
    </row>
    <row r="172" spans="1:58" ht="18.75" x14ac:dyDescent="0.35">
      <c r="A172">
        <v>52</v>
      </c>
      <c r="B172" s="4">
        <v>170</v>
      </c>
      <c r="C172" s="4" t="s">
        <v>171</v>
      </c>
      <c r="E172" s="256" t="s">
        <v>619</v>
      </c>
      <c r="F172" s="71"/>
      <c r="H172" s="71" t="s">
        <v>109</v>
      </c>
      <c r="I172" s="71" t="s">
        <v>433</v>
      </c>
      <c r="J172" s="71" t="s">
        <v>439</v>
      </c>
      <c r="K172" s="221" t="s">
        <v>423</v>
      </c>
      <c r="L172" s="2"/>
      <c r="M172" s="4" t="s">
        <v>233</v>
      </c>
      <c r="N172" s="4">
        <v>2</v>
      </c>
      <c r="O172" s="4">
        <v>63.55</v>
      </c>
      <c r="P172" s="4"/>
      <c r="Q172" s="92" t="s">
        <v>236</v>
      </c>
      <c r="R172" s="4">
        <v>2</v>
      </c>
      <c r="S172" s="4">
        <v>2</v>
      </c>
      <c r="T172" s="4" t="s">
        <v>210</v>
      </c>
      <c r="U172" s="4">
        <f t="shared" si="11"/>
        <v>1</v>
      </c>
      <c r="V172" s="4">
        <v>79</v>
      </c>
      <c r="W172" s="2" t="s">
        <v>72</v>
      </c>
      <c r="X172" s="2" t="s">
        <v>101</v>
      </c>
      <c r="Y172" s="2" t="s">
        <v>79</v>
      </c>
      <c r="Z172" s="2" t="s">
        <v>73</v>
      </c>
      <c r="AA172" s="2" t="s">
        <v>74</v>
      </c>
      <c r="AB172" s="2"/>
      <c r="AC172" s="273" t="s">
        <v>3</v>
      </c>
      <c r="AD172" s="273" t="s">
        <v>245</v>
      </c>
      <c r="AE172" s="273" t="s">
        <v>240</v>
      </c>
      <c r="AF172" s="273" t="s">
        <v>259</v>
      </c>
      <c r="AG172" s="109"/>
      <c r="AH172" s="106">
        <f t="shared" si="12"/>
        <v>1</v>
      </c>
      <c r="AI172" s="106"/>
      <c r="AJ172" s="114"/>
      <c r="AK172" s="111"/>
      <c r="AN172" s="2"/>
      <c r="AP172" s="2"/>
      <c r="AU172" s="71" t="s">
        <v>572</v>
      </c>
      <c r="AV172" s="2"/>
      <c r="AW172" s="2"/>
      <c r="AZ172" s="309"/>
      <c r="BA172" s="314"/>
      <c r="BC172" s="310"/>
      <c r="BD172" s="313"/>
      <c r="BE172" s="312"/>
      <c r="BF172" s="310"/>
    </row>
    <row r="173" spans="1:58" ht="30" customHeight="1" x14ac:dyDescent="0.25">
      <c r="A173" s="5">
        <v>0</v>
      </c>
      <c r="BA173" s="314"/>
      <c r="BC173" s="315">
        <f>SUM(BC3:BC172)</f>
        <v>7</v>
      </c>
      <c r="BD173" s="315">
        <f t="shared" ref="BD173:BF173" si="13">SUM(BD3:BD172)</f>
        <v>0.37290155440414507</v>
      </c>
      <c r="BE173" s="315" t="e">
        <f t="shared" si="13"/>
        <v>#VALUE!</v>
      </c>
      <c r="BF173" s="315">
        <f t="shared" si="13"/>
        <v>7</v>
      </c>
    </row>
    <row r="174" spans="1:58" ht="30" customHeight="1" x14ac:dyDescent="0.25">
      <c r="A174" s="5">
        <v>1</v>
      </c>
      <c r="B174" s="5">
        <v>1</v>
      </c>
      <c r="C174" s="104" t="s">
        <v>63</v>
      </c>
      <c r="E174" s="117" t="s">
        <v>68</v>
      </c>
      <c r="H174" s="2" t="s">
        <v>140</v>
      </c>
      <c r="BA174" s="314"/>
    </row>
    <row r="175" spans="1:58" ht="30" customHeight="1" x14ac:dyDescent="0.25">
      <c r="A175" s="5">
        <v>2</v>
      </c>
      <c r="B175" s="5">
        <v>2</v>
      </c>
      <c r="C175" s="104" t="s">
        <v>192</v>
      </c>
      <c r="E175" s="117" t="s">
        <v>54</v>
      </c>
      <c r="H175" s="2" t="s">
        <v>119</v>
      </c>
      <c r="BA175" s="314"/>
    </row>
    <row r="176" spans="1:58" ht="30" customHeight="1" x14ac:dyDescent="0.25">
      <c r="A176" s="5">
        <v>3</v>
      </c>
      <c r="B176" s="5">
        <v>3</v>
      </c>
      <c r="C176" s="104" t="s">
        <v>145</v>
      </c>
      <c r="E176" s="117" t="s">
        <v>216</v>
      </c>
      <c r="H176" s="2" t="s">
        <v>134</v>
      </c>
      <c r="BA176" s="314"/>
    </row>
    <row r="177" spans="1:53" ht="30" customHeight="1" x14ac:dyDescent="0.25">
      <c r="A177" s="5">
        <v>4</v>
      </c>
      <c r="B177" s="5">
        <v>4</v>
      </c>
      <c r="C177" s="104" t="s">
        <v>190</v>
      </c>
      <c r="E177" s="117" t="s">
        <v>87</v>
      </c>
      <c r="H177" s="2" t="s">
        <v>118</v>
      </c>
      <c r="BA177" s="314"/>
    </row>
    <row r="178" spans="1:53" ht="30" customHeight="1" x14ac:dyDescent="0.25">
      <c r="A178" s="5">
        <v>5</v>
      </c>
      <c r="B178" s="5">
        <v>5</v>
      </c>
      <c r="C178" s="104" t="s">
        <v>52</v>
      </c>
      <c r="E178" s="117" t="s">
        <v>51</v>
      </c>
      <c r="H178" s="2" t="s">
        <v>167</v>
      </c>
      <c r="BA178" s="314"/>
    </row>
    <row r="179" spans="1:53" ht="30" customHeight="1" x14ac:dyDescent="0.25">
      <c r="A179" s="5">
        <v>6</v>
      </c>
      <c r="B179" s="5">
        <v>6</v>
      </c>
      <c r="C179" s="104" t="s">
        <v>178</v>
      </c>
      <c r="E179" s="117" t="s">
        <v>94</v>
      </c>
      <c r="H179" s="2" t="s">
        <v>166</v>
      </c>
      <c r="BA179" s="314"/>
    </row>
    <row r="180" spans="1:53" ht="30" customHeight="1" x14ac:dyDescent="0.25">
      <c r="A180" s="5">
        <v>7</v>
      </c>
      <c r="B180" s="5">
        <v>7</v>
      </c>
      <c r="C180" s="104" t="s">
        <v>184</v>
      </c>
      <c r="E180" s="117" t="s">
        <v>49</v>
      </c>
      <c r="H180" s="2" t="s">
        <v>226</v>
      </c>
      <c r="BA180" s="314"/>
    </row>
    <row r="181" spans="1:53" ht="30" customHeight="1" x14ac:dyDescent="0.25">
      <c r="A181" s="5">
        <v>8</v>
      </c>
      <c r="B181" s="5">
        <v>8</v>
      </c>
      <c r="C181" s="104" t="s">
        <v>189</v>
      </c>
      <c r="E181" s="117" t="s">
        <v>3</v>
      </c>
      <c r="H181" s="2" t="s">
        <v>78</v>
      </c>
      <c r="BA181" s="314"/>
    </row>
    <row r="182" spans="1:53" ht="30" customHeight="1" x14ac:dyDescent="0.25">
      <c r="A182" s="5">
        <v>9</v>
      </c>
      <c r="B182" s="5">
        <v>9</v>
      </c>
      <c r="C182" s="104" t="s">
        <v>182</v>
      </c>
      <c r="E182" s="117" t="s">
        <v>218</v>
      </c>
      <c r="H182" s="2" t="s">
        <v>165</v>
      </c>
      <c r="BA182" s="314"/>
    </row>
    <row r="183" spans="1:53" ht="30" customHeight="1" x14ac:dyDescent="0.25">
      <c r="A183" s="5">
        <v>10</v>
      </c>
      <c r="B183" s="5">
        <v>10</v>
      </c>
      <c r="C183" s="104" t="s">
        <v>187</v>
      </c>
      <c r="E183" s="117" t="s">
        <v>80</v>
      </c>
      <c r="H183" s="2" t="s">
        <v>74</v>
      </c>
      <c r="BA183" s="314"/>
    </row>
    <row r="184" spans="1:53" ht="30" customHeight="1" x14ac:dyDescent="0.25">
      <c r="A184" s="5">
        <v>11</v>
      </c>
      <c r="B184" s="5">
        <v>11</v>
      </c>
      <c r="C184" s="104" t="s">
        <v>177</v>
      </c>
      <c r="E184" s="117" t="s">
        <v>44</v>
      </c>
      <c r="H184" s="2" t="s">
        <v>127</v>
      </c>
      <c r="BA184" s="314"/>
    </row>
    <row r="185" spans="1:53" ht="30" customHeight="1" x14ac:dyDescent="0.25">
      <c r="A185" s="5">
        <v>12</v>
      </c>
      <c r="B185" s="5">
        <v>12</v>
      </c>
      <c r="C185" s="104" t="s">
        <v>183</v>
      </c>
      <c r="E185" s="117" t="s">
        <v>48</v>
      </c>
      <c r="H185" s="2" t="s">
        <v>237</v>
      </c>
      <c r="BA185" s="314"/>
    </row>
    <row r="186" spans="1:53" ht="30" customHeight="1" x14ac:dyDescent="0.25">
      <c r="A186" s="5">
        <v>13</v>
      </c>
      <c r="B186" s="5">
        <v>13</v>
      </c>
      <c r="C186" s="104" t="s">
        <v>155</v>
      </c>
      <c r="E186" s="117" t="s">
        <v>217</v>
      </c>
      <c r="H186" s="2" t="s">
        <v>120</v>
      </c>
      <c r="BA186" s="314"/>
    </row>
    <row r="187" spans="1:53" ht="30" customHeight="1" x14ac:dyDescent="0.25">
      <c r="A187" s="5">
        <v>14</v>
      </c>
      <c r="B187" s="5">
        <v>14</v>
      </c>
      <c r="C187" s="104" t="s">
        <v>12</v>
      </c>
      <c r="E187" s="117" t="s">
        <v>47</v>
      </c>
      <c r="H187" s="2" t="s">
        <v>75</v>
      </c>
      <c r="BA187" s="314"/>
    </row>
    <row r="188" spans="1:53" ht="30" customHeight="1" x14ac:dyDescent="0.25">
      <c r="A188" s="5">
        <v>15</v>
      </c>
      <c r="B188" s="5">
        <v>15</v>
      </c>
      <c r="C188" s="104" t="s">
        <v>93</v>
      </c>
      <c r="E188" s="117" t="s">
        <v>86</v>
      </c>
      <c r="H188" s="2" t="s">
        <v>141</v>
      </c>
    </row>
    <row r="189" spans="1:53" ht="30" customHeight="1" x14ac:dyDescent="0.25">
      <c r="A189" s="5">
        <v>16</v>
      </c>
      <c r="B189" s="5">
        <v>16</v>
      </c>
      <c r="C189" s="104" t="s">
        <v>150</v>
      </c>
      <c r="E189" s="117" t="s">
        <v>219</v>
      </c>
      <c r="H189" s="2" t="s">
        <v>143</v>
      </c>
    </row>
    <row r="190" spans="1:53" ht="30" customHeight="1" x14ac:dyDescent="0.25">
      <c r="A190" s="5">
        <v>17</v>
      </c>
      <c r="B190" s="5">
        <v>17</v>
      </c>
      <c r="C190" s="104" t="s">
        <v>17</v>
      </c>
      <c r="E190" s="117" t="s">
        <v>220</v>
      </c>
      <c r="H190" s="2" t="s">
        <v>144</v>
      </c>
    </row>
    <row r="191" spans="1:53" ht="30" customHeight="1" x14ac:dyDescent="0.25">
      <c r="A191" s="5">
        <v>18</v>
      </c>
      <c r="B191" s="5">
        <v>18</v>
      </c>
      <c r="C191" s="104" t="s">
        <v>15</v>
      </c>
      <c r="E191" s="117" t="s">
        <v>215</v>
      </c>
      <c r="H191" s="2" t="s">
        <v>135</v>
      </c>
    </row>
    <row r="192" spans="1:53" ht="30" customHeight="1" x14ac:dyDescent="0.25">
      <c r="A192" s="5">
        <v>19</v>
      </c>
      <c r="B192" s="5">
        <v>19</v>
      </c>
      <c r="C192" s="104" t="s">
        <v>13</v>
      </c>
      <c r="E192" s="117" t="s">
        <v>50</v>
      </c>
      <c r="H192" s="2" t="s">
        <v>142</v>
      </c>
    </row>
    <row r="193" spans="1:8" ht="30" customHeight="1" x14ac:dyDescent="0.25">
      <c r="A193" s="5">
        <v>20</v>
      </c>
      <c r="B193" s="5">
        <v>20</v>
      </c>
      <c r="C193" s="104" t="s">
        <v>194</v>
      </c>
      <c r="E193" s="117" t="s">
        <v>88</v>
      </c>
      <c r="H193" s="2"/>
    </row>
    <row r="194" spans="1:8" ht="30" customHeight="1" x14ac:dyDescent="0.25">
      <c r="A194" s="5">
        <v>21</v>
      </c>
      <c r="B194" s="5">
        <v>21</v>
      </c>
      <c r="C194" s="104" t="s">
        <v>9</v>
      </c>
      <c r="E194" s="117" t="s">
        <v>213</v>
      </c>
      <c r="H194"/>
    </row>
    <row r="195" spans="1:8" ht="30" customHeight="1" x14ac:dyDescent="0.25">
      <c r="A195" s="5">
        <v>22</v>
      </c>
      <c r="B195" s="5">
        <v>22</v>
      </c>
      <c r="C195" s="104" t="s">
        <v>146</v>
      </c>
      <c r="E195" s="117" t="s">
        <v>81</v>
      </c>
      <c r="H195"/>
    </row>
    <row r="196" spans="1:8" ht="30" customHeight="1" x14ac:dyDescent="0.25">
      <c r="A196" s="5">
        <v>23</v>
      </c>
      <c r="B196" s="5">
        <v>23</v>
      </c>
      <c r="C196" s="104" t="s">
        <v>10</v>
      </c>
      <c r="E196" s="117" t="s">
        <v>90</v>
      </c>
      <c r="H196"/>
    </row>
    <row r="197" spans="1:8" ht="30" customHeight="1" x14ac:dyDescent="0.25">
      <c r="A197" s="5">
        <v>24</v>
      </c>
      <c r="B197" s="5">
        <v>24</v>
      </c>
      <c r="C197" s="104" t="s">
        <v>6</v>
      </c>
      <c r="E197" s="117" t="s">
        <v>89</v>
      </c>
      <c r="H197"/>
    </row>
    <row r="198" spans="1:8" ht="30" customHeight="1" x14ac:dyDescent="0.25">
      <c r="A198" s="5">
        <v>25</v>
      </c>
      <c r="B198" s="5">
        <v>25</v>
      </c>
      <c r="C198" s="104" t="s">
        <v>173</v>
      </c>
      <c r="E198" s="117" t="s">
        <v>214</v>
      </c>
      <c r="H198"/>
    </row>
    <row r="199" spans="1:8" ht="30" customHeight="1" x14ac:dyDescent="0.25">
      <c r="A199" s="5">
        <v>26</v>
      </c>
      <c r="B199" s="5">
        <v>26</v>
      </c>
      <c r="C199" s="104" t="s">
        <v>170</v>
      </c>
      <c r="E199" s="117" t="s">
        <v>91</v>
      </c>
      <c r="H199"/>
    </row>
    <row r="200" spans="1:8" ht="30" customHeight="1" x14ac:dyDescent="0.25">
      <c r="A200" s="5">
        <v>27</v>
      </c>
      <c r="B200" s="5">
        <v>27</v>
      </c>
      <c r="C200" s="104" t="s">
        <v>5</v>
      </c>
      <c r="E200" s="118"/>
      <c r="H200"/>
    </row>
    <row r="201" spans="1:8" ht="30" customHeight="1" x14ac:dyDescent="0.25">
      <c r="A201" s="5">
        <v>28</v>
      </c>
      <c r="B201" s="5">
        <v>28</v>
      </c>
      <c r="C201" s="104" t="s">
        <v>174</v>
      </c>
      <c r="H201"/>
    </row>
    <row r="202" spans="1:8" ht="30" customHeight="1" x14ac:dyDescent="0.25">
      <c r="A202" s="5">
        <v>29</v>
      </c>
      <c r="B202" s="5">
        <v>29</v>
      </c>
      <c r="C202" s="104" t="s">
        <v>171</v>
      </c>
      <c r="H202"/>
    </row>
    <row r="203" spans="1:8" ht="30" customHeight="1" x14ac:dyDescent="0.25">
      <c r="A203" s="5">
        <v>30</v>
      </c>
      <c r="B203" s="5">
        <v>30</v>
      </c>
      <c r="C203" s="104" t="s">
        <v>172</v>
      </c>
      <c r="H203"/>
    </row>
    <row r="204" spans="1:8" ht="30" customHeight="1" x14ac:dyDescent="0.25">
      <c r="A204" s="5">
        <v>31</v>
      </c>
      <c r="B204" s="5">
        <v>31</v>
      </c>
      <c r="C204" s="104" t="s">
        <v>175</v>
      </c>
      <c r="H204"/>
    </row>
    <row r="205" spans="1:8" ht="30" customHeight="1" x14ac:dyDescent="0.25">
      <c r="A205" s="5">
        <v>32</v>
      </c>
      <c r="B205" s="5">
        <v>32</v>
      </c>
      <c r="C205" s="104" t="s">
        <v>100</v>
      </c>
      <c r="H205"/>
    </row>
    <row r="206" spans="1:8" ht="30" customHeight="1" x14ac:dyDescent="0.25">
      <c r="A206" s="5">
        <v>33</v>
      </c>
      <c r="B206" s="5">
        <v>33</v>
      </c>
      <c r="C206" s="104" t="s">
        <v>180</v>
      </c>
      <c r="H206"/>
    </row>
    <row r="207" spans="1:8" ht="30" customHeight="1" x14ac:dyDescent="0.25">
      <c r="A207" s="5">
        <v>34</v>
      </c>
      <c r="B207" s="5">
        <v>34</v>
      </c>
      <c r="C207" s="104" t="s">
        <v>186</v>
      </c>
      <c r="H207"/>
    </row>
    <row r="208" spans="1:8" ht="30" customHeight="1" x14ac:dyDescent="0.25">
      <c r="A208" s="5">
        <v>35</v>
      </c>
      <c r="B208" s="5">
        <v>35</v>
      </c>
      <c r="C208" s="104" t="s">
        <v>169</v>
      </c>
      <c r="H208"/>
    </row>
    <row r="209" spans="1:8" ht="30" customHeight="1" x14ac:dyDescent="0.25">
      <c r="A209" s="5">
        <v>36</v>
      </c>
      <c r="B209" s="5">
        <v>36</v>
      </c>
      <c r="C209" s="104" t="s">
        <v>19</v>
      </c>
      <c r="H209"/>
    </row>
    <row r="210" spans="1:8" ht="30" customHeight="1" x14ac:dyDescent="0.25">
      <c r="A210" s="5">
        <v>37</v>
      </c>
      <c r="B210" s="5">
        <v>37</v>
      </c>
      <c r="C210" s="104" t="s">
        <v>191</v>
      </c>
      <c r="H210"/>
    </row>
    <row r="211" spans="1:8" ht="30" customHeight="1" x14ac:dyDescent="0.25">
      <c r="A211" s="5">
        <v>38</v>
      </c>
      <c r="B211" s="5">
        <v>38</v>
      </c>
      <c r="C211" s="104" t="s">
        <v>179</v>
      </c>
      <c r="H211"/>
    </row>
    <row r="212" spans="1:8" ht="30" customHeight="1" x14ac:dyDescent="0.25">
      <c r="A212" s="5">
        <v>39</v>
      </c>
      <c r="B212" s="5">
        <v>39</v>
      </c>
      <c r="C212" s="104" t="s">
        <v>185</v>
      </c>
      <c r="H212"/>
    </row>
    <row r="213" spans="1:8" ht="30" customHeight="1" x14ac:dyDescent="0.25">
      <c r="A213" s="5">
        <v>40</v>
      </c>
      <c r="B213" s="5">
        <v>40</v>
      </c>
      <c r="C213" s="104" t="s">
        <v>16</v>
      </c>
      <c r="H213"/>
    </row>
    <row r="214" spans="1:8" ht="30" customHeight="1" x14ac:dyDescent="0.25">
      <c r="A214" s="5">
        <v>41</v>
      </c>
      <c r="B214" s="5">
        <v>41</v>
      </c>
      <c r="C214" s="104" t="s">
        <v>181</v>
      </c>
      <c r="H214"/>
    </row>
    <row r="215" spans="1:8" ht="30" customHeight="1" x14ac:dyDescent="0.25">
      <c r="A215" s="5">
        <v>42</v>
      </c>
      <c r="B215" s="5">
        <v>42</v>
      </c>
      <c r="C215" s="104" t="s">
        <v>8</v>
      </c>
      <c r="H215"/>
    </row>
    <row r="216" spans="1:8" ht="30" customHeight="1" x14ac:dyDescent="0.25">
      <c r="A216" s="5">
        <v>43</v>
      </c>
      <c r="B216" s="5">
        <v>43</v>
      </c>
      <c r="C216" s="104" t="s">
        <v>176</v>
      </c>
      <c r="H216"/>
    </row>
    <row r="217" spans="1:8" ht="30" customHeight="1" x14ac:dyDescent="0.25">
      <c r="A217" s="5">
        <v>44</v>
      </c>
      <c r="B217" s="5">
        <v>44</v>
      </c>
      <c r="C217" s="104" t="s">
        <v>7</v>
      </c>
      <c r="H217"/>
    </row>
    <row r="218" spans="1:8" ht="30" customHeight="1" x14ac:dyDescent="0.25">
      <c r="A218" s="5">
        <v>45</v>
      </c>
      <c r="B218" s="5">
        <v>45</v>
      </c>
      <c r="C218" s="104" t="s">
        <v>151</v>
      </c>
      <c r="H218"/>
    </row>
    <row r="219" spans="1:8" ht="30" customHeight="1" x14ac:dyDescent="0.25">
      <c r="A219" s="5">
        <v>46</v>
      </c>
      <c r="B219" s="5">
        <v>46</v>
      </c>
      <c r="C219" s="104" t="s">
        <v>193</v>
      </c>
      <c r="H219"/>
    </row>
    <row r="220" spans="1:8" ht="30" customHeight="1" x14ac:dyDescent="0.25">
      <c r="A220" s="5">
        <v>47</v>
      </c>
      <c r="B220" s="5">
        <v>47</v>
      </c>
      <c r="C220" s="104" t="s">
        <v>147</v>
      </c>
      <c r="H220"/>
    </row>
    <row r="221" spans="1:8" ht="30" customHeight="1" x14ac:dyDescent="0.25">
      <c r="A221" s="5">
        <v>48</v>
      </c>
      <c r="B221" s="5">
        <v>48</v>
      </c>
      <c r="C221" s="104" t="s">
        <v>148</v>
      </c>
      <c r="H221"/>
    </row>
    <row r="222" spans="1:8" ht="30" customHeight="1" x14ac:dyDescent="0.25">
      <c r="A222" s="5">
        <v>49</v>
      </c>
      <c r="B222" s="5">
        <v>49</v>
      </c>
      <c r="C222" s="104" t="s">
        <v>154</v>
      </c>
      <c r="H222"/>
    </row>
    <row r="223" spans="1:8" ht="30" customHeight="1" x14ac:dyDescent="0.25">
      <c r="A223" s="5">
        <v>50</v>
      </c>
      <c r="B223" s="5">
        <v>50</v>
      </c>
      <c r="C223" s="104" t="s">
        <v>195</v>
      </c>
      <c r="H223"/>
    </row>
    <row r="224" spans="1:8" ht="30" customHeight="1" x14ac:dyDescent="0.25">
      <c r="A224" s="5">
        <v>51</v>
      </c>
      <c r="B224" s="5">
        <v>51</v>
      </c>
      <c r="C224" s="104" t="s">
        <v>149</v>
      </c>
      <c r="H224"/>
    </row>
    <row r="225" spans="1:8" ht="30" customHeight="1" x14ac:dyDescent="0.25">
      <c r="A225" s="5">
        <v>52</v>
      </c>
      <c r="B225" s="5">
        <v>52</v>
      </c>
      <c r="C225" s="104" t="s">
        <v>153</v>
      </c>
      <c r="H225"/>
    </row>
    <row r="226" spans="1:8" ht="30" customHeight="1" x14ac:dyDescent="0.25">
      <c r="A226" s="5">
        <v>53</v>
      </c>
      <c r="B226" s="5">
        <v>53</v>
      </c>
      <c r="C226" s="104" t="s">
        <v>196</v>
      </c>
      <c r="H226"/>
    </row>
    <row r="227" spans="1:8" ht="30" customHeight="1" x14ac:dyDescent="0.25">
      <c r="A227" s="5">
        <v>54</v>
      </c>
      <c r="B227" s="5">
        <v>54</v>
      </c>
      <c r="C227" s="104" t="s">
        <v>188</v>
      </c>
      <c r="H227"/>
    </row>
    <row r="228" spans="1:8" ht="30" customHeight="1" x14ac:dyDescent="0.25">
      <c r="A228" s="5">
        <v>55</v>
      </c>
      <c r="B228" s="5">
        <v>55</v>
      </c>
      <c r="C228" s="104" t="s">
        <v>152</v>
      </c>
      <c r="H228"/>
    </row>
    <row r="229" spans="1:8" ht="30" customHeight="1" x14ac:dyDescent="0.25">
      <c r="A229" s="5">
        <v>56</v>
      </c>
      <c r="B229" s="5">
        <v>56</v>
      </c>
      <c r="C229" s="104" t="s">
        <v>18</v>
      </c>
      <c r="H229"/>
    </row>
    <row r="230" spans="1:8" ht="30" customHeight="1" x14ac:dyDescent="0.25">
      <c r="A230" s="5">
        <v>57</v>
      </c>
      <c r="B230" s="5">
        <v>57</v>
      </c>
      <c r="C230" s="104" t="s">
        <v>11</v>
      </c>
      <c r="H230"/>
    </row>
    <row r="231" spans="1:8" ht="30" customHeight="1" x14ac:dyDescent="0.25">
      <c r="A231" s="5">
        <v>58</v>
      </c>
      <c r="B231" s="5">
        <v>58</v>
      </c>
      <c r="C231" s="105"/>
      <c r="H231"/>
    </row>
    <row r="232" spans="1:8" ht="30" customHeight="1" x14ac:dyDescent="0.25">
      <c r="A232" s="5">
        <v>59</v>
      </c>
      <c r="B232" s="5">
        <v>59</v>
      </c>
      <c r="C232" s="119" t="s">
        <v>305</v>
      </c>
      <c r="H232"/>
    </row>
    <row r="233" spans="1:8" ht="30" customHeight="1" x14ac:dyDescent="0.25">
      <c r="A233" s="5">
        <v>60</v>
      </c>
      <c r="B233" s="5">
        <v>60</v>
      </c>
      <c r="C233" s="119" t="s">
        <v>311</v>
      </c>
      <c r="H233"/>
    </row>
    <row r="234" spans="1:8" ht="30" customHeight="1" x14ac:dyDescent="0.25">
      <c r="A234" s="5">
        <v>61</v>
      </c>
      <c r="B234" s="5">
        <v>61</v>
      </c>
      <c r="C234" s="119" t="s">
        <v>303</v>
      </c>
      <c r="H234"/>
    </row>
    <row r="235" spans="1:8" ht="30" customHeight="1" x14ac:dyDescent="0.25">
      <c r="A235" s="5">
        <v>62</v>
      </c>
      <c r="B235" s="5">
        <v>62</v>
      </c>
      <c r="C235" s="119" t="s">
        <v>291</v>
      </c>
      <c r="H235"/>
    </row>
    <row r="236" spans="1:8" ht="30" customHeight="1" x14ac:dyDescent="0.25">
      <c r="A236" s="5">
        <v>63</v>
      </c>
      <c r="B236" s="5">
        <v>63</v>
      </c>
      <c r="C236" s="119" t="s">
        <v>297</v>
      </c>
      <c r="H236"/>
    </row>
    <row r="237" spans="1:8" ht="30" customHeight="1" x14ac:dyDescent="0.25">
      <c r="A237" s="5">
        <v>64</v>
      </c>
      <c r="B237" s="5">
        <v>64</v>
      </c>
      <c r="C237" s="119" t="s">
        <v>302</v>
      </c>
      <c r="H237"/>
    </row>
    <row r="238" spans="1:8" ht="30" customHeight="1" x14ac:dyDescent="0.25">
      <c r="A238" s="5">
        <v>65</v>
      </c>
      <c r="B238" s="5">
        <v>65</v>
      </c>
      <c r="C238" s="119" t="s">
        <v>295</v>
      </c>
      <c r="H238"/>
    </row>
    <row r="239" spans="1:8" ht="30" customHeight="1" x14ac:dyDescent="0.25">
      <c r="A239" s="5">
        <v>66</v>
      </c>
      <c r="B239" s="5">
        <v>66</v>
      </c>
      <c r="C239" s="119" t="s">
        <v>300</v>
      </c>
      <c r="H239"/>
    </row>
    <row r="240" spans="1:8" ht="30" customHeight="1" x14ac:dyDescent="0.25">
      <c r="A240" s="5">
        <v>67</v>
      </c>
      <c r="B240" s="5">
        <v>67</v>
      </c>
      <c r="C240" s="119" t="s">
        <v>290</v>
      </c>
      <c r="H240"/>
    </row>
    <row r="241" spans="1:8" ht="30" customHeight="1" x14ac:dyDescent="0.25">
      <c r="A241" s="5">
        <v>68</v>
      </c>
      <c r="B241" s="5">
        <v>68</v>
      </c>
      <c r="C241" s="119" t="s">
        <v>296</v>
      </c>
      <c r="H241"/>
    </row>
    <row r="242" spans="1:8" ht="30" customHeight="1" x14ac:dyDescent="0.25">
      <c r="A242" s="5">
        <v>69</v>
      </c>
      <c r="B242" s="5">
        <v>69</v>
      </c>
      <c r="C242" s="119" t="s">
        <v>321</v>
      </c>
      <c r="H242"/>
    </row>
    <row r="243" spans="1:8" ht="30" customHeight="1" x14ac:dyDescent="0.25">
      <c r="A243" s="5">
        <v>70</v>
      </c>
      <c r="B243" s="5">
        <v>70</v>
      </c>
      <c r="C243" s="119" t="s">
        <v>409</v>
      </c>
      <c r="H243"/>
    </row>
    <row r="244" spans="1:8" ht="30" customHeight="1" x14ac:dyDescent="0.25">
      <c r="A244" s="5">
        <v>71</v>
      </c>
      <c r="B244" s="5">
        <v>71</v>
      </c>
      <c r="C244" s="119" t="s">
        <v>313</v>
      </c>
      <c r="H244"/>
    </row>
    <row r="245" spans="1:8" ht="30" customHeight="1" x14ac:dyDescent="0.25">
      <c r="A245" s="5">
        <v>72</v>
      </c>
      <c r="B245" s="5">
        <v>72</v>
      </c>
      <c r="C245" s="119" t="s">
        <v>316</v>
      </c>
      <c r="H245"/>
    </row>
    <row r="246" spans="1:8" ht="30" customHeight="1" x14ac:dyDescent="0.25">
      <c r="A246" s="5">
        <v>73</v>
      </c>
      <c r="B246" s="5">
        <v>73</v>
      </c>
      <c r="C246" s="119" t="s">
        <v>309</v>
      </c>
      <c r="H246"/>
    </row>
    <row r="247" spans="1:8" ht="30" customHeight="1" x14ac:dyDescent="0.25">
      <c r="A247" s="5">
        <v>74</v>
      </c>
      <c r="B247" s="5">
        <v>74</v>
      </c>
      <c r="C247" s="119" t="s">
        <v>329</v>
      </c>
      <c r="H247"/>
    </row>
    <row r="248" spans="1:8" ht="30" customHeight="1" x14ac:dyDescent="0.25">
      <c r="A248" s="5">
        <v>75</v>
      </c>
      <c r="B248" s="5">
        <v>75</v>
      </c>
      <c r="C248" s="119" t="s">
        <v>327</v>
      </c>
      <c r="H248"/>
    </row>
    <row r="249" spans="1:8" ht="30" customHeight="1" x14ac:dyDescent="0.25">
      <c r="A249" s="5">
        <v>76</v>
      </c>
      <c r="B249" s="5">
        <v>76</v>
      </c>
      <c r="C249" s="119" t="s">
        <v>307</v>
      </c>
      <c r="H249"/>
    </row>
    <row r="250" spans="1:8" ht="30" customHeight="1" x14ac:dyDescent="0.25">
      <c r="A250" s="5">
        <v>77</v>
      </c>
      <c r="B250" s="5">
        <v>77</v>
      </c>
      <c r="C250" s="119" t="s">
        <v>328</v>
      </c>
      <c r="H250"/>
    </row>
    <row r="251" spans="1:8" ht="30" customHeight="1" x14ac:dyDescent="0.25">
      <c r="A251" s="5">
        <v>78</v>
      </c>
      <c r="B251" s="5">
        <v>78</v>
      </c>
      <c r="C251" s="119" t="s">
        <v>312</v>
      </c>
      <c r="H251"/>
    </row>
    <row r="252" spans="1:8" ht="30" customHeight="1" x14ac:dyDescent="0.25">
      <c r="A252" s="5">
        <v>79</v>
      </c>
      <c r="B252" s="5">
        <v>79</v>
      </c>
      <c r="C252" s="119" t="s">
        <v>330</v>
      </c>
      <c r="H252"/>
    </row>
    <row r="253" spans="1:8" ht="30" customHeight="1" x14ac:dyDescent="0.25">
      <c r="A253" s="5">
        <v>80</v>
      </c>
      <c r="B253" s="5">
        <v>80</v>
      </c>
      <c r="C253" s="119" t="s">
        <v>323</v>
      </c>
      <c r="H253"/>
    </row>
    <row r="254" spans="1:8" ht="30" customHeight="1" x14ac:dyDescent="0.25">
      <c r="A254" s="5">
        <v>81</v>
      </c>
      <c r="B254" s="5">
        <v>81</v>
      </c>
      <c r="C254" s="119" t="s">
        <v>285</v>
      </c>
      <c r="H254"/>
    </row>
    <row r="255" spans="1:8" ht="30" customHeight="1" x14ac:dyDescent="0.25">
      <c r="A255" s="5">
        <v>82</v>
      </c>
      <c r="B255" s="5">
        <v>82</v>
      </c>
      <c r="C255" s="119" t="s">
        <v>282</v>
      </c>
      <c r="H255"/>
    </row>
    <row r="256" spans="1:8" ht="30" customHeight="1" x14ac:dyDescent="0.25">
      <c r="A256" s="5">
        <v>83</v>
      </c>
      <c r="B256" s="5">
        <v>83</v>
      </c>
      <c r="C256" s="119" t="s">
        <v>322</v>
      </c>
      <c r="H256"/>
    </row>
    <row r="257" spans="1:8" ht="30" customHeight="1" x14ac:dyDescent="0.25">
      <c r="A257" s="5">
        <v>84</v>
      </c>
      <c r="B257" s="5">
        <v>84</v>
      </c>
      <c r="C257" s="119" t="s">
        <v>286</v>
      </c>
      <c r="H257"/>
    </row>
    <row r="258" spans="1:8" ht="30" customHeight="1" x14ac:dyDescent="0.25">
      <c r="A258" s="5">
        <v>85</v>
      </c>
      <c r="B258" s="5">
        <v>85</v>
      </c>
      <c r="C258" s="119" t="s">
        <v>283</v>
      </c>
      <c r="H258"/>
    </row>
    <row r="259" spans="1:8" ht="30" customHeight="1" x14ac:dyDescent="0.25">
      <c r="A259" s="5">
        <v>86</v>
      </c>
      <c r="B259" s="5">
        <v>86</v>
      </c>
      <c r="C259" s="119" t="s">
        <v>284</v>
      </c>
      <c r="H259"/>
    </row>
    <row r="260" spans="1:8" ht="30" customHeight="1" x14ac:dyDescent="0.25">
      <c r="A260" s="5">
        <v>87</v>
      </c>
      <c r="B260" s="5">
        <v>87</v>
      </c>
      <c r="C260" s="119" t="s">
        <v>287</v>
      </c>
      <c r="H260"/>
    </row>
    <row r="261" spans="1:8" ht="30" customHeight="1" x14ac:dyDescent="0.25">
      <c r="A261" s="5">
        <v>88</v>
      </c>
      <c r="B261" s="5">
        <v>88</v>
      </c>
      <c r="C261" s="119" t="s">
        <v>324</v>
      </c>
      <c r="H261"/>
    </row>
    <row r="262" spans="1:8" ht="30" customHeight="1" x14ac:dyDescent="0.25">
      <c r="A262" s="5">
        <v>89</v>
      </c>
      <c r="B262" s="5">
        <v>89</v>
      </c>
      <c r="C262" s="119" t="s">
        <v>293</v>
      </c>
      <c r="H262"/>
    </row>
    <row r="263" spans="1:8" ht="30" customHeight="1" x14ac:dyDescent="0.25">
      <c r="A263" s="5">
        <v>90</v>
      </c>
      <c r="B263" s="5">
        <v>90</v>
      </c>
      <c r="C263" s="119" t="s">
        <v>299</v>
      </c>
      <c r="H263"/>
    </row>
    <row r="264" spans="1:8" ht="30" customHeight="1" x14ac:dyDescent="0.25">
      <c r="A264" s="5">
        <v>91</v>
      </c>
      <c r="B264" s="5">
        <v>91</v>
      </c>
      <c r="C264" s="119" t="s">
        <v>304</v>
      </c>
      <c r="H264"/>
    </row>
    <row r="265" spans="1:8" ht="30" customHeight="1" x14ac:dyDescent="0.25">
      <c r="A265" s="5">
        <v>92</v>
      </c>
      <c r="B265" s="5">
        <v>92</v>
      </c>
      <c r="C265" s="119" t="s">
        <v>292</v>
      </c>
      <c r="H265"/>
    </row>
    <row r="266" spans="1:8" ht="30" customHeight="1" x14ac:dyDescent="0.25">
      <c r="A266" s="5">
        <v>93</v>
      </c>
      <c r="B266" s="5">
        <v>93</v>
      </c>
      <c r="C266" s="119" t="s">
        <v>298</v>
      </c>
      <c r="H266"/>
    </row>
    <row r="267" spans="1:8" ht="30" customHeight="1" x14ac:dyDescent="0.25">
      <c r="A267" s="5">
        <v>94</v>
      </c>
      <c r="B267" s="5">
        <v>94</v>
      </c>
      <c r="C267" s="119" t="s">
        <v>325</v>
      </c>
      <c r="H267"/>
    </row>
    <row r="268" spans="1:8" ht="30" customHeight="1" x14ac:dyDescent="0.25">
      <c r="A268" s="5">
        <v>95</v>
      </c>
      <c r="B268" s="5">
        <v>95</v>
      </c>
      <c r="C268" s="119" t="s">
        <v>294</v>
      </c>
      <c r="H268"/>
    </row>
    <row r="269" spans="1:8" ht="30" customHeight="1" x14ac:dyDescent="0.25">
      <c r="A269" s="5">
        <v>96</v>
      </c>
      <c r="B269" s="5">
        <v>96</v>
      </c>
      <c r="C269" s="119" t="s">
        <v>288</v>
      </c>
      <c r="H269"/>
    </row>
    <row r="270" spans="1:8" ht="30" customHeight="1" x14ac:dyDescent="0.25">
      <c r="A270" s="5">
        <v>97</v>
      </c>
      <c r="B270" s="5">
        <v>97</v>
      </c>
      <c r="C270" s="119" t="s">
        <v>289</v>
      </c>
      <c r="H270"/>
    </row>
    <row r="271" spans="1:8" ht="30" customHeight="1" x14ac:dyDescent="0.25">
      <c r="A271" s="5">
        <v>98</v>
      </c>
      <c r="B271" s="5">
        <v>98</v>
      </c>
      <c r="C271" s="119" t="s">
        <v>326</v>
      </c>
      <c r="H271"/>
    </row>
    <row r="272" spans="1:8" ht="30" customHeight="1" x14ac:dyDescent="0.25">
      <c r="A272" s="5">
        <v>99</v>
      </c>
      <c r="B272" s="5">
        <v>99</v>
      </c>
      <c r="C272" s="119" t="s">
        <v>317</v>
      </c>
      <c r="H272"/>
    </row>
    <row r="273" spans="1:8" ht="30" customHeight="1" x14ac:dyDescent="0.25">
      <c r="A273" s="5">
        <v>100</v>
      </c>
      <c r="B273" s="5">
        <v>100</v>
      </c>
      <c r="C273" s="119" t="s">
        <v>306</v>
      </c>
      <c r="H273"/>
    </row>
    <row r="274" spans="1:8" ht="30" customHeight="1" x14ac:dyDescent="0.25">
      <c r="A274" s="5">
        <v>101</v>
      </c>
      <c r="B274" s="5">
        <v>101</v>
      </c>
      <c r="C274" s="119" t="s">
        <v>314</v>
      </c>
      <c r="H274"/>
    </row>
    <row r="275" spans="1:8" ht="30" customHeight="1" x14ac:dyDescent="0.25">
      <c r="A275" s="5">
        <v>102</v>
      </c>
      <c r="B275" s="5">
        <v>102</v>
      </c>
      <c r="C275" s="119" t="s">
        <v>320</v>
      </c>
      <c r="H275"/>
    </row>
    <row r="276" spans="1:8" ht="30" customHeight="1" x14ac:dyDescent="0.25">
      <c r="A276" s="5">
        <v>103</v>
      </c>
      <c r="B276" s="5">
        <v>103</v>
      </c>
      <c r="C276" s="119" t="s">
        <v>315</v>
      </c>
      <c r="H276"/>
    </row>
    <row r="277" spans="1:8" ht="30" customHeight="1" x14ac:dyDescent="0.25">
      <c r="A277" s="5">
        <v>104</v>
      </c>
      <c r="B277" s="5">
        <v>104</v>
      </c>
      <c r="C277" s="119" t="s">
        <v>319</v>
      </c>
      <c r="H277"/>
    </row>
    <row r="278" spans="1:8" ht="30" customHeight="1" x14ac:dyDescent="0.25">
      <c r="A278" s="5">
        <v>105</v>
      </c>
      <c r="B278" s="5">
        <v>105</v>
      </c>
      <c r="C278" s="119" t="s">
        <v>310</v>
      </c>
      <c r="H278"/>
    </row>
    <row r="279" spans="1:8" ht="30" customHeight="1" x14ac:dyDescent="0.25">
      <c r="A279" s="5">
        <v>106</v>
      </c>
      <c r="B279" s="5">
        <v>106</v>
      </c>
      <c r="C279" s="119" t="s">
        <v>301</v>
      </c>
      <c r="H279"/>
    </row>
    <row r="280" spans="1:8" ht="30" customHeight="1" x14ac:dyDescent="0.25">
      <c r="A280" s="5">
        <v>107</v>
      </c>
      <c r="B280" s="5">
        <v>107</v>
      </c>
      <c r="C280" s="119" t="s">
        <v>318</v>
      </c>
      <c r="H280"/>
    </row>
    <row r="281" spans="1:8" ht="30" customHeight="1" x14ac:dyDescent="0.25">
      <c r="A281" s="5">
        <v>108</v>
      </c>
      <c r="B281" s="5">
        <v>108</v>
      </c>
      <c r="C281" s="119" t="s">
        <v>308</v>
      </c>
      <c r="H281"/>
    </row>
    <row r="282" spans="1:8" ht="30" customHeight="1" x14ac:dyDescent="0.25">
      <c r="A282" s="5">
        <v>109</v>
      </c>
      <c r="B282" s="5">
        <v>109</v>
      </c>
      <c r="H282"/>
    </row>
    <row r="283" spans="1:8" ht="30" customHeight="1" x14ac:dyDescent="0.25">
      <c r="A283" s="5">
        <v>110</v>
      </c>
      <c r="B283" s="5">
        <v>110</v>
      </c>
      <c r="H283"/>
    </row>
    <row r="284" spans="1:8" ht="30" customHeight="1" x14ac:dyDescent="0.25">
      <c r="A284" s="5">
        <v>111</v>
      </c>
      <c r="B284" s="5">
        <v>111</v>
      </c>
      <c r="H284"/>
    </row>
    <row r="285" spans="1:8" ht="30" customHeight="1" x14ac:dyDescent="0.25">
      <c r="A285" s="5">
        <v>112</v>
      </c>
      <c r="B285" s="5">
        <v>112</v>
      </c>
      <c r="H285"/>
    </row>
    <row r="286" spans="1:8" ht="30" customHeight="1" x14ac:dyDescent="0.25">
      <c r="A286" s="5">
        <v>113</v>
      </c>
      <c r="B286" s="5">
        <v>113</v>
      </c>
      <c r="H286"/>
    </row>
    <row r="287" spans="1:8" ht="30" customHeight="1" x14ac:dyDescent="0.25">
      <c r="A287" s="5">
        <v>114</v>
      </c>
      <c r="B287" s="5">
        <v>114</v>
      </c>
      <c r="H287"/>
    </row>
    <row r="288" spans="1:8" ht="30" customHeight="1" x14ac:dyDescent="0.25">
      <c r="A288" s="5">
        <v>115</v>
      </c>
      <c r="B288" s="5">
        <v>115</v>
      </c>
      <c r="H288"/>
    </row>
    <row r="289" spans="1:8" ht="30" customHeight="1" x14ac:dyDescent="0.25">
      <c r="A289" s="5">
        <v>116</v>
      </c>
      <c r="B289" s="5">
        <v>116</v>
      </c>
      <c r="H289"/>
    </row>
    <row r="290" spans="1:8" ht="30" customHeight="1" x14ac:dyDescent="0.25">
      <c r="A290" s="5">
        <v>117</v>
      </c>
      <c r="B290" s="5">
        <v>117</v>
      </c>
      <c r="H290"/>
    </row>
    <row r="291" spans="1:8" ht="30" customHeight="1" x14ac:dyDescent="0.25">
      <c r="A291" s="5">
        <v>118</v>
      </c>
      <c r="B291" s="5">
        <v>118</v>
      </c>
      <c r="H291"/>
    </row>
    <row r="292" spans="1:8" ht="30" customHeight="1" x14ac:dyDescent="0.25">
      <c r="A292" s="5">
        <v>119</v>
      </c>
      <c r="B292" s="5">
        <v>119</v>
      </c>
      <c r="C292" s="119" t="s">
        <v>278</v>
      </c>
      <c r="H292"/>
    </row>
    <row r="293" spans="1:8" ht="30" customHeight="1" x14ac:dyDescent="0.25">
      <c r="A293" s="5">
        <v>120</v>
      </c>
      <c r="B293" s="5">
        <v>120</v>
      </c>
      <c r="C293" s="119" t="s">
        <v>280</v>
      </c>
      <c r="H293"/>
    </row>
    <row r="294" spans="1:8" ht="30" customHeight="1" x14ac:dyDescent="0.25">
      <c r="A294" s="5">
        <v>121</v>
      </c>
      <c r="B294" s="5">
        <v>121</v>
      </c>
      <c r="C294" s="119" t="s">
        <v>279</v>
      </c>
      <c r="H294"/>
    </row>
    <row r="295" spans="1:8" ht="30" customHeight="1" x14ac:dyDescent="0.25">
      <c r="A295" s="5">
        <v>122</v>
      </c>
      <c r="B295" s="5">
        <v>122</v>
      </c>
      <c r="C295" s="119" t="s">
        <v>275</v>
      </c>
      <c r="H295"/>
    </row>
    <row r="296" spans="1:8" ht="30" customHeight="1" x14ac:dyDescent="0.25">
      <c r="A296" s="5">
        <v>123</v>
      </c>
      <c r="B296" s="5">
        <v>123</v>
      </c>
      <c r="C296" s="119" t="s">
        <v>277</v>
      </c>
      <c r="H296"/>
    </row>
    <row r="297" spans="1:8" ht="30" customHeight="1" x14ac:dyDescent="0.25">
      <c r="A297" s="5">
        <v>124</v>
      </c>
      <c r="B297" s="5">
        <v>124</v>
      </c>
      <c r="C297" s="119" t="s">
        <v>276</v>
      </c>
      <c r="H297"/>
    </row>
    <row r="298" spans="1:8" ht="30" customHeight="1" x14ac:dyDescent="0.25">
      <c r="A298" s="5">
        <v>125</v>
      </c>
      <c r="B298" s="5">
        <v>125</v>
      </c>
      <c r="C298" s="119" t="s">
        <v>281</v>
      </c>
      <c r="H298"/>
    </row>
    <row r="299" spans="1:8" ht="30" customHeight="1" x14ac:dyDescent="0.25">
      <c r="A299" s="5">
        <v>126</v>
      </c>
      <c r="B299" s="5">
        <v>126</v>
      </c>
      <c r="C299" s="119" t="s">
        <v>274</v>
      </c>
      <c r="H299"/>
    </row>
    <row r="300" spans="1:8" ht="30" customHeight="1" x14ac:dyDescent="0.25">
      <c r="A300" s="5">
        <v>127</v>
      </c>
      <c r="B300" s="5">
        <v>127</v>
      </c>
      <c r="C300" s="119" t="s">
        <v>60</v>
      </c>
      <c r="H300"/>
    </row>
    <row r="301" spans="1:8" ht="30" customHeight="1" x14ac:dyDescent="0.25">
      <c r="A301" s="5">
        <v>128</v>
      </c>
      <c r="B301" s="5">
        <v>128</v>
      </c>
      <c r="C301"/>
      <c r="H301"/>
    </row>
    <row r="302" spans="1:8" ht="30" customHeight="1" x14ac:dyDescent="0.25">
      <c r="A302" s="5">
        <v>129</v>
      </c>
      <c r="B302" s="5">
        <v>129</v>
      </c>
      <c r="C302"/>
      <c r="H302"/>
    </row>
    <row r="303" spans="1:8" ht="30" customHeight="1" x14ac:dyDescent="0.25">
      <c r="A303" s="5">
        <v>130</v>
      </c>
      <c r="B303" s="5">
        <v>130</v>
      </c>
      <c r="C303"/>
      <c r="H303"/>
    </row>
    <row r="304" spans="1:8" ht="30" customHeight="1" x14ac:dyDescent="0.25">
      <c r="A304" s="5">
        <v>131</v>
      </c>
      <c r="B304" s="5">
        <v>131</v>
      </c>
      <c r="C304"/>
      <c r="H304"/>
    </row>
    <row r="305" spans="1:8" ht="30" customHeight="1" x14ac:dyDescent="0.25">
      <c r="A305" s="5">
        <v>132</v>
      </c>
      <c r="B305" s="5">
        <v>132</v>
      </c>
      <c r="C305"/>
      <c r="H305"/>
    </row>
    <row r="306" spans="1:8" ht="30" customHeight="1" x14ac:dyDescent="0.25">
      <c r="A306" s="5">
        <v>133</v>
      </c>
      <c r="B306" s="5">
        <v>133</v>
      </c>
      <c r="C306"/>
      <c r="H306"/>
    </row>
    <row r="307" spans="1:8" ht="30" customHeight="1" x14ac:dyDescent="0.25">
      <c r="A307" s="5">
        <v>134</v>
      </c>
      <c r="B307" s="5">
        <v>134</v>
      </c>
      <c r="C307"/>
      <c r="H307"/>
    </row>
    <row r="308" spans="1:8" ht="30" customHeight="1" x14ac:dyDescent="0.25">
      <c r="A308" s="5">
        <v>135</v>
      </c>
      <c r="B308" s="5">
        <v>135</v>
      </c>
      <c r="C308"/>
      <c r="H308"/>
    </row>
    <row r="309" spans="1:8" ht="30" customHeight="1" x14ac:dyDescent="0.25">
      <c r="A309" s="5">
        <v>136</v>
      </c>
      <c r="B309" s="5">
        <v>136</v>
      </c>
      <c r="C309"/>
      <c r="H309"/>
    </row>
    <row r="310" spans="1:8" ht="30" customHeight="1" x14ac:dyDescent="0.25">
      <c r="A310" s="5">
        <v>137</v>
      </c>
      <c r="B310" s="5">
        <v>137</v>
      </c>
      <c r="C310"/>
      <c r="H310"/>
    </row>
    <row r="311" spans="1:8" ht="30" customHeight="1" x14ac:dyDescent="0.25">
      <c r="A311" s="5">
        <v>138</v>
      </c>
      <c r="B311" s="5">
        <v>138</v>
      </c>
      <c r="C311"/>
      <c r="H311"/>
    </row>
    <row r="312" spans="1:8" ht="30" customHeight="1" x14ac:dyDescent="0.25">
      <c r="A312" s="5">
        <v>139</v>
      </c>
      <c r="B312" s="5">
        <v>139</v>
      </c>
      <c r="C312"/>
      <c r="H312"/>
    </row>
    <row r="313" spans="1:8" ht="30" customHeight="1" x14ac:dyDescent="0.25">
      <c r="A313" s="5">
        <v>140</v>
      </c>
      <c r="B313" s="5">
        <v>140</v>
      </c>
      <c r="C313"/>
      <c r="H313"/>
    </row>
    <row r="314" spans="1:8" ht="30" customHeight="1" x14ac:dyDescent="0.25">
      <c r="A314" s="5">
        <v>141</v>
      </c>
      <c r="B314" s="5">
        <v>141</v>
      </c>
      <c r="C314"/>
      <c r="H314"/>
    </row>
    <row r="315" spans="1:8" ht="30" customHeight="1" x14ac:dyDescent="0.25">
      <c r="A315" s="5">
        <v>142</v>
      </c>
      <c r="B315" s="5">
        <v>142</v>
      </c>
      <c r="C315"/>
      <c r="H315"/>
    </row>
    <row r="316" spans="1:8" ht="30" customHeight="1" x14ac:dyDescent="0.25">
      <c r="A316" s="5">
        <v>143</v>
      </c>
      <c r="B316" s="5">
        <v>143</v>
      </c>
      <c r="C316"/>
      <c r="H316"/>
    </row>
    <row r="317" spans="1:8" ht="30" customHeight="1" x14ac:dyDescent="0.25">
      <c r="A317" s="5">
        <v>144</v>
      </c>
      <c r="B317" s="5">
        <v>144</v>
      </c>
      <c r="C317"/>
      <c r="H317"/>
    </row>
    <row r="318" spans="1:8" ht="30" customHeight="1" x14ac:dyDescent="0.25">
      <c r="A318" s="5">
        <v>145</v>
      </c>
      <c r="B318" s="5">
        <v>145</v>
      </c>
      <c r="C318"/>
      <c r="H318"/>
    </row>
    <row r="319" spans="1:8" ht="30" customHeight="1" x14ac:dyDescent="0.25">
      <c r="A319" s="5">
        <v>146</v>
      </c>
      <c r="B319" s="5">
        <v>146</v>
      </c>
      <c r="C319"/>
      <c r="H319"/>
    </row>
    <row r="320" spans="1:8" ht="30" customHeight="1" x14ac:dyDescent="0.25">
      <c r="A320" s="5">
        <v>147</v>
      </c>
      <c r="B320" s="5">
        <v>147</v>
      </c>
      <c r="C320"/>
      <c r="H320"/>
    </row>
    <row r="321" spans="1:8" ht="30" customHeight="1" x14ac:dyDescent="0.25">
      <c r="A321" s="5">
        <v>148</v>
      </c>
      <c r="B321" s="5">
        <v>148</v>
      </c>
      <c r="C321"/>
      <c r="H321"/>
    </row>
    <row r="322" spans="1:8" ht="30" customHeight="1" x14ac:dyDescent="0.25">
      <c r="A322" s="5">
        <v>149</v>
      </c>
      <c r="B322" s="5">
        <v>149</v>
      </c>
      <c r="C322"/>
      <c r="H322"/>
    </row>
    <row r="323" spans="1:8" ht="30" customHeight="1" x14ac:dyDescent="0.25">
      <c r="A323" s="5">
        <v>150</v>
      </c>
      <c r="B323" s="5">
        <v>150</v>
      </c>
      <c r="C323"/>
      <c r="H323"/>
    </row>
    <row r="324" spans="1:8" ht="30" customHeight="1" x14ac:dyDescent="0.25">
      <c r="A324" s="5">
        <v>151</v>
      </c>
      <c r="B324" s="5">
        <v>151</v>
      </c>
      <c r="C324"/>
      <c r="H324"/>
    </row>
    <row r="325" spans="1:8" ht="30" customHeight="1" x14ac:dyDescent="0.25">
      <c r="A325" s="5">
        <v>152</v>
      </c>
      <c r="B325" s="5">
        <v>152</v>
      </c>
      <c r="C325"/>
      <c r="H325"/>
    </row>
    <row r="326" spans="1:8" ht="30" customHeight="1" x14ac:dyDescent="0.25">
      <c r="A326" s="5">
        <v>153</v>
      </c>
      <c r="B326" s="5">
        <v>153</v>
      </c>
      <c r="C326"/>
      <c r="H326"/>
    </row>
    <row r="327" spans="1:8" ht="30" customHeight="1" x14ac:dyDescent="0.25">
      <c r="A327" s="5">
        <v>154</v>
      </c>
      <c r="B327" s="5">
        <v>154</v>
      </c>
      <c r="C327"/>
      <c r="H327"/>
    </row>
    <row r="328" spans="1:8" ht="30" customHeight="1" x14ac:dyDescent="0.25">
      <c r="A328" s="5">
        <v>155</v>
      </c>
      <c r="B328" s="5">
        <v>155</v>
      </c>
      <c r="C328"/>
      <c r="H328"/>
    </row>
    <row r="329" spans="1:8" ht="30" customHeight="1" x14ac:dyDescent="0.25">
      <c r="A329" s="5">
        <v>156</v>
      </c>
      <c r="B329" s="5">
        <v>156</v>
      </c>
      <c r="C329"/>
      <c r="H329"/>
    </row>
    <row r="330" spans="1:8" ht="30" customHeight="1" x14ac:dyDescent="0.25">
      <c r="A330" s="5">
        <v>157</v>
      </c>
      <c r="B330" s="5">
        <v>157</v>
      </c>
      <c r="C330"/>
    </row>
    <row r="331" spans="1:8" ht="30" customHeight="1" x14ac:dyDescent="0.25">
      <c r="A331" s="5">
        <v>158</v>
      </c>
      <c r="B331" s="5">
        <v>158</v>
      </c>
      <c r="C331"/>
    </row>
    <row r="332" spans="1:8" ht="30" customHeight="1" x14ac:dyDescent="0.25">
      <c r="A332" s="5">
        <v>159</v>
      </c>
      <c r="B332" s="5">
        <v>159</v>
      </c>
      <c r="C332"/>
    </row>
    <row r="333" spans="1:8" ht="30" customHeight="1" x14ac:dyDescent="0.25">
      <c r="A333" s="5">
        <v>160</v>
      </c>
      <c r="B333" s="5">
        <v>160</v>
      </c>
      <c r="C333"/>
    </row>
    <row r="334" spans="1:8" ht="30" customHeight="1" x14ac:dyDescent="0.25">
      <c r="A334" s="5">
        <v>161</v>
      </c>
      <c r="B334" s="5">
        <v>161</v>
      </c>
      <c r="C334"/>
    </row>
    <row r="335" spans="1:8" ht="30" customHeight="1" x14ac:dyDescent="0.25">
      <c r="A335" s="5">
        <v>162</v>
      </c>
      <c r="B335" s="5">
        <v>162</v>
      </c>
      <c r="C335"/>
    </row>
    <row r="336" spans="1:8" ht="30" customHeight="1" x14ac:dyDescent="0.25">
      <c r="A336" s="5">
        <v>163</v>
      </c>
      <c r="B336" s="5">
        <v>163</v>
      </c>
      <c r="C336"/>
    </row>
    <row r="337" spans="1:47" ht="30" customHeight="1" x14ac:dyDescent="0.25">
      <c r="A337" s="5">
        <v>164</v>
      </c>
      <c r="B337" s="5">
        <v>164</v>
      </c>
      <c r="C337"/>
    </row>
    <row r="338" spans="1:47" ht="30" customHeight="1" x14ac:dyDescent="0.25">
      <c r="A338" s="5">
        <v>165</v>
      </c>
      <c r="B338" s="5">
        <v>165</v>
      </c>
      <c r="C338"/>
    </row>
    <row r="339" spans="1:47" ht="30" customHeight="1" x14ac:dyDescent="0.25">
      <c r="A339" s="5">
        <v>166</v>
      </c>
      <c r="B339" s="5">
        <v>166</v>
      </c>
      <c r="C339"/>
    </row>
    <row r="340" spans="1:47" ht="30" customHeight="1" x14ac:dyDescent="0.25">
      <c r="A340" s="5">
        <v>167</v>
      </c>
      <c r="B340" s="5">
        <v>167</v>
      </c>
      <c r="C340"/>
    </row>
    <row r="341" spans="1:47" ht="30" customHeight="1" x14ac:dyDescent="0.25">
      <c r="A341" s="5">
        <v>168</v>
      </c>
      <c r="B341" s="5">
        <v>168</v>
      </c>
      <c r="C341"/>
    </row>
    <row r="342" spans="1:47" x14ac:dyDescent="0.25">
      <c r="C342"/>
    </row>
    <row r="343" spans="1:47" x14ac:dyDescent="0.25">
      <c r="C343"/>
    </row>
    <row r="344" spans="1:47" x14ac:dyDescent="0.25">
      <c r="C344"/>
    </row>
    <row r="345" spans="1:47" x14ac:dyDescent="0.25">
      <c r="C345"/>
    </row>
    <row r="346" spans="1:47" x14ac:dyDescent="0.25">
      <c r="C346"/>
    </row>
    <row r="347" spans="1:47" x14ac:dyDescent="0.25">
      <c r="C347"/>
    </row>
    <row r="348" spans="1:47" x14ac:dyDescent="0.25">
      <c r="C348"/>
    </row>
    <row r="349" spans="1:47" x14ac:dyDescent="0.25">
      <c r="C349"/>
    </row>
    <row r="350" spans="1:47" x14ac:dyDescent="0.25">
      <c r="C350"/>
    </row>
    <row r="351" spans="1:47" s="5" customFormat="1" x14ac:dyDescent="0.25">
      <c r="B351" s="4"/>
      <c r="C351"/>
      <c r="D351" s="4"/>
      <c r="E351" s="117"/>
      <c r="F351" s="6"/>
      <c r="G351" s="4"/>
      <c r="H351" s="6"/>
      <c r="I351" s="6"/>
      <c r="J351" s="6"/>
      <c r="K351" s="64"/>
      <c r="W351"/>
      <c r="X351"/>
      <c r="Y351"/>
      <c r="Z351"/>
      <c r="AA351"/>
      <c r="AB351"/>
      <c r="AC351" s="12"/>
      <c r="AD351" s="12"/>
      <c r="AE351" s="12"/>
      <c r="AF351" s="12"/>
      <c r="AG351" s="110"/>
      <c r="AR351" s="4"/>
      <c r="AT351" s="4"/>
      <c r="AU351" s="6"/>
    </row>
    <row r="352" spans="1:47" s="5" customFormat="1" x14ac:dyDescent="0.25">
      <c r="B352" s="4"/>
      <c r="C352"/>
      <c r="D352" s="4"/>
      <c r="E352" s="117"/>
      <c r="F352" s="6"/>
      <c r="G352" s="4"/>
      <c r="H352" s="6"/>
      <c r="I352" s="6"/>
      <c r="J352" s="6"/>
      <c r="K352" s="64"/>
      <c r="W352"/>
      <c r="X352"/>
      <c r="Y352"/>
      <c r="Z352"/>
      <c r="AA352"/>
      <c r="AB352"/>
      <c r="AC352" s="12"/>
      <c r="AD352" s="12"/>
      <c r="AE352" s="12"/>
      <c r="AF352" s="12"/>
      <c r="AG352" s="110"/>
      <c r="AR352" s="4"/>
      <c r="AT352" s="4"/>
      <c r="AU352" s="6"/>
    </row>
    <row r="353" spans="2:47" s="5" customFormat="1" x14ac:dyDescent="0.25">
      <c r="B353" s="4"/>
      <c r="C353"/>
      <c r="D353" s="4"/>
      <c r="E353" s="117"/>
      <c r="F353" s="6"/>
      <c r="G353" s="4"/>
      <c r="H353" s="6"/>
      <c r="I353" s="6"/>
      <c r="J353" s="6"/>
      <c r="K353" s="64"/>
      <c r="W353"/>
      <c r="X353"/>
      <c r="Y353"/>
      <c r="Z353"/>
      <c r="AA353"/>
      <c r="AB353"/>
      <c r="AC353" s="12"/>
      <c r="AD353" s="12"/>
      <c r="AE353" s="12"/>
      <c r="AF353" s="12"/>
      <c r="AG353" s="110"/>
      <c r="AR353" s="4"/>
      <c r="AT353" s="4"/>
      <c r="AU353" s="6"/>
    </row>
    <row r="354" spans="2:47" s="5" customFormat="1" x14ac:dyDescent="0.25">
      <c r="B354" s="4"/>
      <c r="C354"/>
      <c r="D354" s="4"/>
      <c r="E354" s="117"/>
      <c r="F354" s="6"/>
      <c r="G354" s="4"/>
      <c r="H354" s="6"/>
      <c r="I354" s="6"/>
      <c r="J354" s="6"/>
      <c r="K354" s="64"/>
      <c r="W354"/>
      <c r="X354"/>
      <c r="Y354"/>
      <c r="Z354"/>
      <c r="AA354"/>
      <c r="AB354"/>
      <c r="AC354" s="12"/>
      <c r="AD354" s="12"/>
      <c r="AE354" s="12"/>
      <c r="AF354" s="12"/>
      <c r="AG354" s="110"/>
      <c r="AR354" s="4"/>
      <c r="AT354" s="4"/>
      <c r="AU354" s="6"/>
    </row>
    <row r="355" spans="2:47" x14ac:dyDescent="0.25">
      <c r="C355"/>
    </row>
    <row r="356" spans="2:47" x14ac:dyDescent="0.25">
      <c r="C356"/>
    </row>
    <row r="357" spans="2:47" x14ac:dyDescent="0.25">
      <c r="C357"/>
    </row>
    <row r="358" spans="2:47" x14ac:dyDescent="0.25">
      <c r="C358"/>
    </row>
    <row r="359" spans="2:47" x14ac:dyDescent="0.25">
      <c r="C359"/>
    </row>
    <row r="360" spans="2:47" x14ac:dyDescent="0.25">
      <c r="C360"/>
    </row>
    <row r="361" spans="2:47" x14ac:dyDescent="0.25">
      <c r="C361"/>
    </row>
    <row r="362" spans="2:47" x14ac:dyDescent="0.25">
      <c r="C362"/>
    </row>
    <row r="363" spans="2:47" x14ac:dyDescent="0.25">
      <c r="C363"/>
    </row>
    <row r="364" spans="2:47" x14ac:dyDescent="0.25">
      <c r="C364"/>
    </row>
    <row r="365" spans="2:47" x14ac:dyDescent="0.25">
      <c r="C365"/>
    </row>
    <row r="366" spans="2:47" x14ac:dyDescent="0.25">
      <c r="C366"/>
    </row>
    <row r="367" spans="2:47" x14ac:dyDescent="0.25">
      <c r="C367"/>
    </row>
    <row r="368" spans="2:47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</sheetData>
  <sortState xmlns:xlrd2="http://schemas.microsoft.com/office/spreadsheetml/2017/richdata2" ref="C232:C301">
    <sortCondition ref="C232:C301"/>
  </sortState>
  <conditionalFormatting sqref="Q2:Q172">
    <cfRule type="containsText" dxfId="7" priority="2" operator="containsText" text="Cr">
      <formula>NOT(ISERROR(SEARCH("Cr",Q2)))</formula>
    </cfRule>
  </conditionalFormatting>
  <conditionalFormatting sqref="AF2:AG13">
    <cfRule type="containsText" dxfId="6" priority="18" operator="containsText" text="Cr">
      <formula>NOT(ISERROR(SEARCH("Cr",AF2)))</formula>
    </cfRule>
  </conditionalFormatting>
  <conditionalFormatting sqref="AF15:AG22 AF24:AG31">
    <cfRule type="containsText" dxfId="5" priority="27" operator="containsText" text="Cr">
      <formula>NOT(ISERROR(SEARCH("Cr",AF15)))</formula>
    </cfRule>
  </conditionalFormatting>
  <conditionalFormatting sqref="AF33:AG65">
    <cfRule type="containsText" dxfId="4" priority="8" operator="containsText" text="Cr">
      <formula>NOT(ISERROR(SEARCH("Cr",AF33)))</formula>
    </cfRule>
  </conditionalFormatting>
  <conditionalFormatting sqref="AF67:AG106">
    <cfRule type="containsText" dxfId="3" priority="31" operator="containsText" text="Cr">
      <formula>NOT(ISERROR(SEARCH("Cr",AF67)))</formula>
    </cfRule>
  </conditionalFormatting>
  <conditionalFormatting sqref="AF108:AG153">
    <cfRule type="containsText" dxfId="2" priority="30" operator="containsText" text="Cr">
      <formula>NOT(ISERROR(SEARCH("Cr",AF108)))</formula>
    </cfRule>
  </conditionalFormatting>
  <conditionalFormatting sqref="AF155:AG172">
    <cfRule type="containsText" dxfId="1" priority="1" operator="containsText" text="Cr">
      <formula>NOT(ISERROR(SEARCH("Cr",AF155)))</formula>
    </cfRule>
  </conditionalFormatting>
  <conditionalFormatting sqref="AJ157:AL168">
    <cfRule type="containsText" dxfId="0" priority="25" operator="containsText" text="Cr">
      <formula>NOT(ISERROR(SEARCH("Cr",AJ157)))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1"/>
  <dimension ref="A1:M24"/>
  <sheetViews>
    <sheetView showGridLines="0" topLeftCell="A11" zoomScaleNormal="100" workbookViewId="0">
      <selection activeCell="D15" sqref="D15"/>
    </sheetView>
  </sheetViews>
  <sheetFormatPr defaultRowHeight="15" x14ac:dyDescent="0.25"/>
  <cols>
    <col min="1" max="1" width="5.28515625" customWidth="1"/>
    <col min="2" max="2" width="9.140625" style="12"/>
    <col min="3" max="3" width="17.7109375" customWidth="1"/>
    <col min="4" max="4" width="17.7109375" style="13" customWidth="1"/>
    <col min="5" max="5" width="2.85546875" style="13" customWidth="1"/>
  </cols>
  <sheetData>
    <row r="1" spans="1:13" ht="15.75" thickBot="1" x14ac:dyDescent="0.3"/>
    <row r="2" spans="1:13" ht="15.75" thickBot="1" x14ac:dyDescent="0.3">
      <c r="B2" s="14"/>
      <c r="C2" s="1"/>
      <c r="D2" s="197"/>
      <c r="E2" s="198"/>
    </row>
    <row r="3" spans="1:13" ht="60" customHeight="1" thickBot="1" x14ac:dyDescent="0.3">
      <c r="A3" s="100">
        <f>Elektrolisis!E21</f>
        <v>5</v>
      </c>
      <c r="B3" s="11">
        <v>0</v>
      </c>
      <c r="C3" s="382"/>
      <c r="D3" s="383"/>
      <c r="E3" s="15"/>
    </row>
    <row r="4" spans="1:13" ht="60" customHeight="1" x14ac:dyDescent="0.25">
      <c r="B4" s="11">
        <v>1</v>
      </c>
      <c r="C4" s="281"/>
      <c r="D4" s="16"/>
      <c r="E4" s="15"/>
    </row>
    <row r="5" spans="1:13" ht="60" customHeight="1" x14ac:dyDescent="0.25">
      <c r="B5" s="11">
        <v>2</v>
      </c>
      <c r="C5" s="281"/>
      <c r="D5" s="16"/>
      <c r="E5" s="15"/>
    </row>
    <row r="6" spans="1:13" ht="60" customHeight="1" x14ac:dyDescent="0.25">
      <c r="B6" s="11">
        <v>3</v>
      </c>
      <c r="C6" s="281"/>
      <c r="D6" s="16"/>
      <c r="E6" s="15"/>
    </row>
    <row r="7" spans="1:13" ht="60" customHeight="1" x14ac:dyDescent="0.25">
      <c r="B7" s="11">
        <v>4</v>
      </c>
      <c r="C7" s="281"/>
      <c r="D7" s="16"/>
      <c r="E7" s="15"/>
    </row>
    <row r="8" spans="1:13" ht="60" customHeight="1" x14ac:dyDescent="0.25">
      <c r="B8" s="11">
        <v>5</v>
      </c>
      <c r="C8" s="281"/>
      <c r="D8" s="16"/>
      <c r="E8" s="15"/>
    </row>
    <row r="9" spans="1:13" ht="60" customHeight="1" x14ac:dyDescent="0.25">
      <c r="B9" s="11">
        <v>6</v>
      </c>
      <c r="C9" s="281"/>
      <c r="D9" s="16"/>
      <c r="E9" s="15"/>
    </row>
    <row r="10" spans="1:13" ht="60" customHeight="1" x14ac:dyDescent="0.25">
      <c r="B10" s="11">
        <v>7</v>
      </c>
      <c r="C10" s="281"/>
      <c r="D10" s="16"/>
      <c r="E10" s="15"/>
    </row>
    <row r="11" spans="1:13" ht="60" customHeight="1" x14ac:dyDescent="0.25">
      <c r="B11" s="11">
        <v>8</v>
      </c>
      <c r="C11" s="281"/>
      <c r="D11" s="16"/>
      <c r="E11" s="15"/>
      <c r="J11" t="s">
        <v>14</v>
      </c>
    </row>
    <row r="12" spans="1:13" ht="60" customHeight="1" x14ac:dyDescent="0.25">
      <c r="B12" s="11">
        <v>9</v>
      </c>
      <c r="C12" s="281"/>
      <c r="D12" s="16"/>
      <c r="E12" s="15"/>
    </row>
    <row r="13" spans="1:13" ht="60" customHeight="1" x14ac:dyDescent="0.25">
      <c r="B13" s="11">
        <v>10</v>
      </c>
      <c r="C13" s="281"/>
      <c r="D13" s="16"/>
      <c r="E13" s="15"/>
    </row>
    <row r="14" spans="1:13" ht="60" customHeight="1" x14ac:dyDescent="0.25">
      <c r="B14" s="11">
        <v>11</v>
      </c>
      <c r="C14" s="281"/>
      <c r="D14" s="16"/>
      <c r="E14" s="15"/>
      <c r="M14" s="13"/>
    </row>
    <row r="15" spans="1:13" ht="60" customHeight="1" x14ac:dyDescent="0.25">
      <c r="B15" s="11">
        <v>12</v>
      </c>
      <c r="C15" s="281"/>
      <c r="D15" s="16"/>
      <c r="E15" s="15"/>
    </row>
    <row r="16" spans="1:13" ht="60" customHeight="1" x14ac:dyDescent="0.25">
      <c r="B16" s="11">
        <v>13</v>
      </c>
      <c r="C16" s="282"/>
      <c r="D16" s="2"/>
      <c r="E16" s="171"/>
      <c r="M16" s="13"/>
    </row>
    <row r="17" spans="2:13" ht="60" customHeight="1" x14ac:dyDescent="0.25">
      <c r="B17" s="11">
        <v>14</v>
      </c>
      <c r="C17" s="281"/>
      <c r="D17" s="16"/>
      <c r="E17" s="171"/>
    </row>
    <row r="18" spans="2:13" ht="60" customHeight="1" x14ac:dyDescent="0.25">
      <c r="B18" s="384">
        <v>15</v>
      </c>
      <c r="C18" s="281"/>
      <c r="E18" s="171"/>
      <c r="I18" t="s">
        <v>14</v>
      </c>
      <c r="M18" s="13"/>
    </row>
    <row r="19" spans="2:13" ht="60" customHeight="1" thickBot="1" x14ac:dyDescent="0.3">
      <c r="B19" s="385"/>
      <c r="C19" s="386"/>
      <c r="D19" s="387"/>
      <c r="E19" s="172"/>
    </row>
    <row r="20" spans="2:13" ht="60" customHeight="1" x14ac:dyDescent="0.25"/>
    <row r="21" spans="2:13" ht="60" customHeight="1" x14ac:dyDescent="0.25"/>
    <row r="22" spans="2:13" ht="60" customHeight="1" x14ac:dyDescent="0.25"/>
    <row r="23" spans="2:13" ht="60" customHeight="1" x14ac:dyDescent="0.25"/>
    <row r="24" spans="2:13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N5" sqref="N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1"/>
  <sheetViews>
    <sheetView topLeftCell="A91" zoomScale="98" zoomScaleNormal="98" workbookViewId="0">
      <selection activeCell="S336" sqref="S336"/>
    </sheetView>
  </sheetViews>
  <sheetFormatPr defaultColWidth="9.140625" defaultRowHeight="15" x14ac:dyDescent="0.25"/>
  <cols>
    <col min="1" max="1" width="4.5703125" style="114" customWidth="1"/>
    <col min="2" max="2" width="7" style="121" customWidth="1"/>
    <col min="3" max="3" width="14.42578125" style="114" customWidth="1"/>
    <col min="4" max="4" width="12.42578125" style="121" customWidth="1"/>
    <col min="5" max="5" width="1.85546875" style="114" customWidth="1"/>
    <col min="6" max="6" width="5.140625" style="122" customWidth="1"/>
    <col min="7" max="13" width="9.140625" style="114"/>
    <col min="14" max="14" width="12.85546875" style="114" customWidth="1"/>
    <col min="15" max="16384" width="9.140625" style="114"/>
  </cols>
  <sheetData>
    <row r="1" spans="1:15" s="120" customFormat="1" x14ac:dyDescent="0.25">
      <c r="B1" s="126"/>
      <c r="D1" s="126"/>
      <c r="F1" s="127"/>
    </row>
    <row r="2" spans="1:15" s="120" customFormat="1" x14ac:dyDescent="0.25">
      <c r="B2" s="126"/>
      <c r="D2" s="126"/>
      <c r="F2" s="127"/>
    </row>
    <row r="3" spans="1:15" s="120" customFormat="1" x14ac:dyDescent="0.25">
      <c r="B3" s="126"/>
      <c r="D3" s="126"/>
      <c r="F3" s="127"/>
    </row>
    <row r="4" spans="1:15" s="120" customFormat="1" x14ac:dyDescent="0.25">
      <c r="B4" s="126"/>
      <c r="D4" s="126"/>
      <c r="F4" s="127"/>
    </row>
    <row r="5" spans="1:15" s="120" customFormat="1" x14ac:dyDescent="0.25">
      <c r="B5" s="126"/>
      <c r="D5" s="126"/>
      <c r="F5" s="127"/>
    </row>
    <row r="6" spans="1:15" s="123" customFormat="1" x14ac:dyDescent="0.25">
      <c r="B6" s="124"/>
      <c r="D6" s="124"/>
      <c r="F6" s="125"/>
    </row>
    <row r="7" spans="1:15" ht="15.75" thickBot="1" x14ac:dyDescent="0.3"/>
    <row r="8" spans="1:15" x14ac:dyDescent="0.25">
      <c r="A8" s="429" t="s">
        <v>83</v>
      </c>
      <c r="B8" s="60" t="s">
        <v>39</v>
      </c>
      <c r="C8" s="61" t="s">
        <v>4</v>
      </c>
      <c r="D8" s="62" t="s">
        <v>61</v>
      </c>
      <c r="F8" s="60"/>
      <c r="G8" s="80"/>
      <c r="H8" s="1"/>
      <c r="I8" s="1"/>
      <c r="J8" s="1"/>
      <c r="K8" s="1"/>
      <c r="L8" s="1"/>
      <c r="M8" s="1"/>
      <c r="N8" s="1"/>
      <c r="O8" s="74"/>
    </row>
    <row r="9" spans="1:15" x14ac:dyDescent="0.25">
      <c r="A9" s="430"/>
      <c r="B9" s="56">
        <v>1</v>
      </c>
      <c r="C9" s="2" t="s">
        <v>62</v>
      </c>
      <c r="D9" s="57" t="s">
        <v>55</v>
      </c>
      <c r="F9" s="75">
        <v>1</v>
      </c>
      <c r="G9" s="81"/>
      <c r="H9" s="2"/>
      <c r="I9" s="2"/>
      <c r="J9" s="2"/>
      <c r="K9" s="2"/>
      <c r="L9" s="2"/>
      <c r="M9" s="2"/>
      <c r="N9" s="2"/>
      <c r="O9" s="76"/>
    </row>
    <row r="10" spans="1:15" x14ac:dyDescent="0.25">
      <c r="A10" s="430"/>
      <c r="B10" s="56">
        <v>2</v>
      </c>
      <c r="C10" s="2" t="s">
        <v>70</v>
      </c>
      <c r="D10" s="57" t="s">
        <v>55</v>
      </c>
      <c r="F10" s="75"/>
      <c r="G10" s="81"/>
      <c r="H10" s="2"/>
      <c r="I10" s="2"/>
      <c r="J10" s="2"/>
      <c r="K10" s="2"/>
      <c r="L10" s="2"/>
      <c r="M10" s="2"/>
      <c r="N10" s="2"/>
      <c r="O10" s="76"/>
    </row>
    <row r="11" spans="1:15" x14ac:dyDescent="0.25">
      <c r="A11" s="430"/>
      <c r="B11" s="56">
        <v>3</v>
      </c>
      <c r="C11" s="2" t="s">
        <v>57</v>
      </c>
      <c r="D11" s="57" t="s">
        <v>3</v>
      </c>
      <c r="F11" s="75"/>
      <c r="G11" s="81"/>
      <c r="H11" s="2"/>
      <c r="I11" s="2"/>
      <c r="J11" s="2"/>
      <c r="K11" s="2"/>
      <c r="L11" s="2"/>
      <c r="M11" s="2"/>
      <c r="N11" s="428" t="s">
        <v>95</v>
      </c>
      <c r="O11" s="432"/>
    </row>
    <row r="12" spans="1:15" x14ac:dyDescent="0.25">
      <c r="A12" s="430"/>
      <c r="B12" s="56">
        <v>4</v>
      </c>
      <c r="C12" s="2" t="s">
        <v>58</v>
      </c>
      <c r="D12" s="57" t="s">
        <v>2</v>
      </c>
      <c r="F12" s="75"/>
      <c r="G12" s="81"/>
      <c r="H12" s="2"/>
      <c r="I12" s="2"/>
      <c r="J12" s="2"/>
      <c r="K12" s="2"/>
      <c r="L12" s="2"/>
      <c r="M12" s="2"/>
      <c r="N12" s="2"/>
      <c r="O12" s="76"/>
    </row>
    <row r="13" spans="1:15" x14ac:dyDescent="0.25">
      <c r="A13" s="430"/>
      <c r="B13" s="56">
        <v>5</v>
      </c>
      <c r="C13" s="2" t="s">
        <v>67</v>
      </c>
      <c r="D13" s="57" t="s">
        <v>55</v>
      </c>
      <c r="F13" s="75"/>
      <c r="G13" s="81"/>
      <c r="H13" s="2"/>
      <c r="I13" s="2"/>
      <c r="J13" s="2"/>
      <c r="K13" s="2"/>
      <c r="L13" s="2"/>
      <c r="M13" s="2"/>
      <c r="N13" s="2"/>
      <c r="O13" s="76"/>
    </row>
    <row r="14" spans="1:15" x14ac:dyDescent="0.25">
      <c r="A14" s="430"/>
      <c r="B14" s="56">
        <v>6</v>
      </c>
      <c r="C14" s="2" t="s">
        <v>69</v>
      </c>
      <c r="D14" s="57" t="s">
        <v>3</v>
      </c>
      <c r="F14" s="75"/>
      <c r="G14" s="81"/>
      <c r="H14" s="2"/>
      <c r="I14" s="2"/>
      <c r="J14" s="2"/>
      <c r="K14" s="2"/>
      <c r="L14" s="2"/>
      <c r="M14" s="2"/>
      <c r="N14" s="2"/>
      <c r="O14" s="76"/>
    </row>
    <row r="15" spans="1:15" x14ac:dyDescent="0.25">
      <c r="A15" s="430"/>
      <c r="B15" s="56">
        <v>7</v>
      </c>
      <c r="C15" s="2" t="s">
        <v>56</v>
      </c>
      <c r="D15" s="57" t="s">
        <v>2</v>
      </c>
      <c r="F15" s="75"/>
      <c r="G15" s="81"/>
      <c r="H15" s="2"/>
      <c r="I15" s="2"/>
      <c r="J15" s="2"/>
      <c r="K15" s="2"/>
      <c r="L15" s="2"/>
      <c r="M15" s="2"/>
      <c r="N15" s="2"/>
      <c r="O15" s="76"/>
    </row>
    <row r="16" spans="1:15" x14ac:dyDescent="0.25">
      <c r="A16" s="430"/>
      <c r="B16" s="56">
        <v>8</v>
      </c>
      <c r="C16" s="2" t="s">
        <v>60</v>
      </c>
      <c r="D16" s="57" t="s">
        <v>55</v>
      </c>
      <c r="F16" s="75">
        <v>2</v>
      </c>
      <c r="G16" s="81"/>
      <c r="H16" s="2"/>
      <c r="I16" s="2"/>
      <c r="J16" s="2"/>
      <c r="K16" s="2"/>
      <c r="L16" s="2"/>
      <c r="M16" s="2"/>
      <c r="N16" s="2"/>
      <c r="O16" s="76"/>
    </row>
    <row r="17" spans="1:15" x14ac:dyDescent="0.25">
      <c r="A17" s="430"/>
      <c r="B17" s="56">
        <v>9</v>
      </c>
      <c r="C17" s="2" t="s">
        <v>65</v>
      </c>
      <c r="D17" s="57" t="s">
        <v>55</v>
      </c>
      <c r="F17" s="75"/>
      <c r="G17" s="81"/>
      <c r="H17" s="2"/>
      <c r="I17" s="2"/>
      <c r="J17" s="2"/>
      <c r="K17" s="2"/>
      <c r="L17" s="2"/>
      <c r="M17" s="2"/>
      <c r="N17" s="2"/>
      <c r="O17" s="77" t="s">
        <v>96</v>
      </c>
    </row>
    <row r="18" spans="1:15" x14ac:dyDescent="0.25">
      <c r="A18" s="430"/>
      <c r="B18" s="56">
        <v>10</v>
      </c>
      <c r="C18" s="2" t="s">
        <v>66</v>
      </c>
      <c r="D18" s="57" t="s">
        <v>2</v>
      </c>
      <c r="F18" s="75"/>
      <c r="G18" s="81"/>
      <c r="H18" s="2"/>
      <c r="I18" s="2"/>
      <c r="J18" s="2"/>
      <c r="K18" s="2"/>
      <c r="L18" s="2"/>
      <c r="M18" s="2"/>
      <c r="N18" s="2"/>
      <c r="O18" s="77" t="s">
        <v>97</v>
      </c>
    </row>
    <row r="19" spans="1:15" x14ac:dyDescent="0.25">
      <c r="A19" s="430"/>
      <c r="B19" s="56">
        <v>11</v>
      </c>
      <c r="C19" s="2" t="s">
        <v>66</v>
      </c>
      <c r="D19" s="57" t="s">
        <v>68</v>
      </c>
      <c r="F19" s="75"/>
      <c r="G19" s="81"/>
      <c r="H19" s="2"/>
      <c r="I19" s="2"/>
      <c r="J19" s="2"/>
      <c r="K19" s="2"/>
      <c r="L19" s="2"/>
      <c r="M19" s="2"/>
      <c r="N19" s="2"/>
      <c r="O19" s="76"/>
    </row>
    <row r="20" spans="1:15" x14ac:dyDescent="0.25">
      <c r="A20" s="430"/>
      <c r="B20" s="56">
        <v>12</v>
      </c>
      <c r="C20" s="2" t="s">
        <v>59</v>
      </c>
      <c r="D20" s="57" t="s">
        <v>2</v>
      </c>
      <c r="F20" s="75"/>
      <c r="G20" s="81"/>
      <c r="H20" s="2"/>
      <c r="I20" s="2"/>
      <c r="J20" s="2"/>
      <c r="K20" s="2"/>
      <c r="L20" s="2"/>
      <c r="M20" s="2"/>
      <c r="N20" s="2"/>
      <c r="O20" s="76"/>
    </row>
    <row r="21" spans="1:15" ht="15.75" thickBot="1" x14ac:dyDescent="0.3">
      <c r="A21" s="431"/>
      <c r="B21" s="58">
        <v>13</v>
      </c>
      <c r="C21" s="3" t="s">
        <v>82</v>
      </c>
      <c r="D21" s="59" t="s">
        <v>2</v>
      </c>
      <c r="F21" s="75"/>
      <c r="G21" s="81"/>
      <c r="H21" s="2"/>
      <c r="I21" s="2"/>
      <c r="J21" s="2"/>
      <c r="K21" s="2"/>
      <c r="L21" s="2"/>
      <c r="M21" s="2"/>
      <c r="N21" s="2"/>
      <c r="O21" s="76"/>
    </row>
    <row r="22" spans="1:15" x14ac:dyDescent="0.25">
      <c r="A22" s="430" t="s">
        <v>84</v>
      </c>
      <c r="B22" s="56">
        <v>14</v>
      </c>
      <c r="C22" s="2" t="s">
        <v>70</v>
      </c>
      <c r="D22" s="57" t="s">
        <v>2</v>
      </c>
      <c r="F22" s="75"/>
      <c r="G22" s="81"/>
      <c r="H22" s="2"/>
      <c r="I22" s="2"/>
      <c r="J22" s="2"/>
      <c r="K22" s="2"/>
      <c r="L22" s="2"/>
      <c r="M22" s="2"/>
      <c r="N22" s="2"/>
      <c r="O22" s="76"/>
    </row>
    <row r="23" spans="1:15" x14ac:dyDescent="0.25">
      <c r="A23" s="430"/>
      <c r="B23" s="56">
        <v>15</v>
      </c>
      <c r="C23" s="2" t="s">
        <v>93</v>
      </c>
      <c r="D23" s="57"/>
      <c r="F23" s="75"/>
      <c r="G23" s="81"/>
      <c r="H23" s="2"/>
      <c r="I23" s="2"/>
      <c r="J23" s="2"/>
      <c r="K23" s="2"/>
      <c r="L23" s="2"/>
      <c r="M23" s="2"/>
      <c r="N23" s="2"/>
      <c r="O23" s="76"/>
    </row>
    <row r="24" spans="1:15" x14ac:dyDescent="0.25">
      <c r="A24" s="430"/>
      <c r="B24" s="56"/>
      <c r="C24" s="2"/>
      <c r="D24" s="57"/>
      <c r="F24" s="75"/>
      <c r="G24" s="81"/>
      <c r="H24" s="2"/>
      <c r="I24" s="2"/>
      <c r="J24" s="2"/>
      <c r="K24" s="2"/>
      <c r="L24" s="2"/>
      <c r="M24" s="2"/>
      <c r="N24" s="2"/>
      <c r="O24" s="76"/>
    </row>
    <row r="25" spans="1:15" ht="15.75" thickBot="1" x14ac:dyDescent="0.3">
      <c r="A25" s="430"/>
      <c r="B25" s="58"/>
      <c r="C25" s="3"/>
      <c r="D25" s="59"/>
      <c r="F25" s="75"/>
      <c r="G25" s="81"/>
      <c r="H25" s="2"/>
      <c r="I25" s="2"/>
      <c r="J25" s="2"/>
      <c r="K25" s="2"/>
      <c r="L25" s="2"/>
      <c r="M25" s="2"/>
      <c r="N25" s="2"/>
      <c r="O25" s="76"/>
    </row>
    <row r="26" spans="1:15" x14ac:dyDescent="0.25">
      <c r="A26" s="53" t="s">
        <v>44</v>
      </c>
      <c r="B26" s="54" t="s">
        <v>80</v>
      </c>
      <c r="C26" s="54" t="s">
        <v>68</v>
      </c>
      <c r="D26" s="55" t="s">
        <v>88</v>
      </c>
      <c r="F26" s="75"/>
      <c r="G26" s="81"/>
      <c r="H26" s="2"/>
      <c r="I26" s="2"/>
      <c r="J26" s="2"/>
      <c r="K26" s="2"/>
      <c r="L26" s="2"/>
      <c r="M26" s="2"/>
      <c r="N26" s="2"/>
      <c r="O26" s="76"/>
    </row>
    <row r="27" spans="1:15" x14ac:dyDescent="0.25">
      <c r="A27" s="56" t="s">
        <v>47</v>
      </c>
      <c r="B27" s="4"/>
      <c r="C27" s="4" t="s">
        <v>3</v>
      </c>
      <c r="D27" s="57" t="s">
        <v>89</v>
      </c>
      <c r="F27" s="75"/>
      <c r="G27" s="81"/>
      <c r="H27" s="2"/>
      <c r="I27" s="2"/>
      <c r="J27" s="2"/>
      <c r="K27" s="2"/>
      <c r="L27" s="2"/>
      <c r="M27" s="2"/>
      <c r="N27" s="2"/>
      <c r="O27" s="76"/>
    </row>
    <row r="28" spans="1:15" x14ac:dyDescent="0.25">
      <c r="A28" s="56" t="s">
        <v>87</v>
      </c>
      <c r="B28" s="4"/>
      <c r="C28" s="4" t="s">
        <v>86</v>
      </c>
      <c r="D28" s="57" t="s">
        <v>90</v>
      </c>
      <c r="F28" s="75">
        <v>3</v>
      </c>
      <c r="G28" s="81"/>
      <c r="H28" s="2"/>
      <c r="I28" s="2"/>
      <c r="J28" s="2"/>
      <c r="K28" s="2"/>
      <c r="L28" s="2"/>
      <c r="M28" s="2"/>
      <c r="N28" s="2"/>
      <c r="O28" s="76"/>
    </row>
    <row r="29" spans="1:15" x14ac:dyDescent="0.25">
      <c r="A29" s="56" t="s">
        <v>54</v>
      </c>
      <c r="B29" s="4"/>
      <c r="C29" s="4" t="s">
        <v>50</v>
      </c>
      <c r="D29" s="57" t="s">
        <v>45</v>
      </c>
      <c r="F29" s="75"/>
      <c r="G29" s="81"/>
      <c r="H29" s="2"/>
      <c r="I29" s="2"/>
      <c r="J29" s="2"/>
      <c r="K29" s="2"/>
      <c r="L29" s="2"/>
      <c r="M29" s="73" t="s">
        <v>92</v>
      </c>
      <c r="N29" s="2"/>
      <c r="O29" s="76"/>
    </row>
    <row r="30" spans="1:15" ht="15.75" thickBot="1" x14ac:dyDescent="0.3">
      <c r="A30" s="58"/>
      <c r="B30" s="17"/>
      <c r="C30" s="17" t="s">
        <v>94</v>
      </c>
      <c r="D30" s="59" t="s">
        <v>91</v>
      </c>
      <c r="F30" s="75"/>
      <c r="G30" s="81"/>
      <c r="H30" s="2"/>
      <c r="I30" s="2"/>
      <c r="J30" s="2"/>
      <c r="K30" s="2"/>
      <c r="L30" s="2"/>
      <c r="M30" s="2"/>
      <c r="N30" s="2"/>
      <c r="O30" s="76"/>
    </row>
    <row r="31" spans="1:15" x14ac:dyDescent="0.25">
      <c r="F31" s="75"/>
      <c r="G31" s="81"/>
      <c r="H31" s="2"/>
      <c r="I31" s="2"/>
      <c r="J31" s="2"/>
      <c r="K31" s="2"/>
      <c r="L31" s="2"/>
      <c r="M31" s="2"/>
      <c r="N31" s="2"/>
      <c r="O31" s="76"/>
    </row>
    <row r="32" spans="1:15" x14ac:dyDescent="0.25">
      <c r="F32" s="75"/>
      <c r="G32" s="81"/>
      <c r="H32" s="2"/>
      <c r="I32" s="2"/>
      <c r="J32" s="2"/>
      <c r="K32" s="2"/>
      <c r="L32" s="2"/>
      <c r="M32" s="2"/>
      <c r="N32" s="2"/>
      <c r="O32" s="76"/>
    </row>
    <row r="33" spans="6:15" x14ac:dyDescent="0.25">
      <c r="F33" s="75"/>
      <c r="G33" s="81"/>
      <c r="H33" s="2"/>
      <c r="I33" s="2"/>
      <c r="J33" s="2"/>
      <c r="K33" s="2"/>
      <c r="L33" s="2"/>
      <c r="M33" s="2"/>
      <c r="N33" s="2"/>
      <c r="O33" s="76"/>
    </row>
    <row r="34" spans="6:15" x14ac:dyDescent="0.25">
      <c r="F34" s="75"/>
      <c r="G34" s="81"/>
      <c r="H34" s="2"/>
      <c r="I34" s="2"/>
      <c r="J34" s="2"/>
      <c r="K34" s="2"/>
      <c r="L34" s="2"/>
      <c r="M34" s="2"/>
      <c r="N34" s="2"/>
      <c r="O34" s="76"/>
    </row>
    <row r="35" spans="6:15" x14ac:dyDescent="0.25">
      <c r="F35" s="75"/>
      <c r="G35" s="81"/>
      <c r="H35" s="2"/>
      <c r="I35" s="2"/>
      <c r="J35" s="2"/>
      <c r="K35" s="2"/>
      <c r="L35" s="2"/>
      <c r="M35" s="2"/>
      <c r="N35" s="2"/>
      <c r="O35" s="76"/>
    </row>
    <row r="36" spans="6:15" x14ac:dyDescent="0.25">
      <c r="F36" s="75"/>
      <c r="G36" s="81"/>
      <c r="H36" s="2"/>
      <c r="I36" s="2"/>
      <c r="J36" s="2"/>
      <c r="K36" s="2"/>
      <c r="L36" s="2"/>
      <c r="M36" s="2"/>
      <c r="N36" s="2"/>
      <c r="O36" s="76"/>
    </row>
    <row r="37" spans="6:15" x14ac:dyDescent="0.25">
      <c r="F37" s="75"/>
      <c r="G37" s="81"/>
      <c r="H37" s="2"/>
      <c r="I37" s="2"/>
      <c r="J37" s="2"/>
      <c r="K37" s="2"/>
      <c r="L37" s="2"/>
      <c r="M37" s="2"/>
      <c r="N37" s="2"/>
      <c r="O37" s="76"/>
    </row>
    <row r="38" spans="6:15" x14ac:dyDescent="0.25">
      <c r="F38" s="75"/>
      <c r="G38" s="81"/>
      <c r="H38" s="2"/>
      <c r="I38" s="2"/>
      <c r="J38" s="2"/>
      <c r="K38" s="2"/>
      <c r="L38" s="2"/>
      <c r="M38" s="2"/>
      <c r="N38" s="2"/>
      <c r="O38" s="76"/>
    </row>
    <row r="39" spans="6:15" x14ac:dyDescent="0.25">
      <c r="F39" s="75" t="s">
        <v>14</v>
      </c>
      <c r="G39" s="82" t="s">
        <v>14</v>
      </c>
      <c r="H39" s="2"/>
      <c r="I39" s="2"/>
      <c r="J39" s="2"/>
      <c r="K39" s="2"/>
      <c r="L39" s="2"/>
      <c r="M39" s="2"/>
      <c r="N39" s="2"/>
      <c r="O39" s="76"/>
    </row>
    <row r="40" spans="6:15" x14ac:dyDescent="0.25">
      <c r="F40" s="75">
        <v>4</v>
      </c>
      <c r="G40" s="81"/>
      <c r="H40" s="2"/>
      <c r="I40" s="2"/>
      <c r="J40" s="2"/>
      <c r="K40" s="2"/>
      <c r="L40" s="2"/>
      <c r="M40" s="2"/>
      <c r="N40" s="2"/>
      <c r="O40" s="76"/>
    </row>
    <row r="41" spans="6:15" x14ac:dyDescent="0.25">
      <c r="F41" s="75"/>
      <c r="G41" s="81"/>
      <c r="H41" s="2"/>
      <c r="I41" s="2"/>
      <c r="J41" s="2"/>
      <c r="K41" s="2"/>
      <c r="L41" s="2"/>
      <c r="M41" s="2"/>
      <c r="N41" s="2"/>
      <c r="O41" s="76"/>
    </row>
    <row r="42" spans="6:15" x14ac:dyDescent="0.25">
      <c r="F42" s="75"/>
      <c r="G42" s="81"/>
      <c r="H42" s="2"/>
      <c r="I42" s="2"/>
      <c r="J42" s="2"/>
      <c r="K42" s="2"/>
      <c r="L42" s="2"/>
      <c r="M42" s="2"/>
      <c r="N42" s="2"/>
      <c r="O42" s="76"/>
    </row>
    <row r="43" spans="6:15" x14ac:dyDescent="0.25">
      <c r="F43" s="75"/>
      <c r="G43" s="81"/>
      <c r="H43" s="2"/>
      <c r="I43" s="2"/>
      <c r="J43" s="2"/>
      <c r="K43" s="2"/>
      <c r="L43" s="2"/>
      <c r="M43" s="2"/>
      <c r="N43" s="428" t="s">
        <v>92</v>
      </c>
      <c r="O43" s="432"/>
    </row>
    <row r="44" spans="6:15" x14ac:dyDescent="0.25">
      <c r="F44" s="75"/>
      <c r="G44" s="81"/>
      <c r="H44" s="2"/>
      <c r="I44" s="2"/>
      <c r="J44" s="2"/>
      <c r="K44" s="2"/>
      <c r="L44" s="2"/>
      <c r="M44" s="2"/>
      <c r="N44" s="2"/>
      <c r="O44" s="76"/>
    </row>
    <row r="45" spans="6:15" x14ac:dyDescent="0.25">
      <c r="F45" s="75"/>
      <c r="G45" s="81"/>
      <c r="H45" s="2"/>
      <c r="I45" s="2"/>
      <c r="J45" s="2"/>
      <c r="K45" s="2"/>
      <c r="L45" s="2"/>
      <c r="M45" s="2"/>
      <c r="N45" s="2"/>
      <c r="O45" s="76"/>
    </row>
    <row r="46" spans="6:15" x14ac:dyDescent="0.25">
      <c r="F46" s="75"/>
      <c r="G46" s="81"/>
      <c r="H46" s="2"/>
      <c r="I46" s="2"/>
      <c r="J46" s="2"/>
      <c r="K46" s="2"/>
      <c r="L46" s="2"/>
      <c r="M46" s="2"/>
      <c r="N46" s="2"/>
      <c r="O46" s="76"/>
    </row>
    <row r="47" spans="6:15" x14ac:dyDescent="0.25">
      <c r="F47" s="75"/>
      <c r="G47" s="81"/>
      <c r="H47" s="2"/>
      <c r="I47" s="2"/>
      <c r="J47" s="2"/>
      <c r="K47" s="2"/>
      <c r="L47" s="2"/>
      <c r="M47" s="2"/>
      <c r="N47" s="2"/>
      <c r="O47" s="76"/>
    </row>
    <row r="48" spans="6:15" x14ac:dyDescent="0.25">
      <c r="F48" s="75"/>
      <c r="G48" s="81"/>
      <c r="H48" s="2"/>
      <c r="I48" s="2"/>
      <c r="J48" s="2"/>
      <c r="K48" s="2"/>
      <c r="L48" s="2"/>
      <c r="M48" s="2"/>
      <c r="N48" s="2"/>
      <c r="O48" s="76"/>
    </row>
    <row r="49" spans="6:15" x14ac:dyDescent="0.25">
      <c r="F49" s="75"/>
      <c r="G49" s="81"/>
      <c r="H49" s="2"/>
      <c r="I49" s="2"/>
      <c r="J49" s="2"/>
      <c r="K49" s="2"/>
      <c r="L49" s="2"/>
      <c r="M49" s="2"/>
      <c r="N49" s="2"/>
      <c r="O49" s="76"/>
    </row>
    <row r="50" spans="6:15" x14ac:dyDescent="0.25">
      <c r="F50" s="75"/>
      <c r="G50" s="81"/>
      <c r="H50" s="2"/>
      <c r="I50" s="2"/>
      <c r="J50" s="2"/>
      <c r="K50" s="2"/>
      <c r="L50" s="2"/>
      <c r="M50" s="2"/>
      <c r="N50" s="2"/>
      <c r="O50" s="76"/>
    </row>
    <row r="51" spans="6:15" x14ac:dyDescent="0.25">
      <c r="F51" s="75"/>
      <c r="G51" s="81"/>
      <c r="H51" s="2"/>
      <c r="I51" s="2"/>
      <c r="J51" s="2"/>
      <c r="K51" s="2"/>
      <c r="L51" s="2"/>
      <c r="M51" s="2"/>
      <c r="N51" s="2"/>
      <c r="O51" s="76"/>
    </row>
    <row r="52" spans="6:15" x14ac:dyDescent="0.25">
      <c r="F52" s="75"/>
      <c r="G52" s="81"/>
      <c r="H52" s="2"/>
      <c r="I52" s="2"/>
      <c r="J52" s="2"/>
      <c r="K52" s="2"/>
      <c r="L52" s="2"/>
      <c r="M52" s="2"/>
      <c r="N52" s="2"/>
      <c r="O52" s="76"/>
    </row>
    <row r="53" spans="6:15" x14ac:dyDescent="0.25">
      <c r="F53" s="75" t="s">
        <v>14</v>
      </c>
      <c r="G53" s="81"/>
      <c r="H53" s="2"/>
      <c r="I53" s="2"/>
      <c r="J53" s="2"/>
      <c r="K53" s="2"/>
      <c r="L53" s="2"/>
      <c r="M53" s="2"/>
      <c r="N53" s="2"/>
      <c r="O53" s="76"/>
    </row>
    <row r="54" spans="6:15" x14ac:dyDescent="0.25">
      <c r="F54" s="75"/>
      <c r="G54" s="81"/>
      <c r="H54" s="2"/>
      <c r="I54" s="2"/>
      <c r="J54" s="2"/>
      <c r="K54" s="2"/>
      <c r="L54" s="2"/>
      <c r="M54" s="2"/>
      <c r="N54" s="2"/>
      <c r="O54" s="76"/>
    </row>
    <row r="55" spans="6:15" x14ac:dyDescent="0.25">
      <c r="F55" s="75">
        <v>5</v>
      </c>
      <c r="G55" s="81"/>
      <c r="H55" s="2"/>
      <c r="I55" s="2"/>
      <c r="J55" s="2"/>
      <c r="K55" s="2"/>
      <c r="L55" s="2"/>
      <c r="M55" s="2"/>
      <c r="N55" s="2"/>
      <c r="O55" s="76"/>
    </row>
    <row r="56" spans="6:15" x14ac:dyDescent="0.25">
      <c r="F56" s="75"/>
      <c r="G56" s="81"/>
      <c r="H56" s="2"/>
      <c r="I56" s="2"/>
      <c r="J56" s="2"/>
      <c r="K56" s="2"/>
      <c r="L56" s="2"/>
      <c r="M56" s="2"/>
      <c r="N56" s="428" t="s">
        <v>95</v>
      </c>
      <c r="O56" s="432"/>
    </row>
    <row r="57" spans="6:15" x14ac:dyDescent="0.25">
      <c r="F57" s="75"/>
      <c r="G57" s="81"/>
      <c r="H57" s="2"/>
      <c r="I57" s="2"/>
      <c r="J57" s="2"/>
      <c r="K57" s="2"/>
      <c r="L57" s="2"/>
      <c r="M57" s="2"/>
      <c r="N57" s="2"/>
      <c r="O57" s="76"/>
    </row>
    <row r="58" spans="6:15" x14ac:dyDescent="0.25">
      <c r="F58" s="75"/>
      <c r="G58" s="81"/>
      <c r="H58" s="2"/>
      <c r="I58" s="2"/>
      <c r="J58" s="2"/>
      <c r="K58" s="2"/>
      <c r="L58" s="2"/>
      <c r="M58" s="2"/>
      <c r="N58" s="2"/>
      <c r="O58" s="76"/>
    </row>
    <row r="59" spans="6:15" x14ac:dyDescent="0.25">
      <c r="F59" s="75"/>
      <c r="G59" s="81"/>
      <c r="H59" s="2"/>
      <c r="I59" s="2"/>
      <c r="J59" s="2"/>
      <c r="K59" s="2"/>
      <c r="L59" s="2"/>
      <c r="M59" s="2"/>
      <c r="N59" s="2"/>
      <c r="O59" s="76"/>
    </row>
    <row r="60" spans="6:15" x14ac:dyDescent="0.25">
      <c r="F60" s="75"/>
      <c r="G60" s="81"/>
      <c r="H60" s="2"/>
      <c r="I60" s="2"/>
      <c r="J60" s="2"/>
      <c r="K60" s="2"/>
      <c r="L60" s="2"/>
      <c r="M60" s="2"/>
      <c r="N60" s="2"/>
      <c r="O60" s="76"/>
    </row>
    <row r="61" spans="6:15" x14ac:dyDescent="0.25">
      <c r="F61" s="75"/>
      <c r="G61" s="81"/>
      <c r="H61" s="2"/>
      <c r="I61" s="2"/>
      <c r="J61" s="2"/>
      <c r="K61" s="2"/>
      <c r="L61" s="2"/>
      <c r="M61" s="2"/>
      <c r="N61" s="2"/>
      <c r="O61" s="76"/>
    </row>
    <row r="62" spans="6:15" x14ac:dyDescent="0.25">
      <c r="F62" s="75"/>
      <c r="G62" s="81"/>
      <c r="H62" s="2"/>
      <c r="I62" s="2"/>
      <c r="J62" s="2"/>
      <c r="K62" s="2"/>
      <c r="L62" s="2"/>
      <c r="M62" s="2"/>
      <c r="N62" s="2"/>
      <c r="O62" s="76"/>
    </row>
    <row r="63" spans="6:15" x14ac:dyDescent="0.25">
      <c r="F63" s="75" t="s">
        <v>14</v>
      </c>
      <c r="G63" s="81"/>
      <c r="H63" s="2"/>
      <c r="I63" s="2"/>
      <c r="J63" s="2"/>
      <c r="K63" s="2"/>
      <c r="L63" s="2"/>
      <c r="M63" s="2"/>
      <c r="N63" s="2"/>
      <c r="O63" s="76"/>
    </row>
    <row r="64" spans="6:15" x14ac:dyDescent="0.25">
      <c r="F64" s="75"/>
      <c r="G64" s="81"/>
      <c r="H64" s="2"/>
      <c r="I64" s="2"/>
      <c r="J64" s="2"/>
      <c r="K64" s="2"/>
      <c r="L64" s="2"/>
      <c r="M64" s="2"/>
      <c r="N64" s="2"/>
      <c r="O64" s="76"/>
    </row>
    <row r="65" spans="6:15" x14ac:dyDescent="0.25">
      <c r="F65" s="75"/>
      <c r="G65" s="81"/>
      <c r="H65" s="2"/>
      <c r="I65" s="2"/>
      <c r="J65" s="2"/>
      <c r="K65" s="2"/>
      <c r="L65" s="2"/>
      <c r="M65" s="2"/>
      <c r="N65" s="2"/>
      <c r="O65" s="76"/>
    </row>
    <row r="66" spans="6:15" x14ac:dyDescent="0.25">
      <c r="F66" s="75">
        <v>6</v>
      </c>
      <c r="G66" s="81"/>
      <c r="H66" s="2"/>
      <c r="I66" s="2"/>
      <c r="J66" s="2"/>
      <c r="K66" s="2"/>
      <c r="L66" s="2"/>
      <c r="M66" s="2"/>
      <c r="N66" s="2"/>
      <c r="O66" s="76"/>
    </row>
    <row r="67" spans="6:15" x14ac:dyDescent="0.25">
      <c r="F67" s="75"/>
      <c r="G67" s="81"/>
      <c r="H67" s="2"/>
      <c r="I67" s="2"/>
      <c r="J67" s="2"/>
      <c r="K67" s="2"/>
      <c r="L67" s="2"/>
      <c r="M67" s="2"/>
      <c r="N67" s="2"/>
      <c r="O67" s="76"/>
    </row>
    <row r="68" spans="6:15" x14ac:dyDescent="0.25">
      <c r="F68" s="75"/>
      <c r="G68" s="81"/>
      <c r="H68" s="2"/>
      <c r="I68" s="2"/>
      <c r="J68" s="2"/>
      <c r="K68" s="2"/>
      <c r="L68" s="2"/>
      <c r="M68" s="2"/>
      <c r="N68" s="2"/>
      <c r="O68" s="77" t="s">
        <v>96</v>
      </c>
    </row>
    <row r="69" spans="6:15" x14ac:dyDescent="0.25">
      <c r="F69" s="75"/>
      <c r="G69" s="81"/>
      <c r="H69" s="2"/>
      <c r="I69" s="2"/>
      <c r="J69" s="2"/>
      <c r="K69" s="2"/>
      <c r="L69" s="2"/>
      <c r="M69" s="2"/>
      <c r="N69" s="2"/>
      <c r="O69" s="77" t="s">
        <v>97</v>
      </c>
    </row>
    <row r="70" spans="6:15" x14ac:dyDescent="0.25">
      <c r="F70" s="75"/>
      <c r="G70" s="81"/>
      <c r="H70" s="2"/>
      <c r="I70" s="2"/>
      <c r="J70" s="2"/>
      <c r="K70" s="2"/>
      <c r="L70" s="2"/>
      <c r="M70" s="2"/>
      <c r="N70" s="2"/>
      <c r="O70" s="76"/>
    </row>
    <row r="71" spans="6:15" x14ac:dyDescent="0.25">
      <c r="F71" s="75"/>
      <c r="G71" s="81"/>
      <c r="H71" s="2"/>
      <c r="I71" s="2"/>
      <c r="J71" s="2"/>
      <c r="K71" s="2"/>
      <c r="L71" s="2"/>
      <c r="M71" s="2"/>
      <c r="N71" s="2"/>
      <c r="O71" s="76"/>
    </row>
    <row r="72" spans="6:15" x14ac:dyDescent="0.25">
      <c r="F72" s="75" t="s">
        <v>14</v>
      </c>
      <c r="G72" s="81"/>
      <c r="H72" s="2"/>
      <c r="I72" s="2"/>
      <c r="J72" s="2"/>
      <c r="K72" s="2"/>
      <c r="L72" s="2"/>
      <c r="M72" s="2"/>
      <c r="N72" s="2"/>
      <c r="O72" s="76"/>
    </row>
    <row r="73" spans="6:15" x14ac:dyDescent="0.25">
      <c r="F73" s="75"/>
      <c r="G73" s="81"/>
      <c r="H73" s="2"/>
      <c r="I73" s="2"/>
      <c r="J73" s="2"/>
      <c r="K73" s="2"/>
      <c r="L73" s="2"/>
      <c r="M73" s="2"/>
      <c r="N73" s="2"/>
      <c r="O73" s="76"/>
    </row>
    <row r="74" spans="6:15" x14ac:dyDescent="0.25">
      <c r="F74" s="75"/>
      <c r="G74" s="81"/>
      <c r="H74" s="2"/>
      <c r="I74" s="2"/>
      <c r="J74" s="2"/>
      <c r="K74" s="2"/>
      <c r="L74" s="2"/>
      <c r="M74" s="2"/>
      <c r="N74" s="2"/>
      <c r="O74" s="76"/>
    </row>
    <row r="75" spans="6:15" x14ac:dyDescent="0.25">
      <c r="F75" s="75">
        <v>7</v>
      </c>
      <c r="G75" s="81"/>
      <c r="H75" s="2"/>
      <c r="I75" s="2"/>
      <c r="J75" s="2"/>
      <c r="K75" s="2"/>
      <c r="L75" s="2"/>
      <c r="M75" s="2"/>
      <c r="N75" s="2"/>
      <c r="O75" s="76"/>
    </row>
    <row r="76" spans="6:15" x14ac:dyDescent="0.25">
      <c r="F76" s="75"/>
      <c r="G76" s="81"/>
      <c r="H76" s="2"/>
      <c r="I76" s="2"/>
      <c r="J76" s="2"/>
      <c r="K76" s="2"/>
      <c r="L76" s="2"/>
      <c r="M76" s="2"/>
      <c r="N76" s="73" t="s">
        <v>92</v>
      </c>
      <c r="O76" s="76"/>
    </row>
    <row r="77" spans="6:15" x14ac:dyDescent="0.25">
      <c r="F77" s="75"/>
      <c r="G77" s="81"/>
      <c r="H77" s="2"/>
      <c r="I77" s="2"/>
      <c r="J77" s="2"/>
      <c r="K77" s="2"/>
      <c r="L77" s="2"/>
      <c r="M77" s="2"/>
      <c r="N77" s="2"/>
      <c r="O77" s="76"/>
    </row>
    <row r="78" spans="6:15" x14ac:dyDescent="0.25">
      <c r="F78" s="75"/>
      <c r="G78" s="81"/>
      <c r="H78" s="2"/>
      <c r="I78" s="2"/>
      <c r="J78" s="2"/>
      <c r="K78" s="2"/>
      <c r="L78" s="2"/>
      <c r="M78" s="2"/>
      <c r="N78" s="2"/>
      <c r="O78" s="76"/>
    </row>
    <row r="79" spans="6:15" x14ac:dyDescent="0.25">
      <c r="F79" s="75"/>
      <c r="G79" s="81"/>
      <c r="H79" s="2"/>
      <c r="I79" s="2"/>
      <c r="J79" s="2"/>
      <c r="K79" s="2"/>
      <c r="L79" s="2"/>
      <c r="M79" s="2"/>
      <c r="N79" s="2"/>
      <c r="O79" s="76"/>
    </row>
    <row r="80" spans="6:15" x14ac:dyDescent="0.25">
      <c r="F80" s="75"/>
      <c r="G80" s="81"/>
      <c r="H80" s="2"/>
      <c r="I80" s="2"/>
      <c r="J80" s="2"/>
      <c r="K80" s="2"/>
      <c r="L80" s="2"/>
      <c r="M80" s="2"/>
      <c r="N80" s="2"/>
      <c r="O80" s="76"/>
    </row>
    <row r="81" spans="6:15" x14ac:dyDescent="0.25">
      <c r="F81" s="75" t="s">
        <v>14</v>
      </c>
      <c r="G81" s="81"/>
      <c r="H81" s="2"/>
      <c r="I81" s="2"/>
      <c r="J81" s="2"/>
      <c r="K81" s="2"/>
      <c r="L81" s="2"/>
      <c r="M81" s="2"/>
      <c r="N81" s="2"/>
      <c r="O81" s="76"/>
    </row>
    <row r="82" spans="6:15" x14ac:dyDescent="0.25">
      <c r="F82" s="75"/>
      <c r="G82" s="81"/>
      <c r="H82" s="2"/>
      <c r="I82" s="2"/>
      <c r="J82" s="2"/>
      <c r="K82" s="2"/>
      <c r="L82" s="2"/>
      <c r="M82" s="2"/>
      <c r="N82" s="2"/>
      <c r="O82" s="76"/>
    </row>
    <row r="83" spans="6:15" x14ac:dyDescent="0.25">
      <c r="F83" s="75"/>
      <c r="G83" s="82" t="s">
        <v>14</v>
      </c>
      <c r="H83" s="2"/>
      <c r="I83" s="2"/>
      <c r="J83" s="2"/>
      <c r="K83" s="2"/>
      <c r="L83" s="2"/>
      <c r="M83" s="2"/>
      <c r="N83" s="2"/>
      <c r="O83" s="76"/>
    </row>
    <row r="84" spans="6:15" x14ac:dyDescent="0.25">
      <c r="F84" s="75"/>
      <c r="G84" s="81"/>
      <c r="H84" s="2"/>
      <c r="I84" s="2"/>
      <c r="J84" s="2"/>
      <c r="K84" s="2"/>
      <c r="L84" s="2"/>
      <c r="M84" s="2"/>
      <c r="N84" s="2"/>
      <c r="O84" s="76"/>
    </row>
    <row r="85" spans="6:15" x14ac:dyDescent="0.25">
      <c r="F85" s="75">
        <v>8</v>
      </c>
      <c r="G85" s="81"/>
      <c r="H85" s="2"/>
      <c r="I85" s="2"/>
      <c r="J85" s="2"/>
      <c r="K85" s="2"/>
      <c r="L85" s="2"/>
      <c r="M85" s="433" t="s">
        <v>14</v>
      </c>
      <c r="N85" s="433"/>
      <c r="O85" s="76"/>
    </row>
    <row r="86" spans="6:15" x14ac:dyDescent="0.25">
      <c r="F86" s="75"/>
      <c r="G86" s="81"/>
      <c r="H86" s="2"/>
      <c r="I86" s="2"/>
      <c r="J86" s="2"/>
      <c r="K86" s="2"/>
      <c r="L86" s="2"/>
      <c r="M86" s="2"/>
      <c r="N86" s="73" t="s">
        <v>92</v>
      </c>
      <c r="O86" s="76"/>
    </row>
    <row r="87" spans="6:15" x14ac:dyDescent="0.25">
      <c r="F87" s="75"/>
      <c r="G87" s="81"/>
      <c r="H87" s="2"/>
      <c r="I87" s="2"/>
      <c r="J87" s="2"/>
      <c r="K87" s="2"/>
      <c r="L87" s="2"/>
      <c r="M87" s="2"/>
      <c r="N87" s="2"/>
      <c r="O87" s="76"/>
    </row>
    <row r="88" spans="6:15" x14ac:dyDescent="0.25">
      <c r="F88" s="75"/>
      <c r="G88" s="81"/>
      <c r="H88" s="2"/>
      <c r="I88" s="2"/>
      <c r="J88" s="2"/>
      <c r="K88" s="2"/>
      <c r="L88" s="2"/>
      <c r="M88" s="2"/>
      <c r="N88" s="2"/>
      <c r="O88" s="76"/>
    </row>
    <row r="89" spans="6:15" x14ac:dyDescent="0.25">
      <c r="F89" s="75"/>
      <c r="G89" s="81"/>
      <c r="H89" s="2"/>
      <c r="I89" s="2"/>
      <c r="J89" s="2"/>
      <c r="K89" s="2"/>
      <c r="L89" s="2"/>
      <c r="M89" s="2"/>
      <c r="N89" s="2"/>
      <c r="O89" s="76"/>
    </row>
    <row r="90" spans="6:15" x14ac:dyDescent="0.25">
      <c r="F90" s="75"/>
      <c r="G90" s="81"/>
      <c r="H90" s="2"/>
      <c r="I90" s="2"/>
      <c r="J90" s="2"/>
      <c r="K90" s="2"/>
      <c r="L90" s="2"/>
      <c r="M90" s="2"/>
      <c r="N90" s="2"/>
      <c r="O90" s="76"/>
    </row>
    <row r="91" spans="6:15" x14ac:dyDescent="0.25">
      <c r="F91" s="75" t="s">
        <v>14</v>
      </c>
      <c r="G91" s="81"/>
      <c r="H91" s="2"/>
      <c r="I91" s="2"/>
      <c r="J91" s="2"/>
      <c r="K91" s="2"/>
      <c r="L91" s="2"/>
      <c r="M91" s="2"/>
      <c r="N91" s="2"/>
      <c r="O91" s="76"/>
    </row>
    <row r="92" spans="6:15" x14ac:dyDescent="0.25">
      <c r="F92" s="75"/>
      <c r="G92" s="81"/>
      <c r="H92" s="2"/>
      <c r="I92" s="2"/>
      <c r="J92" s="2"/>
      <c r="K92" s="2"/>
      <c r="L92" s="2"/>
      <c r="M92" s="2"/>
      <c r="N92" s="2"/>
      <c r="O92" s="76"/>
    </row>
    <row r="93" spans="6:15" x14ac:dyDescent="0.25">
      <c r="F93" s="75"/>
      <c r="G93" s="81"/>
      <c r="H93" s="2"/>
      <c r="I93" s="2"/>
      <c r="J93" s="2"/>
      <c r="K93" s="2"/>
      <c r="L93" s="2"/>
      <c r="M93" s="2"/>
      <c r="N93" s="2"/>
      <c r="O93" s="76"/>
    </row>
    <row r="94" spans="6:15" x14ac:dyDescent="0.25">
      <c r="F94" s="75" t="s">
        <v>14</v>
      </c>
      <c r="G94" s="81"/>
      <c r="H94" s="2"/>
      <c r="I94" s="2"/>
      <c r="J94" s="2"/>
      <c r="K94" s="2"/>
      <c r="L94" s="2"/>
      <c r="M94" s="2"/>
      <c r="N94" s="2"/>
      <c r="O94" s="76"/>
    </row>
    <row r="95" spans="6:15" x14ac:dyDescent="0.25">
      <c r="F95" s="75">
        <v>9</v>
      </c>
      <c r="G95" s="81"/>
      <c r="H95" s="2"/>
      <c r="I95" s="2"/>
      <c r="J95" s="2"/>
      <c r="K95" s="2"/>
      <c r="L95" s="2"/>
      <c r="M95" s="2"/>
      <c r="N95" s="2"/>
      <c r="O95" s="76"/>
    </row>
    <row r="96" spans="6:15" x14ac:dyDescent="0.25">
      <c r="F96" s="75"/>
      <c r="G96" s="81"/>
      <c r="H96" s="2"/>
      <c r="I96" s="2"/>
      <c r="J96" s="2"/>
      <c r="K96" s="2"/>
      <c r="L96" s="2"/>
      <c r="M96" s="2"/>
      <c r="N96" s="433"/>
      <c r="O96" s="434"/>
    </row>
    <row r="97" spans="6:15" x14ac:dyDescent="0.25">
      <c r="F97" s="75"/>
      <c r="G97" s="81"/>
      <c r="H97" s="2"/>
      <c r="I97" s="2"/>
      <c r="J97" s="2"/>
      <c r="K97" s="2"/>
      <c r="L97" s="2"/>
      <c r="M97" s="2"/>
      <c r="N97" s="428" t="s">
        <v>95</v>
      </c>
      <c r="O97" s="432"/>
    </row>
    <row r="98" spans="6:15" x14ac:dyDescent="0.25">
      <c r="F98" s="75"/>
      <c r="G98" s="81"/>
      <c r="H98" s="2"/>
      <c r="I98" s="2"/>
      <c r="J98" s="2"/>
      <c r="K98" s="2"/>
      <c r="L98" s="2"/>
      <c r="M98" s="2"/>
      <c r="N98" s="2"/>
      <c r="O98" s="76"/>
    </row>
    <row r="99" spans="6:15" x14ac:dyDescent="0.25">
      <c r="F99" s="75"/>
      <c r="G99" s="81"/>
      <c r="H99" s="2"/>
      <c r="I99" s="2"/>
      <c r="J99" s="2"/>
      <c r="K99" s="2"/>
      <c r="L99" s="2"/>
      <c r="M99" s="2"/>
      <c r="N99" s="2"/>
      <c r="O99" s="76"/>
    </row>
    <row r="100" spans="6:15" x14ac:dyDescent="0.25">
      <c r="F100" s="75"/>
      <c r="G100" s="81"/>
      <c r="H100" s="2"/>
      <c r="I100" s="2"/>
      <c r="J100" s="2"/>
      <c r="K100" s="2"/>
      <c r="L100" s="2"/>
      <c r="M100" s="2"/>
      <c r="N100" s="2"/>
      <c r="O100" s="76"/>
    </row>
    <row r="101" spans="6:15" x14ac:dyDescent="0.25">
      <c r="F101" s="75"/>
      <c r="G101" s="81"/>
      <c r="H101" s="2"/>
      <c r="I101" s="2"/>
      <c r="J101" s="2"/>
      <c r="K101" s="2"/>
      <c r="L101" s="2"/>
      <c r="M101" s="2"/>
      <c r="N101" s="2"/>
      <c r="O101" s="76"/>
    </row>
    <row r="102" spans="6:15" x14ac:dyDescent="0.25">
      <c r="F102" s="75"/>
      <c r="G102" s="81"/>
      <c r="H102" s="2"/>
      <c r="I102" s="2"/>
      <c r="J102" s="2"/>
      <c r="K102" s="2"/>
      <c r="L102" s="2"/>
      <c r="M102" s="2"/>
      <c r="N102" s="2"/>
      <c r="O102" s="76"/>
    </row>
    <row r="103" spans="6:15" x14ac:dyDescent="0.25">
      <c r="F103" s="75"/>
      <c r="G103" s="81"/>
      <c r="H103" s="2"/>
      <c r="I103" s="2"/>
      <c r="J103" s="2"/>
      <c r="K103" s="2"/>
      <c r="L103" s="2"/>
      <c r="M103" s="2"/>
      <c r="N103" s="2"/>
      <c r="O103" s="76"/>
    </row>
    <row r="104" spans="6:15" x14ac:dyDescent="0.25">
      <c r="F104" s="75" t="s">
        <v>14</v>
      </c>
      <c r="G104" s="81"/>
      <c r="H104" s="2"/>
      <c r="I104" s="2"/>
      <c r="J104" s="2"/>
      <c r="K104" s="2"/>
      <c r="L104" s="2"/>
      <c r="M104" s="2"/>
      <c r="N104" s="2"/>
      <c r="O104" s="76"/>
    </row>
    <row r="105" spans="6:15" x14ac:dyDescent="0.25">
      <c r="F105" s="75">
        <v>10</v>
      </c>
      <c r="G105" s="81"/>
      <c r="H105" s="2"/>
      <c r="I105" s="2"/>
      <c r="J105" s="2"/>
      <c r="K105" s="2"/>
      <c r="L105" s="2"/>
      <c r="M105" s="2"/>
      <c r="N105" s="2"/>
      <c r="O105" s="76"/>
    </row>
    <row r="106" spans="6:15" x14ac:dyDescent="0.25">
      <c r="F106" s="75"/>
      <c r="G106" s="81"/>
      <c r="H106" s="2"/>
      <c r="I106" s="2"/>
      <c r="J106" s="2"/>
      <c r="K106" s="2"/>
      <c r="L106" s="2"/>
      <c r="M106" s="2"/>
      <c r="N106" s="2"/>
      <c r="O106" s="76"/>
    </row>
    <row r="107" spans="6:15" x14ac:dyDescent="0.25">
      <c r="F107" s="75"/>
      <c r="G107" s="81"/>
      <c r="H107" s="2"/>
      <c r="I107" s="2"/>
      <c r="J107" s="2"/>
      <c r="K107" s="2"/>
      <c r="L107" s="2"/>
      <c r="M107" s="2"/>
      <c r="N107" s="2"/>
      <c r="O107" s="76"/>
    </row>
    <row r="108" spans="6:15" x14ac:dyDescent="0.25">
      <c r="F108" s="75"/>
      <c r="G108" s="81"/>
      <c r="H108" s="2"/>
      <c r="I108" s="2"/>
      <c r="J108" s="2"/>
      <c r="K108" s="2"/>
      <c r="L108" s="2"/>
      <c r="M108" s="2"/>
      <c r="N108" s="428" t="s">
        <v>95</v>
      </c>
      <c r="O108" s="432"/>
    </row>
    <row r="109" spans="6:15" x14ac:dyDescent="0.25">
      <c r="F109" s="75"/>
      <c r="G109" s="81"/>
      <c r="H109" s="2"/>
      <c r="I109" s="2"/>
      <c r="J109" s="2"/>
      <c r="K109" s="2"/>
      <c r="L109" s="2"/>
      <c r="M109" s="2"/>
      <c r="N109" s="2"/>
      <c r="O109" s="76"/>
    </row>
    <row r="110" spans="6:15" x14ac:dyDescent="0.25">
      <c r="F110" s="75"/>
      <c r="G110" s="81"/>
      <c r="H110" s="2"/>
      <c r="I110" s="2"/>
      <c r="J110" s="2"/>
      <c r="K110" s="2"/>
      <c r="L110" s="2"/>
      <c r="M110" s="2"/>
      <c r="N110" s="2"/>
      <c r="O110" s="76"/>
    </row>
    <row r="111" spans="6:15" x14ac:dyDescent="0.25">
      <c r="F111" s="75"/>
      <c r="G111" s="81"/>
      <c r="H111" s="2"/>
      <c r="I111" s="2"/>
      <c r="J111" s="2"/>
      <c r="K111" s="2"/>
      <c r="L111" s="2"/>
      <c r="M111" s="2"/>
      <c r="N111" s="2"/>
      <c r="O111" s="76"/>
    </row>
    <row r="112" spans="6:15" x14ac:dyDescent="0.25">
      <c r="F112" s="75"/>
      <c r="G112" s="81"/>
      <c r="H112" s="2"/>
      <c r="I112" s="2"/>
      <c r="J112" s="2"/>
      <c r="K112" s="2"/>
      <c r="L112" s="2"/>
      <c r="M112" s="2"/>
      <c r="N112" s="2"/>
      <c r="O112" s="76"/>
    </row>
    <row r="113" spans="6:15" x14ac:dyDescent="0.25">
      <c r="F113" s="75" t="s">
        <v>14</v>
      </c>
      <c r="G113" s="81"/>
      <c r="H113" s="2"/>
      <c r="I113" s="2"/>
      <c r="J113" s="2"/>
      <c r="K113" s="2"/>
      <c r="L113" s="2"/>
      <c r="M113" s="2"/>
      <c r="N113" s="2"/>
      <c r="O113" s="76"/>
    </row>
    <row r="114" spans="6:15" x14ac:dyDescent="0.25">
      <c r="F114" s="75"/>
      <c r="G114" s="81"/>
      <c r="H114" s="2"/>
      <c r="I114" s="2"/>
      <c r="J114" s="2"/>
      <c r="K114" s="2"/>
      <c r="L114" s="2"/>
      <c r="M114" s="2"/>
      <c r="N114" s="2"/>
      <c r="O114" s="76"/>
    </row>
    <row r="115" spans="6:15" x14ac:dyDescent="0.25">
      <c r="F115" s="75">
        <v>11</v>
      </c>
      <c r="G115" s="81"/>
      <c r="H115" s="2"/>
      <c r="I115" s="2"/>
      <c r="J115" s="2"/>
      <c r="K115" s="2"/>
      <c r="L115" s="2"/>
      <c r="M115" s="2"/>
      <c r="N115" s="2"/>
      <c r="O115" s="76"/>
    </row>
    <row r="116" spans="6:15" x14ac:dyDescent="0.25">
      <c r="F116" s="75"/>
      <c r="G116" s="81"/>
      <c r="H116" s="2"/>
      <c r="I116" s="2"/>
      <c r="J116" s="2"/>
      <c r="K116" s="2"/>
      <c r="L116" s="2"/>
      <c r="M116" s="2"/>
      <c r="N116" s="2"/>
      <c r="O116" s="76"/>
    </row>
    <row r="117" spans="6:15" x14ac:dyDescent="0.25">
      <c r="F117" s="75"/>
      <c r="G117" s="81"/>
      <c r="H117" s="2"/>
      <c r="I117" s="2"/>
      <c r="J117" s="2"/>
      <c r="K117" s="2"/>
      <c r="L117" s="2"/>
      <c r="M117" s="2"/>
      <c r="N117" s="428" t="s">
        <v>95</v>
      </c>
      <c r="O117" s="432"/>
    </row>
    <row r="118" spans="6:15" x14ac:dyDescent="0.25">
      <c r="F118" s="75"/>
      <c r="G118" s="81"/>
      <c r="H118" s="2"/>
      <c r="I118" s="2"/>
      <c r="J118" s="2"/>
      <c r="K118" s="2"/>
      <c r="L118" s="2"/>
      <c r="M118" s="2"/>
      <c r="N118" s="2"/>
      <c r="O118" s="76"/>
    </row>
    <row r="119" spans="6:15" x14ac:dyDescent="0.25">
      <c r="F119" s="75"/>
      <c r="G119" s="81"/>
      <c r="H119" s="2"/>
      <c r="I119" s="2"/>
      <c r="J119" s="2"/>
      <c r="K119" s="2"/>
      <c r="L119" s="2"/>
      <c r="M119" s="2"/>
      <c r="N119" s="2"/>
      <c r="O119" s="76"/>
    </row>
    <row r="120" spans="6:15" x14ac:dyDescent="0.25">
      <c r="F120" s="75"/>
      <c r="G120" s="81"/>
      <c r="H120" s="2"/>
      <c r="I120" s="2"/>
      <c r="J120" s="2"/>
      <c r="K120" s="2"/>
      <c r="L120" s="2"/>
      <c r="M120" s="2"/>
      <c r="N120" s="2"/>
      <c r="O120" s="76"/>
    </row>
    <row r="121" spans="6:15" x14ac:dyDescent="0.25">
      <c r="F121" s="75"/>
      <c r="G121" s="81"/>
      <c r="H121" s="2"/>
      <c r="I121" s="2"/>
      <c r="J121" s="2"/>
      <c r="K121" s="2"/>
      <c r="L121" s="2"/>
      <c r="M121" s="2"/>
      <c r="N121" s="2"/>
      <c r="O121" s="76"/>
    </row>
    <row r="122" spans="6:15" x14ac:dyDescent="0.25">
      <c r="F122" s="75"/>
      <c r="G122" s="81"/>
      <c r="H122" s="2"/>
      <c r="I122" s="2"/>
      <c r="J122" s="2"/>
      <c r="K122" s="2"/>
      <c r="L122" s="2"/>
      <c r="M122" s="2"/>
      <c r="N122" s="2"/>
      <c r="O122" s="76"/>
    </row>
    <row r="123" spans="6:15" x14ac:dyDescent="0.25">
      <c r="F123" s="75"/>
      <c r="G123" s="81"/>
      <c r="H123" s="2"/>
      <c r="I123" s="2"/>
      <c r="J123" s="2"/>
      <c r="K123" s="2"/>
      <c r="L123" s="2"/>
      <c r="M123" s="2"/>
      <c r="N123" s="2"/>
      <c r="O123" s="76"/>
    </row>
    <row r="124" spans="6:15" x14ac:dyDescent="0.25">
      <c r="F124" s="75"/>
      <c r="G124" s="81"/>
      <c r="H124" s="2"/>
      <c r="I124" s="2"/>
      <c r="J124" s="2"/>
      <c r="K124" s="2"/>
      <c r="L124" s="2"/>
      <c r="M124" s="2"/>
      <c r="N124" s="2"/>
      <c r="O124" s="76"/>
    </row>
    <row r="125" spans="6:15" x14ac:dyDescent="0.25">
      <c r="F125" s="75"/>
      <c r="G125" s="81"/>
      <c r="H125" s="2"/>
      <c r="I125" s="2"/>
      <c r="J125" s="2"/>
      <c r="K125" s="2"/>
      <c r="L125" s="2"/>
      <c r="M125" s="2"/>
      <c r="N125" s="2"/>
      <c r="O125" s="76"/>
    </row>
    <row r="126" spans="6:15" x14ac:dyDescent="0.25">
      <c r="F126" s="75">
        <v>12</v>
      </c>
      <c r="G126" s="81"/>
      <c r="H126" s="2"/>
      <c r="I126" s="2"/>
      <c r="J126" s="2"/>
      <c r="K126" s="2"/>
      <c r="L126" s="2"/>
      <c r="M126" s="2"/>
      <c r="N126" s="2"/>
      <c r="O126" s="76"/>
    </row>
    <row r="127" spans="6:15" x14ac:dyDescent="0.25">
      <c r="F127" s="75"/>
      <c r="G127" s="81"/>
      <c r="H127" s="2"/>
      <c r="I127" s="2"/>
      <c r="J127" s="2"/>
      <c r="K127" s="2"/>
      <c r="L127" s="2"/>
      <c r="M127" s="2"/>
      <c r="N127" s="428" t="s">
        <v>92</v>
      </c>
      <c r="O127" s="432"/>
    </row>
    <row r="128" spans="6:15" x14ac:dyDescent="0.25">
      <c r="F128" s="75"/>
      <c r="G128" s="81"/>
      <c r="H128" s="2"/>
      <c r="I128" s="2"/>
      <c r="J128" s="2"/>
      <c r="K128" s="2"/>
      <c r="L128" s="2"/>
      <c r="M128" s="2"/>
      <c r="N128" s="2"/>
      <c r="O128" s="76"/>
    </row>
    <row r="129" spans="6:15" x14ac:dyDescent="0.25">
      <c r="F129" s="75"/>
      <c r="G129" s="81"/>
      <c r="H129" s="2"/>
      <c r="I129" s="2"/>
      <c r="J129" s="2"/>
      <c r="K129" s="2"/>
      <c r="L129" s="2"/>
      <c r="M129" s="2"/>
      <c r="N129" s="2"/>
      <c r="O129" s="76"/>
    </row>
    <row r="130" spans="6:15" x14ac:dyDescent="0.25">
      <c r="F130" s="75"/>
      <c r="G130" s="81"/>
      <c r="H130" s="2"/>
      <c r="I130" s="2"/>
      <c r="J130" s="2"/>
      <c r="K130" s="2"/>
      <c r="L130" s="2"/>
      <c r="M130" s="2"/>
      <c r="N130" s="2"/>
      <c r="O130" s="76"/>
    </row>
    <row r="131" spans="6:15" x14ac:dyDescent="0.25">
      <c r="F131" s="75"/>
      <c r="G131" s="81"/>
      <c r="H131" s="2"/>
      <c r="I131" s="2"/>
      <c r="J131" s="2"/>
      <c r="K131" s="2"/>
      <c r="L131" s="2"/>
      <c r="M131" s="2"/>
      <c r="N131" s="2"/>
      <c r="O131" s="76"/>
    </row>
    <row r="132" spans="6:15" x14ac:dyDescent="0.25">
      <c r="F132" s="75"/>
      <c r="G132" s="81"/>
      <c r="H132" s="2"/>
      <c r="I132" s="2"/>
      <c r="J132" s="2"/>
      <c r="K132" s="2"/>
      <c r="L132" s="2"/>
      <c r="M132" s="2"/>
      <c r="N132" s="2"/>
      <c r="O132" s="76"/>
    </row>
    <row r="133" spans="6:15" x14ac:dyDescent="0.25">
      <c r="F133" s="75"/>
      <c r="G133" s="81"/>
      <c r="H133" s="2"/>
      <c r="I133" s="2"/>
      <c r="J133" s="2"/>
      <c r="K133" s="2"/>
      <c r="L133" s="2"/>
      <c r="M133" s="2"/>
      <c r="N133" s="2"/>
      <c r="O133" s="76"/>
    </row>
    <row r="134" spans="6:15" x14ac:dyDescent="0.25">
      <c r="F134" s="75"/>
      <c r="G134" s="81"/>
      <c r="H134" s="2"/>
      <c r="I134" s="2"/>
      <c r="J134" s="2"/>
      <c r="K134" s="2"/>
      <c r="L134" s="2"/>
      <c r="M134" s="2"/>
      <c r="N134" s="2"/>
      <c r="O134" s="76"/>
    </row>
    <row r="135" spans="6:15" x14ac:dyDescent="0.25">
      <c r="F135" s="75">
        <v>13</v>
      </c>
      <c r="G135" s="81"/>
      <c r="H135" s="2"/>
      <c r="I135" s="2"/>
      <c r="J135" s="2"/>
      <c r="K135" s="2"/>
      <c r="L135" s="2"/>
      <c r="M135" s="2"/>
      <c r="N135" s="2"/>
      <c r="O135" s="76"/>
    </row>
    <row r="136" spans="6:15" x14ac:dyDescent="0.25">
      <c r="F136" s="75"/>
      <c r="G136" s="81"/>
      <c r="H136" s="2"/>
      <c r="I136" s="2"/>
      <c r="J136" s="2"/>
      <c r="K136" s="2"/>
      <c r="L136" s="2"/>
      <c r="M136" s="2"/>
      <c r="N136" s="2"/>
      <c r="O136" s="76"/>
    </row>
    <row r="137" spans="6:15" x14ac:dyDescent="0.25">
      <c r="F137" s="75"/>
      <c r="G137" s="81"/>
      <c r="H137" s="2"/>
      <c r="I137" s="2"/>
      <c r="J137" s="2"/>
      <c r="K137" s="2"/>
      <c r="L137" s="2"/>
      <c r="M137" s="2"/>
      <c r="N137" s="2"/>
      <c r="O137" s="76"/>
    </row>
    <row r="138" spans="6:15" x14ac:dyDescent="0.25">
      <c r="F138" s="75"/>
      <c r="G138" s="81"/>
      <c r="H138" s="2"/>
      <c r="I138" s="2"/>
      <c r="J138" s="2"/>
      <c r="K138" s="2"/>
      <c r="L138" s="2"/>
      <c r="M138" s="2"/>
      <c r="N138" s="2"/>
      <c r="O138" s="76"/>
    </row>
    <row r="139" spans="6:15" x14ac:dyDescent="0.25">
      <c r="F139" s="75"/>
      <c r="G139" s="81"/>
      <c r="H139" s="2"/>
      <c r="I139" s="2"/>
      <c r="J139" s="2"/>
      <c r="K139" s="2"/>
      <c r="L139" s="2"/>
      <c r="M139" s="2"/>
      <c r="N139" s="2"/>
      <c r="O139" s="76"/>
    </row>
    <row r="140" spans="6:15" x14ac:dyDescent="0.25">
      <c r="F140" s="75"/>
      <c r="G140" s="81"/>
      <c r="H140" s="2"/>
      <c r="I140" s="2"/>
      <c r="J140" s="2"/>
      <c r="K140" s="2"/>
      <c r="L140" s="2"/>
      <c r="M140" s="2"/>
      <c r="N140" s="2"/>
      <c r="O140" s="76"/>
    </row>
    <row r="141" spans="6:15" x14ac:dyDescent="0.25">
      <c r="F141" s="75">
        <v>14</v>
      </c>
      <c r="G141" s="81"/>
      <c r="H141" s="2"/>
      <c r="I141" s="2"/>
      <c r="J141" s="2"/>
      <c r="K141" s="2"/>
      <c r="L141" s="2"/>
      <c r="M141" s="2"/>
      <c r="N141" s="2"/>
      <c r="O141" s="76"/>
    </row>
    <row r="142" spans="6:15" x14ac:dyDescent="0.25">
      <c r="F142" s="75" t="s">
        <v>14</v>
      </c>
      <c r="G142" s="81"/>
      <c r="H142" s="2"/>
      <c r="I142" s="2"/>
      <c r="J142" s="2"/>
      <c r="K142" s="2"/>
      <c r="L142" s="2"/>
      <c r="M142" s="2"/>
      <c r="N142" s="2"/>
      <c r="O142" s="76"/>
    </row>
    <row r="143" spans="6:15" x14ac:dyDescent="0.25">
      <c r="F143" s="75" t="s">
        <v>14</v>
      </c>
      <c r="G143" s="81"/>
      <c r="H143" s="2"/>
      <c r="I143" s="2"/>
      <c r="J143" s="2"/>
      <c r="K143" s="2"/>
      <c r="L143" s="2"/>
      <c r="M143" s="2"/>
      <c r="N143" s="2"/>
      <c r="O143" s="76"/>
    </row>
    <row r="144" spans="6:15" x14ac:dyDescent="0.25">
      <c r="F144" s="75"/>
      <c r="G144" s="81"/>
      <c r="H144" s="2"/>
      <c r="I144" s="2"/>
      <c r="J144" s="2"/>
      <c r="K144" s="2"/>
      <c r="L144" s="2"/>
      <c r="M144" s="2"/>
      <c r="N144" s="2"/>
      <c r="O144" s="76"/>
    </row>
    <row r="145" spans="6:15" x14ac:dyDescent="0.25">
      <c r="F145" s="75"/>
      <c r="G145" s="81"/>
      <c r="H145" s="2"/>
      <c r="I145" s="2"/>
      <c r="J145" s="2"/>
      <c r="K145" s="2"/>
      <c r="L145" s="2"/>
      <c r="M145" s="2"/>
      <c r="N145" s="2"/>
      <c r="O145" s="76"/>
    </row>
    <row r="146" spans="6:15" x14ac:dyDescent="0.25">
      <c r="F146" s="75"/>
      <c r="G146" s="81"/>
      <c r="H146" s="2"/>
      <c r="I146" s="2"/>
      <c r="J146" s="2"/>
      <c r="K146" s="2"/>
      <c r="L146" s="2"/>
      <c r="M146" s="2"/>
      <c r="N146" s="2"/>
      <c r="O146" s="76"/>
    </row>
    <row r="147" spans="6:15" x14ac:dyDescent="0.25">
      <c r="F147" s="75"/>
      <c r="G147" s="81"/>
      <c r="H147" s="2"/>
      <c r="I147" s="2"/>
      <c r="J147" s="2"/>
      <c r="K147" s="2"/>
      <c r="L147" s="2"/>
      <c r="M147" s="2"/>
      <c r="N147" s="2"/>
      <c r="O147" s="76"/>
    </row>
    <row r="148" spans="6:15" x14ac:dyDescent="0.25">
      <c r="F148" s="75"/>
      <c r="G148" s="81"/>
      <c r="H148" s="2"/>
      <c r="I148" s="2"/>
      <c r="J148" s="2"/>
      <c r="K148" s="2"/>
      <c r="L148" s="2"/>
      <c r="M148" s="2"/>
      <c r="N148" s="2"/>
      <c r="O148" s="76"/>
    </row>
    <row r="149" spans="6:15" x14ac:dyDescent="0.25">
      <c r="F149" s="75"/>
      <c r="G149" s="81"/>
      <c r="H149" s="2"/>
      <c r="I149" s="2"/>
      <c r="J149" s="2"/>
      <c r="K149" s="2"/>
      <c r="L149" s="2"/>
      <c r="M149" s="2"/>
      <c r="N149" s="2"/>
      <c r="O149" s="76"/>
    </row>
    <row r="150" spans="6:15" x14ac:dyDescent="0.25">
      <c r="F150" s="75"/>
      <c r="G150" s="81"/>
      <c r="H150" s="2"/>
      <c r="I150" s="2"/>
      <c r="J150" s="2"/>
      <c r="K150" s="2"/>
      <c r="L150" s="2"/>
      <c r="M150" s="2"/>
      <c r="N150" s="2"/>
      <c r="O150" s="76"/>
    </row>
    <row r="151" spans="6:15" x14ac:dyDescent="0.25">
      <c r="F151" s="75"/>
      <c r="G151" s="81"/>
      <c r="H151" s="2"/>
      <c r="I151" s="2"/>
      <c r="J151" s="2"/>
      <c r="K151" s="2"/>
      <c r="L151" s="2"/>
      <c r="M151" s="2"/>
      <c r="N151" s="2"/>
      <c r="O151" s="76"/>
    </row>
    <row r="152" spans="6:15" x14ac:dyDescent="0.25">
      <c r="F152" s="75"/>
      <c r="G152" s="81"/>
      <c r="H152" s="2"/>
      <c r="I152" s="2"/>
      <c r="J152" s="2"/>
      <c r="K152" s="2"/>
      <c r="L152" s="2"/>
      <c r="M152" s="2"/>
      <c r="N152" s="2"/>
      <c r="O152" s="76"/>
    </row>
    <row r="153" spans="6:15" x14ac:dyDescent="0.25">
      <c r="F153" s="75"/>
      <c r="G153" s="81"/>
      <c r="H153" s="2"/>
      <c r="I153" s="2"/>
      <c r="J153" s="2"/>
      <c r="K153" s="2"/>
      <c r="L153" s="2"/>
      <c r="M153" s="2"/>
      <c r="N153" s="2"/>
      <c r="O153" s="76"/>
    </row>
    <row r="154" spans="6:15" x14ac:dyDescent="0.25">
      <c r="F154" s="75"/>
      <c r="G154" s="81"/>
      <c r="H154" s="2"/>
      <c r="I154" s="2"/>
      <c r="J154" s="2"/>
      <c r="K154" s="2"/>
      <c r="L154" s="2"/>
      <c r="M154" s="2"/>
      <c r="N154" s="2"/>
      <c r="O154" s="76"/>
    </row>
    <row r="155" spans="6:15" x14ac:dyDescent="0.25">
      <c r="F155" s="75"/>
      <c r="G155" s="81"/>
      <c r="H155" s="2"/>
      <c r="I155" s="2"/>
      <c r="J155" s="2"/>
      <c r="K155" s="2"/>
      <c r="L155" s="2"/>
      <c r="M155" s="2"/>
      <c r="N155" s="2"/>
      <c r="O155" s="76"/>
    </row>
    <row r="156" spans="6:15" x14ac:dyDescent="0.25">
      <c r="F156" s="75"/>
      <c r="G156" s="81"/>
      <c r="H156" s="2"/>
      <c r="I156" s="2"/>
      <c r="J156" s="2"/>
      <c r="K156" s="2"/>
      <c r="L156" s="2"/>
      <c r="M156" s="2"/>
      <c r="N156" s="2"/>
      <c r="O156" s="76"/>
    </row>
    <row r="157" spans="6:15" x14ac:dyDescent="0.25">
      <c r="F157" s="75"/>
      <c r="G157" s="81"/>
      <c r="H157" s="2"/>
      <c r="I157" s="2"/>
      <c r="J157" s="2"/>
      <c r="K157" s="2"/>
      <c r="L157" s="2"/>
      <c r="M157" s="2"/>
      <c r="N157" s="2"/>
      <c r="O157" s="76"/>
    </row>
    <row r="158" spans="6:15" x14ac:dyDescent="0.25">
      <c r="F158" s="75"/>
      <c r="G158" s="81"/>
      <c r="H158" s="2"/>
      <c r="I158" s="2"/>
      <c r="J158" s="2"/>
      <c r="K158" s="2"/>
      <c r="L158" s="2"/>
      <c r="M158" s="2"/>
      <c r="N158" s="2"/>
      <c r="O158" s="76"/>
    </row>
    <row r="159" spans="6:15" x14ac:dyDescent="0.25">
      <c r="F159" s="75"/>
      <c r="G159" s="81"/>
      <c r="H159" s="2"/>
      <c r="I159" s="2"/>
      <c r="J159" s="2"/>
      <c r="K159" s="2"/>
      <c r="L159" s="2"/>
      <c r="M159" s="2"/>
      <c r="N159" s="2"/>
      <c r="O159" s="76"/>
    </row>
    <row r="160" spans="6:15" x14ac:dyDescent="0.25">
      <c r="F160" s="75"/>
      <c r="G160" s="81"/>
      <c r="H160" s="2"/>
      <c r="I160" s="2"/>
      <c r="J160" s="2"/>
      <c r="K160" s="2"/>
      <c r="L160" s="2"/>
      <c r="M160" s="2"/>
      <c r="N160" s="2"/>
      <c r="O160" s="76"/>
    </row>
    <row r="161" spans="6:15" x14ac:dyDescent="0.25">
      <c r="F161" s="75"/>
      <c r="G161" s="81"/>
      <c r="H161" s="2"/>
      <c r="I161" s="2"/>
      <c r="J161" s="2"/>
      <c r="K161" s="2"/>
      <c r="L161" s="2"/>
      <c r="M161" s="2"/>
      <c r="N161" s="2"/>
      <c r="O161" s="76"/>
    </row>
    <row r="162" spans="6:15" x14ac:dyDescent="0.25">
      <c r="F162" s="75">
        <v>15</v>
      </c>
      <c r="G162" s="81"/>
      <c r="H162" s="2"/>
      <c r="I162" s="2"/>
      <c r="J162" s="2"/>
      <c r="K162" s="2"/>
      <c r="L162" s="2"/>
      <c r="M162" s="2"/>
      <c r="N162" s="2"/>
      <c r="O162" s="76"/>
    </row>
    <row r="163" spans="6:15" x14ac:dyDescent="0.25">
      <c r="F163" s="75"/>
      <c r="G163" s="81"/>
      <c r="H163" s="2"/>
      <c r="I163" s="2"/>
      <c r="J163" s="2"/>
      <c r="K163" s="2"/>
      <c r="L163" s="2"/>
      <c r="M163" s="428" t="s">
        <v>92</v>
      </c>
      <c r="N163" s="428"/>
      <c r="O163" s="76"/>
    </row>
    <row r="164" spans="6:15" x14ac:dyDescent="0.25">
      <c r="F164" s="75"/>
      <c r="G164" s="81"/>
      <c r="H164" s="2"/>
      <c r="I164" s="2"/>
      <c r="J164" s="2"/>
      <c r="K164" s="2"/>
      <c r="L164" s="2"/>
      <c r="M164" s="2"/>
      <c r="N164" s="2"/>
      <c r="O164" s="76"/>
    </row>
    <row r="165" spans="6:15" x14ac:dyDescent="0.25">
      <c r="F165" s="75"/>
      <c r="G165" s="81"/>
      <c r="H165" s="2"/>
      <c r="I165" s="2"/>
      <c r="J165" s="2"/>
      <c r="K165" s="2"/>
      <c r="L165" s="2"/>
      <c r="M165" s="2"/>
      <c r="N165" s="2"/>
      <c r="O165" s="76"/>
    </row>
    <row r="166" spans="6:15" x14ac:dyDescent="0.25">
      <c r="F166" s="75"/>
      <c r="G166" s="81"/>
      <c r="H166" s="2"/>
      <c r="I166" s="2"/>
      <c r="J166" s="2"/>
      <c r="K166" s="2"/>
      <c r="L166" s="2"/>
      <c r="M166" s="2"/>
      <c r="N166" s="2"/>
      <c r="O166" s="76"/>
    </row>
    <row r="167" spans="6:15" x14ac:dyDescent="0.25">
      <c r="F167" s="75"/>
      <c r="G167" s="81"/>
      <c r="H167" s="2"/>
      <c r="I167" s="2"/>
      <c r="J167" s="2"/>
      <c r="K167" s="2"/>
      <c r="L167" s="2"/>
      <c r="M167" s="2"/>
      <c r="N167" s="2"/>
      <c r="O167" s="76"/>
    </row>
    <row r="168" spans="6:15" x14ac:dyDescent="0.25">
      <c r="F168" s="75"/>
      <c r="G168" s="81"/>
      <c r="H168" s="2"/>
      <c r="I168" s="2"/>
      <c r="J168" s="2"/>
      <c r="K168" s="2"/>
      <c r="L168" s="2"/>
      <c r="M168" s="2"/>
      <c r="N168" s="2"/>
      <c r="O168" s="76"/>
    </row>
    <row r="169" spans="6:15" x14ac:dyDescent="0.25">
      <c r="F169" s="75"/>
      <c r="G169" s="81"/>
      <c r="H169" s="2"/>
      <c r="I169" s="2"/>
      <c r="J169" s="2"/>
      <c r="K169" s="2"/>
      <c r="L169" s="2"/>
      <c r="M169" s="2"/>
      <c r="N169" s="2"/>
      <c r="O169" s="76"/>
    </row>
    <row r="170" spans="6:15" x14ac:dyDescent="0.25">
      <c r="F170" s="75"/>
      <c r="G170" s="81"/>
      <c r="H170" s="2"/>
      <c r="I170" s="2"/>
      <c r="J170" s="2"/>
      <c r="K170" s="2"/>
      <c r="L170" s="2"/>
      <c r="M170" s="2"/>
      <c r="N170" s="2"/>
      <c r="O170" s="76"/>
    </row>
    <row r="171" spans="6:15" x14ac:dyDescent="0.25">
      <c r="F171" s="75"/>
      <c r="G171" s="81"/>
      <c r="H171" s="2"/>
      <c r="I171" s="2"/>
      <c r="J171" s="2"/>
      <c r="K171" s="2"/>
      <c r="L171" s="2"/>
      <c r="M171" s="2"/>
      <c r="N171" s="2"/>
      <c r="O171" s="76"/>
    </row>
    <row r="172" spans="6:15" x14ac:dyDescent="0.25">
      <c r="F172" s="75"/>
      <c r="G172" s="81"/>
      <c r="H172" s="2"/>
      <c r="I172" s="2"/>
      <c r="J172" s="2"/>
      <c r="K172" s="2"/>
      <c r="L172" s="2"/>
      <c r="M172" s="2"/>
      <c r="N172" s="2"/>
      <c r="O172" s="76"/>
    </row>
    <row r="173" spans="6:15" x14ac:dyDescent="0.25">
      <c r="F173" s="75"/>
      <c r="G173" s="81"/>
      <c r="H173" s="2"/>
      <c r="I173" s="2"/>
      <c r="J173" s="2"/>
      <c r="K173" s="2"/>
      <c r="L173" s="2"/>
      <c r="M173" s="2"/>
      <c r="N173" s="2"/>
      <c r="O173" s="76"/>
    </row>
    <row r="174" spans="6:15" x14ac:dyDescent="0.25">
      <c r="F174" s="75" t="s">
        <v>14</v>
      </c>
      <c r="G174" s="81"/>
      <c r="H174" s="2"/>
      <c r="I174" s="2"/>
      <c r="J174" s="2"/>
      <c r="K174" s="2"/>
      <c r="L174" s="2"/>
      <c r="M174" s="2"/>
      <c r="N174" s="73" t="s">
        <v>14</v>
      </c>
      <c r="O174" s="76"/>
    </row>
    <row r="175" spans="6:15" x14ac:dyDescent="0.25">
      <c r="F175" s="75"/>
      <c r="G175" s="81"/>
      <c r="H175" s="2"/>
      <c r="I175" s="2"/>
      <c r="J175" s="2"/>
      <c r="K175" s="2"/>
      <c r="L175" s="2"/>
      <c r="M175" s="2"/>
      <c r="N175" s="2"/>
      <c r="O175" s="76"/>
    </row>
    <row r="176" spans="6:15" x14ac:dyDescent="0.25">
      <c r="F176" s="75"/>
      <c r="G176" s="81"/>
      <c r="H176" s="2"/>
      <c r="I176" s="2"/>
      <c r="J176" s="2"/>
      <c r="K176" s="2"/>
      <c r="L176" s="2"/>
      <c r="M176" s="2"/>
      <c r="N176" s="2"/>
      <c r="O176" s="76"/>
    </row>
    <row r="177" spans="6:15" x14ac:dyDescent="0.25">
      <c r="F177" s="75"/>
      <c r="G177" s="81"/>
      <c r="H177" s="2"/>
      <c r="I177" s="2"/>
      <c r="J177" s="2"/>
      <c r="K177" s="2"/>
      <c r="L177" s="2"/>
      <c r="M177" s="2"/>
      <c r="N177" s="2"/>
      <c r="O177" s="76"/>
    </row>
    <row r="178" spans="6:15" ht="15.75" thickBot="1" x14ac:dyDescent="0.3">
      <c r="F178" s="78"/>
      <c r="G178" s="83"/>
      <c r="H178" s="3"/>
      <c r="I178" s="3"/>
      <c r="J178" s="3"/>
      <c r="K178" s="3"/>
      <c r="L178" s="3"/>
      <c r="M178" s="3"/>
      <c r="N178" s="3"/>
      <c r="O178" s="79"/>
    </row>
    <row r="179" spans="6:15" x14ac:dyDescent="0.25">
      <c r="F179" s="101">
        <v>16</v>
      </c>
      <c r="G179" s="2"/>
      <c r="H179" s="2"/>
      <c r="I179" s="2"/>
      <c r="J179" s="2"/>
      <c r="K179" s="2"/>
      <c r="L179" s="2"/>
      <c r="M179" s="2"/>
      <c r="N179" s="2"/>
      <c r="O179" s="2"/>
    </row>
    <row r="180" spans="6:15" x14ac:dyDescent="0.25">
      <c r="F180" s="102"/>
      <c r="G180" s="2"/>
      <c r="H180" s="2"/>
      <c r="I180" s="2"/>
      <c r="J180" s="2"/>
      <c r="K180" s="2"/>
      <c r="L180" s="2"/>
      <c r="M180" s="2"/>
      <c r="N180" s="2"/>
      <c r="O180" s="2"/>
    </row>
    <row r="181" spans="6:15" x14ac:dyDescent="0.25">
      <c r="F181" s="102"/>
      <c r="G181" s="2"/>
      <c r="H181" s="2"/>
      <c r="I181" s="2"/>
      <c r="J181" s="2"/>
      <c r="K181" s="2"/>
      <c r="L181" s="2"/>
      <c r="M181" s="2"/>
      <c r="N181" s="2"/>
      <c r="O181" s="2"/>
    </row>
    <row r="182" spans="6:15" x14ac:dyDescent="0.25">
      <c r="F182" s="102"/>
      <c r="G182" s="2"/>
      <c r="H182" s="2"/>
      <c r="I182" s="2"/>
      <c r="J182" s="2"/>
      <c r="K182" s="2"/>
      <c r="L182" s="2"/>
      <c r="M182" s="2"/>
      <c r="N182" s="2"/>
      <c r="O182" s="2"/>
    </row>
    <row r="183" spans="6:15" x14ac:dyDescent="0.25">
      <c r="F183" s="102"/>
      <c r="G183" s="2"/>
      <c r="H183" s="2"/>
      <c r="I183" s="2"/>
      <c r="J183" s="2"/>
      <c r="K183" s="2"/>
      <c r="L183" s="2"/>
      <c r="M183" s="2"/>
      <c r="N183" s="2"/>
      <c r="O183" s="2"/>
    </row>
    <row r="184" spans="6:15" x14ac:dyDescent="0.25">
      <c r="F184" s="102"/>
      <c r="G184" s="2"/>
      <c r="H184" s="2"/>
      <c r="I184" s="2"/>
      <c r="J184" s="2"/>
      <c r="K184" s="2"/>
      <c r="L184" s="2"/>
      <c r="M184" s="2"/>
      <c r="N184" s="2"/>
      <c r="O184" s="2"/>
    </row>
    <row r="185" spans="6:15" x14ac:dyDescent="0.25">
      <c r="F185" s="102"/>
      <c r="G185" s="2"/>
      <c r="H185" s="2"/>
      <c r="I185" s="2"/>
      <c r="J185" s="2"/>
      <c r="K185" s="2"/>
      <c r="L185" s="2"/>
      <c r="M185" s="2"/>
      <c r="N185" s="2"/>
      <c r="O185" s="2"/>
    </row>
    <row r="186" spans="6:15" x14ac:dyDescent="0.25">
      <c r="F186" s="102"/>
      <c r="G186" s="2"/>
      <c r="H186" s="2"/>
      <c r="I186" s="2"/>
      <c r="J186" s="2"/>
      <c r="K186" s="2"/>
      <c r="L186" s="2"/>
      <c r="M186" s="2"/>
      <c r="N186" s="2"/>
      <c r="O186" s="2"/>
    </row>
    <row r="187" spans="6:15" x14ac:dyDescent="0.25">
      <c r="F187" s="102"/>
      <c r="G187" s="2"/>
      <c r="H187" s="2"/>
      <c r="I187" s="2"/>
      <c r="J187" s="2"/>
      <c r="K187" s="2"/>
      <c r="L187" s="2"/>
      <c r="M187" s="2"/>
      <c r="N187" s="2"/>
      <c r="O187" s="2"/>
    </row>
    <row r="188" spans="6:15" x14ac:dyDescent="0.25">
      <c r="F188" s="102"/>
      <c r="G188" s="2"/>
      <c r="H188" s="2"/>
      <c r="I188" s="2"/>
      <c r="J188" s="2"/>
      <c r="K188" s="2"/>
      <c r="L188" s="2"/>
      <c r="M188" s="2"/>
      <c r="N188" s="2"/>
      <c r="O188" s="2"/>
    </row>
    <row r="189" spans="6:15" x14ac:dyDescent="0.25">
      <c r="F189" s="102"/>
      <c r="G189" s="2"/>
      <c r="H189" s="2"/>
      <c r="I189" s="2"/>
      <c r="J189" s="2"/>
      <c r="K189" s="2"/>
      <c r="L189" s="2"/>
      <c r="M189" s="2"/>
      <c r="N189" s="2"/>
      <c r="O189" s="2"/>
    </row>
    <row r="190" spans="6:15" x14ac:dyDescent="0.25">
      <c r="F190" s="102"/>
      <c r="G190" s="2"/>
      <c r="H190" s="2"/>
      <c r="I190" s="2"/>
      <c r="J190" s="2"/>
      <c r="K190" s="2"/>
      <c r="L190" s="2"/>
      <c r="M190" s="2"/>
      <c r="N190" s="2"/>
      <c r="O190" s="2"/>
    </row>
    <row r="191" spans="6:15" x14ac:dyDescent="0.25">
      <c r="F191" s="102"/>
      <c r="G191" s="2"/>
      <c r="H191" s="2"/>
      <c r="I191" s="2"/>
      <c r="J191" s="2"/>
      <c r="K191" s="2"/>
      <c r="L191" s="2"/>
      <c r="M191" s="2"/>
      <c r="N191" s="2"/>
      <c r="O191" s="2"/>
    </row>
    <row r="192" spans="6:15" x14ac:dyDescent="0.25">
      <c r="F192" s="102"/>
      <c r="G192" s="2"/>
      <c r="H192" s="2"/>
      <c r="I192" s="2"/>
      <c r="J192" s="2"/>
      <c r="K192" s="2"/>
      <c r="L192" s="2"/>
      <c r="M192" s="2"/>
      <c r="N192" s="2"/>
      <c r="O192" s="2"/>
    </row>
    <row r="193" spans="6:15" x14ac:dyDescent="0.25">
      <c r="F193" s="102"/>
      <c r="G193" s="2"/>
      <c r="H193" s="2"/>
      <c r="I193" s="2"/>
      <c r="J193" s="2"/>
      <c r="K193" s="2"/>
      <c r="L193" s="2"/>
      <c r="M193" s="2"/>
      <c r="N193" s="2"/>
      <c r="O193" s="2"/>
    </row>
    <row r="194" spans="6:15" ht="15.75" thickBot="1" x14ac:dyDescent="0.3">
      <c r="F194" s="103"/>
      <c r="G194" s="2"/>
      <c r="H194" s="2"/>
      <c r="I194" s="2"/>
      <c r="J194" s="2"/>
      <c r="K194" s="2"/>
      <c r="L194" s="2"/>
      <c r="M194" s="2"/>
      <c r="N194" s="2"/>
      <c r="O194" s="2"/>
    </row>
    <row r="195" spans="6:15" x14ac:dyDescent="0.25">
      <c r="F195" s="88"/>
      <c r="G195" s="2"/>
      <c r="H195" s="2"/>
      <c r="I195" s="2"/>
      <c r="J195" s="2"/>
      <c r="K195" s="2"/>
      <c r="L195" s="2"/>
      <c r="M195" s="2"/>
      <c r="N195" s="73" t="s">
        <v>212</v>
      </c>
      <c r="O195" s="2"/>
    </row>
    <row r="196" spans="6:15" x14ac:dyDescent="0.25">
      <c r="F196" s="88"/>
      <c r="G196" s="2"/>
      <c r="H196" s="2"/>
      <c r="I196" s="2"/>
      <c r="J196" s="2"/>
      <c r="K196" s="2"/>
      <c r="L196" s="2"/>
      <c r="M196" s="2"/>
      <c r="N196" s="2"/>
      <c r="O196" s="2"/>
    </row>
    <row r="197" spans="6:15" x14ac:dyDescent="0.25">
      <c r="F197" s="88"/>
      <c r="G197" s="2"/>
      <c r="H197" s="2"/>
      <c r="I197" s="2"/>
      <c r="J197" s="2"/>
      <c r="K197" s="2"/>
      <c r="L197" s="2"/>
      <c r="M197" s="2"/>
      <c r="N197" s="2"/>
      <c r="O197" s="2"/>
    </row>
    <row r="198" spans="6:15" x14ac:dyDescent="0.25">
      <c r="F198" s="88"/>
      <c r="G198" s="2"/>
      <c r="H198" s="2"/>
      <c r="I198" s="2"/>
      <c r="J198" s="2"/>
      <c r="K198" s="2"/>
      <c r="L198" s="2"/>
      <c r="M198" s="2"/>
      <c r="N198" s="2"/>
      <c r="O198" s="2"/>
    </row>
    <row r="199" spans="6:15" x14ac:dyDescent="0.25">
      <c r="F199" s="88"/>
      <c r="G199" s="2"/>
      <c r="H199" s="2"/>
      <c r="I199" s="2"/>
      <c r="J199" s="2"/>
      <c r="K199" s="2"/>
      <c r="L199" s="2"/>
      <c r="M199" s="2"/>
      <c r="N199" s="2"/>
      <c r="O199" s="2"/>
    </row>
    <row r="200" spans="6:15" x14ac:dyDescent="0.25">
      <c r="F200" s="88"/>
      <c r="G200" s="2"/>
      <c r="H200" s="2"/>
      <c r="I200" s="2"/>
      <c r="J200" s="2"/>
      <c r="K200" s="2"/>
      <c r="L200" s="2"/>
      <c r="M200" s="2"/>
      <c r="N200" s="2"/>
      <c r="O200" s="2"/>
    </row>
    <row r="201" spans="6:15" x14ac:dyDescent="0.25">
      <c r="F201" s="88"/>
      <c r="G201" s="2"/>
      <c r="H201" s="2"/>
      <c r="I201" s="2"/>
      <c r="J201" s="2"/>
      <c r="K201" s="2"/>
      <c r="L201" s="2"/>
      <c r="M201" s="2"/>
      <c r="N201" s="2"/>
      <c r="O201" s="2"/>
    </row>
    <row r="202" spans="6:15" x14ac:dyDescent="0.25">
      <c r="F202" s="88"/>
      <c r="G202" s="2"/>
      <c r="H202" s="2"/>
      <c r="I202" s="2"/>
      <c r="J202" s="2"/>
      <c r="K202" s="2"/>
      <c r="L202" s="2"/>
      <c r="M202" s="2"/>
      <c r="N202" s="2"/>
      <c r="O202" s="2"/>
    </row>
    <row r="203" spans="6:15" x14ac:dyDescent="0.25">
      <c r="F203" s="88"/>
      <c r="G203" s="2"/>
      <c r="H203" s="2"/>
      <c r="I203" s="2"/>
      <c r="J203" s="2"/>
      <c r="K203" s="2"/>
      <c r="L203" s="2"/>
      <c r="M203" s="2"/>
      <c r="N203" s="2"/>
      <c r="O203" s="2"/>
    </row>
    <row r="204" spans="6:15" x14ac:dyDescent="0.25">
      <c r="F204" s="88"/>
      <c r="G204" s="2"/>
      <c r="H204" s="2"/>
      <c r="I204" s="2"/>
      <c r="J204" s="2"/>
      <c r="K204" s="2"/>
      <c r="L204" s="2"/>
      <c r="M204" s="2"/>
      <c r="N204" s="2"/>
      <c r="O204" s="2"/>
    </row>
    <row r="205" spans="6:15" x14ac:dyDescent="0.25">
      <c r="F205" s="88"/>
      <c r="G205" s="2"/>
      <c r="H205" s="2"/>
      <c r="I205" s="2"/>
      <c r="J205" s="2"/>
      <c r="K205" s="2"/>
      <c r="L205" s="2"/>
      <c r="M205" s="2"/>
      <c r="N205" s="2"/>
      <c r="O205" s="2"/>
    </row>
    <row r="206" spans="6:15" x14ac:dyDescent="0.25">
      <c r="F206" s="88"/>
      <c r="G206" s="2"/>
      <c r="H206" s="2"/>
      <c r="I206" s="2"/>
      <c r="J206" s="2"/>
      <c r="K206" s="2"/>
      <c r="L206" s="2"/>
      <c r="M206" s="2"/>
      <c r="N206" s="2"/>
      <c r="O206" s="2"/>
    </row>
    <row r="341" spans="6:6" x14ac:dyDescent="0.25">
      <c r="F341" s="122" t="s">
        <v>598</v>
      </c>
    </row>
  </sheetData>
  <mergeCells count="12">
    <mergeCell ref="M163:N163"/>
    <mergeCell ref="A8:A21"/>
    <mergeCell ref="N11:O11"/>
    <mergeCell ref="A22:A25"/>
    <mergeCell ref="N43:O43"/>
    <mergeCell ref="N56:O56"/>
    <mergeCell ref="M85:N85"/>
    <mergeCell ref="N96:O96"/>
    <mergeCell ref="N97:O97"/>
    <mergeCell ref="N108:O108"/>
    <mergeCell ref="N117:O117"/>
    <mergeCell ref="N127:O127"/>
  </mergeCells>
  <pageMargins left="0.7" right="0.45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Elektrolisis</vt:lpstr>
      <vt:lpstr>revisi</vt:lpstr>
      <vt:lpstr>REAKSI</vt:lpstr>
      <vt:lpstr>RUMUS</vt:lpstr>
      <vt:lpstr>bagan</vt:lpstr>
      <vt:lpstr>CONTOH REAKSI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Acer Aspire</cp:lastModifiedBy>
  <cp:lastPrinted>2023-06-27T04:31:02Z</cp:lastPrinted>
  <dcterms:created xsi:type="dcterms:W3CDTF">2022-11-30T01:22:37Z</dcterms:created>
  <dcterms:modified xsi:type="dcterms:W3CDTF">2023-09-17T12:33:46Z</dcterms:modified>
</cp:coreProperties>
</file>